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\Papers\Running\VictorDevelopment\NatureCommunicationsPreAcceptance\"/>
    </mc:Choice>
  </mc:AlternateContent>
  <xr:revisionPtr revIDLastSave="0" documentId="13_ncr:1_{2EC8410E-98B7-4E0E-9D85-ECE3E445B642}" xr6:coauthVersionLast="47" xr6:coauthVersionMax="47" xr10:uidLastSave="{00000000-0000-0000-0000-000000000000}"/>
  <bookViews>
    <workbookView xWindow="2303" yWindow="263" windowWidth="14399" windowHeight="9562" tabRatio="991" xr2:uid="{00000000-000D-0000-FFFF-FFFF00000000}"/>
  </bookViews>
  <sheets>
    <sheet name="Figure1" sheetId="1" r:id="rId1"/>
    <sheet name="Figure2" sheetId="2" r:id="rId2"/>
    <sheet name="Figure3" sheetId="3" r:id="rId3"/>
    <sheet name="Figure4" sheetId="4" r:id="rId4"/>
    <sheet name="Figure5" sheetId="5" r:id="rId5"/>
    <sheet name="Figure6" sheetId="6" r:id="rId6"/>
    <sheet name="Figure7" sheetId="7" r:id="rId7"/>
    <sheet name="Supplementary_Fig1" sheetId="9" r:id="rId8"/>
    <sheet name="Supplementary_Fig2" sheetId="10" r:id="rId9"/>
    <sheet name="Supplementary_Fig3" sheetId="11" r:id="rId10"/>
    <sheet name="Supplementary_Fig4" sheetId="12" r:id="rId11"/>
    <sheet name="Supplementary_Fig5" sheetId="13" r:id="rId12"/>
    <sheet name="Supplementary_Fig6" sheetId="14" r:id="rId13"/>
    <sheet name="Supplementary_Fig7" sheetId="15" r:id="rId14"/>
    <sheet name="Supplementary_Fig8" sheetId="16" r:id="rId15"/>
    <sheet name="Supplementary_Fig9" sheetId="17" r:id="rId16"/>
    <sheet name="Supplementary_Fig10" sheetId="18" r:id="rId17"/>
    <sheet name="Supplementary_Table1" sheetId="19" r:id="rId18"/>
    <sheet name="Supplementary_Table2" sheetId="20" r:id="rId19"/>
    <sheet name="Supplementary_Table3" sheetId="21" r:id="rId20"/>
    <sheet name="Supplementary_Table4" sheetId="22" r:id="rId21"/>
    <sheet name="Supplementary_Table5" sheetId="23" r:id="rId2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W47" i="22" l="1"/>
  <c r="P47" i="22"/>
  <c r="AA46" i="22"/>
  <c r="W46" i="22"/>
  <c r="T46" i="22"/>
  <c r="P46" i="22"/>
  <c r="AA45" i="22"/>
  <c r="W45" i="22"/>
  <c r="T45" i="22"/>
  <c r="P45" i="22"/>
  <c r="AA44" i="22"/>
  <c r="T44" i="22"/>
  <c r="I42" i="22"/>
  <c r="I43" i="22" s="1"/>
  <c r="B42" i="22"/>
  <c r="B43" i="22" s="1"/>
  <c r="I41" i="22"/>
  <c r="B41" i="22"/>
  <c r="M37" i="22"/>
  <c r="AY36" i="22"/>
  <c r="R36" i="22"/>
  <c r="M36" i="22"/>
  <c r="F36" i="22"/>
  <c r="F37" i="22" s="1"/>
  <c r="BD35" i="22"/>
  <c r="AY35" i="22"/>
  <c r="Y35" i="22"/>
  <c r="Y36" i="22" s="1"/>
  <c r="R35" i="22"/>
  <c r="M35" i="22"/>
  <c r="F35" i="22"/>
  <c r="BD34" i="22"/>
  <c r="BD36" i="22" s="1"/>
  <c r="AY34" i="22"/>
  <c r="AT34" i="22"/>
  <c r="Y34" i="22"/>
  <c r="R34" i="22"/>
  <c r="AT33" i="22"/>
  <c r="AT35" i="22" s="1"/>
  <c r="AO33" i="22"/>
  <c r="AN33" i="22"/>
  <c r="AG33" i="22"/>
  <c r="AO32" i="22"/>
  <c r="AN32" i="22"/>
  <c r="AH32" i="22"/>
  <c r="AH33" i="22" s="1"/>
  <c r="AG32" i="22"/>
  <c r="AF32" i="22"/>
  <c r="AE32" i="22"/>
  <c r="AC32" i="22"/>
  <c r="AO31" i="22"/>
  <c r="AN31" i="22"/>
  <c r="AM31" i="22"/>
  <c r="AH31" i="22"/>
  <c r="AG31" i="22"/>
  <c r="AF31" i="22"/>
  <c r="AE31" i="22"/>
  <c r="AD31" i="22"/>
  <c r="AD32" i="22" s="1"/>
  <c r="AC31" i="22"/>
  <c r="AM30" i="22"/>
  <c r="AL30" i="22"/>
  <c r="AL31" i="22" s="1"/>
  <c r="AF30" i="22"/>
  <c r="AE30" i="22"/>
  <c r="AD30" i="22"/>
  <c r="AC30" i="22"/>
  <c r="AM29" i="22"/>
  <c r="AL29" i="22"/>
  <c r="AK29" i="22"/>
  <c r="AK30" i="22" s="1"/>
  <c r="AK31" i="22" s="1"/>
  <c r="AJ29" i="22"/>
  <c r="AJ30" i="22" s="1"/>
  <c r="AJ31" i="22" s="1"/>
  <c r="K28" i="22"/>
  <c r="K29" i="22" s="1"/>
  <c r="D28" i="22"/>
  <c r="D29" i="22" s="1"/>
  <c r="K27" i="22"/>
  <c r="D27" i="22"/>
  <c r="BT12" i="22"/>
  <c r="BU12" i="22" s="1"/>
  <c r="BO12" i="22"/>
  <c r="BP12" i="22" s="1"/>
  <c r="BK12" i="22"/>
  <c r="BJ12" i="22"/>
  <c r="BT6" i="22"/>
  <c r="BU6" i="22" s="1"/>
  <c r="BO6" i="22"/>
  <c r="BP6" i="22" s="1"/>
  <c r="BJ6" i="22"/>
  <c r="BK6" i="22" s="1"/>
  <c r="AL131" i="21"/>
  <c r="AJ129" i="21"/>
  <c r="AN97" i="21"/>
  <c r="P89" i="21"/>
  <c r="I79" i="21"/>
  <c r="B79" i="21"/>
  <c r="AK78" i="21"/>
  <c r="AD78" i="21"/>
  <c r="I78" i="21"/>
  <c r="B78" i="21"/>
  <c r="AD77" i="21"/>
  <c r="AD79" i="21" s="1"/>
  <c r="W77" i="21"/>
  <c r="W78" i="21" s="1"/>
  <c r="I77" i="21"/>
  <c r="B77" i="21"/>
  <c r="M34" i="21"/>
  <c r="F34" i="21"/>
  <c r="AO33" i="21"/>
  <c r="M33" i="21"/>
  <c r="F33" i="21"/>
  <c r="R32" i="21"/>
  <c r="M32" i="21"/>
  <c r="F32" i="21"/>
  <c r="R31" i="21"/>
  <c r="R30" i="21"/>
  <c r="AH29" i="21"/>
  <c r="AA28" i="21"/>
  <c r="K25" i="21"/>
  <c r="D25" i="21"/>
  <c r="AM24" i="21"/>
  <c r="AF24" i="21"/>
  <c r="Y24" i="21"/>
  <c r="K24" i="21"/>
  <c r="D24" i="21"/>
  <c r="AF23" i="21"/>
  <c r="Y23" i="21"/>
  <c r="K23" i="21"/>
  <c r="D23" i="21"/>
  <c r="AF22" i="21"/>
  <c r="Y22" i="21"/>
  <c r="T22" i="21"/>
  <c r="T23" i="21" s="1"/>
  <c r="W68" i="20"/>
  <c r="W67" i="20"/>
  <c r="W66" i="20"/>
  <c r="AR40" i="20"/>
  <c r="AY39" i="20"/>
  <c r="AY40" i="20" s="1"/>
  <c r="AR39" i="20"/>
  <c r="AY38" i="20"/>
  <c r="AR38" i="20"/>
  <c r="AK34" i="20"/>
  <c r="AK65" i="20" s="1"/>
  <c r="AA26" i="20"/>
  <c r="AO25" i="20"/>
  <c r="AA25" i="20"/>
  <c r="BF24" i="20"/>
  <c r="AO24" i="20"/>
  <c r="AA24" i="20"/>
  <c r="Y24" i="20"/>
  <c r="BF23" i="20"/>
  <c r="AO23" i="20"/>
  <c r="AD23" i="20"/>
  <c r="Y23" i="20"/>
  <c r="Y25" i="20" s="1"/>
  <c r="P23" i="20"/>
  <c r="I23" i="20"/>
  <c r="B23" i="20"/>
  <c r="BF22" i="20"/>
  <c r="AD22" i="20"/>
  <c r="P22" i="20"/>
  <c r="I22" i="20"/>
  <c r="B22" i="20"/>
  <c r="AM21" i="20"/>
  <c r="AD21" i="20"/>
  <c r="P21" i="20"/>
  <c r="I21" i="20"/>
  <c r="B21" i="20"/>
  <c r="AM20" i="20"/>
  <c r="AM19" i="20"/>
  <c r="AH19" i="20"/>
  <c r="T19" i="20"/>
  <c r="M19" i="20"/>
  <c r="F19" i="20"/>
  <c r="BJ18" i="20"/>
  <c r="BJ19" i="20" s="1"/>
  <c r="BA18" i="20"/>
  <c r="T18" i="20"/>
  <c r="M18" i="20"/>
  <c r="F18" i="20"/>
  <c r="BJ17" i="20"/>
  <c r="AV17" i="20"/>
  <c r="AH17" i="20"/>
  <c r="T17" i="20"/>
  <c r="M17" i="20"/>
  <c r="F17" i="20"/>
  <c r="BA16" i="20"/>
  <c r="AV16" i="20"/>
  <c r="AF16" i="20"/>
  <c r="BC15" i="20"/>
  <c r="BA15" i="20"/>
  <c r="AV15" i="20"/>
  <c r="R15" i="20"/>
  <c r="K15" i="20"/>
  <c r="BH14" i="20"/>
  <c r="BC14" i="20"/>
  <c r="BA14" i="20"/>
  <c r="AV14" i="20"/>
  <c r="AV19" i="20" s="1"/>
  <c r="AF14" i="20"/>
  <c r="AF15" i="20" s="1"/>
  <c r="D14" i="20"/>
  <c r="D15" i="20" s="1"/>
  <c r="BH13" i="20"/>
  <c r="BC13" i="20"/>
  <c r="BA13" i="20"/>
  <c r="AV13" i="20"/>
  <c r="R13" i="20"/>
  <c r="R14" i="20" s="1"/>
  <c r="K13" i="20"/>
  <c r="K14" i="20" s="1"/>
  <c r="D13" i="20"/>
  <c r="BH12" i="20"/>
  <c r="BC12" i="20"/>
  <c r="BA12" i="20"/>
  <c r="BA20" i="20" s="1"/>
  <c r="AV12" i="20"/>
  <c r="AV18" i="20" s="1"/>
  <c r="AT12" i="20"/>
  <c r="BC11" i="20"/>
  <c r="BA11" i="20"/>
  <c r="BC10" i="20"/>
  <c r="BC17" i="20" s="1"/>
  <c r="AT10" i="20"/>
  <c r="BA9" i="20"/>
  <c r="AT9" i="20"/>
  <c r="AT15" i="20" s="1"/>
  <c r="BA8" i="20"/>
  <c r="AT8" i="20"/>
  <c r="BA7" i="20"/>
  <c r="AT7" i="20"/>
  <c r="AT14" i="20" s="1"/>
  <c r="BA6" i="20"/>
  <c r="BA19" i="20" s="1"/>
  <c r="AT6" i="20"/>
  <c r="I171" i="19"/>
  <c r="I172" i="19" s="1"/>
  <c r="I170" i="19"/>
  <c r="AM155" i="19"/>
  <c r="AQ154" i="19"/>
  <c r="AP153" i="19"/>
  <c r="AQ152" i="19"/>
  <c r="AQ151" i="19"/>
  <c r="AP150" i="19"/>
  <c r="AQ149" i="19"/>
  <c r="AP148" i="19"/>
  <c r="AQ147" i="19"/>
  <c r="AP146" i="19"/>
  <c r="AQ145" i="19"/>
  <c r="AQ144" i="19"/>
  <c r="AQ143" i="19"/>
  <c r="AP142" i="19"/>
  <c r="AF142" i="19"/>
  <c r="AQ141" i="19"/>
  <c r="AJ141" i="19"/>
  <c r="AQ140" i="19"/>
  <c r="AI140" i="19"/>
  <c r="AP139" i="19"/>
  <c r="AI139" i="19"/>
  <c r="BQ138" i="19"/>
  <c r="BJ138" i="19"/>
  <c r="BC138" i="19"/>
  <c r="AQ138" i="19"/>
  <c r="AJ138" i="19"/>
  <c r="AQ137" i="19"/>
  <c r="AJ137" i="19"/>
  <c r="AP136" i="19"/>
  <c r="AI136" i="19"/>
  <c r="AQ135" i="19"/>
  <c r="AJ135" i="19"/>
  <c r="AX134" i="19"/>
  <c r="AT134" i="19"/>
  <c r="AP134" i="19"/>
  <c r="AJ134" i="19"/>
  <c r="AX133" i="19"/>
  <c r="AP133" i="19"/>
  <c r="AJ133" i="19"/>
  <c r="AW132" i="19"/>
  <c r="AQ132" i="19"/>
  <c r="AI132" i="19"/>
  <c r="AW131" i="19"/>
  <c r="AQ131" i="19"/>
  <c r="AI131" i="19"/>
  <c r="AX130" i="19"/>
  <c r="AQ130" i="19"/>
  <c r="AJ130" i="19"/>
  <c r="R130" i="19"/>
  <c r="AX129" i="19"/>
  <c r="AQ129" i="19"/>
  <c r="AI129" i="19"/>
  <c r="Y129" i="19"/>
  <c r="Y130" i="19" s="1"/>
  <c r="R129" i="19"/>
  <c r="K129" i="19"/>
  <c r="K130" i="19" s="1"/>
  <c r="D129" i="19"/>
  <c r="D130" i="19" s="1"/>
  <c r="BL128" i="19"/>
  <c r="BE128" i="19"/>
  <c r="AX128" i="19"/>
  <c r="AQ128" i="19"/>
  <c r="AI128" i="19"/>
  <c r="Y128" i="19"/>
  <c r="W128" i="19"/>
  <c r="R128" i="19"/>
  <c r="K128" i="19"/>
  <c r="D128" i="19"/>
  <c r="BS127" i="19"/>
  <c r="BH127" i="19"/>
  <c r="BA127" i="19"/>
  <c r="AX127" i="19"/>
  <c r="AQ127" i="19"/>
  <c r="AJ127" i="19"/>
  <c r="W127" i="19"/>
  <c r="AX126" i="19"/>
  <c r="AQ126" i="19"/>
  <c r="AI126" i="19"/>
  <c r="W126" i="19"/>
  <c r="AX125" i="19"/>
  <c r="AQ125" i="19"/>
  <c r="AI125" i="19"/>
  <c r="AX124" i="19"/>
  <c r="AP124" i="19"/>
  <c r="AI124" i="19"/>
  <c r="BO123" i="19"/>
  <c r="AW123" i="19"/>
  <c r="AQ123" i="19"/>
  <c r="AI123" i="19"/>
  <c r="AX122" i="19"/>
  <c r="AQ122" i="19"/>
  <c r="AI122" i="19"/>
  <c r="B122" i="19"/>
  <c r="B123" i="19" s="1"/>
  <c r="AW121" i="19"/>
  <c r="AQ121" i="19"/>
  <c r="AJ121" i="19"/>
  <c r="B121" i="19"/>
  <c r="AX120" i="19"/>
  <c r="AP120" i="19"/>
  <c r="AJ120" i="19"/>
  <c r="AX119" i="19"/>
  <c r="AQ119" i="19"/>
  <c r="AJ119" i="19"/>
  <c r="AX118" i="19"/>
  <c r="AP118" i="19"/>
  <c r="AJ118" i="19"/>
  <c r="AX117" i="19"/>
  <c r="AQ117" i="19"/>
  <c r="AJ117" i="19"/>
  <c r="AX116" i="19"/>
  <c r="AP116" i="19"/>
  <c r="AJ116" i="19"/>
  <c r="AX115" i="19"/>
  <c r="AQ115" i="19"/>
  <c r="AJ115" i="19"/>
  <c r="AX114" i="19"/>
  <c r="AQ114" i="19"/>
  <c r="AJ114" i="19"/>
  <c r="AX113" i="19"/>
  <c r="AQ113" i="19"/>
  <c r="AJ113" i="19"/>
  <c r="AX112" i="19"/>
  <c r="AQ112" i="19"/>
  <c r="AI112" i="19"/>
  <c r="AX111" i="19"/>
  <c r="AP111" i="19"/>
  <c r="AI111" i="19"/>
  <c r="AX110" i="19"/>
  <c r="AQ110" i="19"/>
  <c r="AJ110" i="19"/>
  <c r="AW109" i="19"/>
  <c r="AQ109" i="19"/>
  <c r="AI109" i="19"/>
  <c r="AX108" i="19"/>
  <c r="AQ108" i="19"/>
  <c r="AJ108" i="19"/>
  <c r="AW107" i="19"/>
  <c r="AQ107" i="19"/>
  <c r="AI107" i="19"/>
  <c r="AW106" i="19"/>
  <c r="AQ106" i="19"/>
  <c r="AW105" i="19"/>
  <c r="AP105" i="19"/>
  <c r="AJ105" i="19"/>
  <c r="AX104" i="19"/>
  <c r="AP104" i="19"/>
  <c r="AJ104" i="19"/>
  <c r="AX103" i="19"/>
  <c r="AP103" i="19"/>
  <c r="AI103" i="19"/>
  <c r="AX102" i="19"/>
  <c r="AQ102" i="19"/>
  <c r="AJ102" i="19"/>
  <c r="AX101" i="19"/>
  <c r="AQ101" i="19"/>
  <c r="AJ101" i="19"/>
  <c r="AQ100" i="19"/>
  <c r="AJ100" i="19"/>
  <c r="AW99" i="19"/>
  <c r="AQ99" i="19"/>
  <c r="AI99" i="19"/>
  <c r="AW98" i="19"/>
  <c r="AQ98" i="19"/>
  <c r="AI98" i="19"/>
  <c r="M98" i="19"/>
  <c r="AX97" i="19"/>
  <c r="AQ97" i="19"/>
  <c r="AI97" i="19"/>
  <c r="M97" i="19"/>
  <c r="F97" i="19"/>
  <c r="F98" i="19" s="1"/>
  <c r="AX96" i="19"/>
  <c r="AP96" i="19"/>
  <c r="AI96" i="19"/>
  <c r="T96" i="19"/>
  <c r="M96" i="19"/>
  <c r="F96" i="19"/>
  <c r="AX95" i="19"/>
  <c r="AQ95" i="19"/>
  <c r="AI95" i="19"/>
  <c r="AA95" i="19"/>
  <c r="AA96" i="19" s="1"/>
  <c r="T95" i="19"/>
  <c r="AX94" i="19"/>
  <c r="AP94" i="19"/>
  <c r="AI94" i="19"/>
  <c r="AA94" i="19"/>
  <c r="T94" i="19"/>
  <c r="AX93" i="19"/>
  <c r="AQ93" i="19"/>
  <c r="AJ93" i="19"/>
  <c r="AX92" i="19"/>
  <c r="AQ92" i="19"/>
  <c r="AI92" i="19"/>
  <c r="AX91" i="19"/>
  <c r="AQ91" i="19"/>
  <c r="AJ91" i="19"/>
  <c r="AX90" i="19"/>
  <c r="AQ90" i="19"/>
  <c r="AI90" i="19"/>
  <c r="AX89" i="19"/>
  <c r="AQ89" i="19"/>
  <c r="AI89" i="19"/>
  <c r="AX88" i="19"/>
  <c r="AP88" i="19"/>
  <c r="AI88" i="19"/>
  <c r="AX87" i="19"/>
  <c r="AP87" i="19"/>
  <c r="AX86" i="19"/>
  <c r="AQ86" i="19"/>
  <c r="AJ86" i="19"/>
  <c r="AX85" i="19"/>
  <c r="AQ85" i="19"/>
  <c r="AX84" i="19"/>
  <c r="AP84" i="19"/>
  <c r="AJ84" i="19"/>
  <c r="AW83" i="19"/>
  <c r="AP83" i="19"/>
  <c r="AW82" i="19"/>
  <c r="AQ82" i="19"/>
  <c r="AJ82" i="19"/>
  <c r="AX81" i="19"/>
  <c r="AQ81" i="19"/>
  <c r="AX80" i="19"/>
  <c r="AQ80" i="19"/>
  <c r="AI80" i="19"/>
  <c r="AX79" i="19"/>
  <c r="AQ79" i="19"/>
  <c r="AI79" i="19"/>
  <c r="AX78" i="19"/>
  <c r="AQ78" i="19"/>
  <c r="AX77" i="19"/>
  <c r="AQ77" i="19"/>
  <c r="AX76" i="19"/>
  <c r="AQ76" i="19"/>
  <c r="AJ76" i="19"/>
  <c r="AX75" i="19"/>
  <c r="AQ75" i="19"/>
  <c r="AJ75" i="19"/>
  <c r="AX74" i="19"/>
  <c r="AQ74" i="19"/>
  <c r="AJ74" i="19"/>
  <c r="AX73" i="19"/>
  <c r="AQ73" i="19"/>
  <c r="AI73" i="19"/>
  <c r="AQ72" i="19"/>
  <c r="AJ72" i="19"/>
  <c r="AX71" i="19"/>
  <c r="AQ71" i="19"/>
  <c r="AJ71" i="19"/>
  <c r="AX70" i="19"/>
  <c r="AQ70" i="19"/>
  <c r="AI70" i="19"/>
  <c r="AX69" i="19"/>
  <c r="AQ69" i="19"/>
  <c r="AI69" i="19"/>
  <c r="AX68" i="19"/>
  <c r="AQ68" i="19"/>
  <c r="AJ68" i="19"/>
  <c r="AX67" i="19"/>
  <c r="AQ67" i="19"/>
  <c r="AJ67" i="19"/>
  <c r="AX66" i="19"/>
  <c r="AQ66" i="19"/>
  <c r="AJ66" i="19"/>
  <c r="AX65" i="19"/>
  <c r="AQ65" i="19"/>
  <c r="AI65" i="19"/>
  <c r="AX64" i="19"/>
  <c r="AP64" i="19"/>
  <c r="AJ64" i="19"/>
  <c r="AX63" i="19"/>
  <c r="AP63" i="19"/>
  <c r="AX62" i="19"/>
  <c r="AQ62" i="19"/>
  <c r="AJ62" i="19"/>
  <c r="AX61" i="19"/>
  <c r="AQ61" i="19"/>
  <c r="AJ61" i="19"/>
  <c r="AX60" i="19"/>
  <c r="AP60" i="19"/>
  <c r="AJ60" i="19"/>
  <c r="AX59" i="19"/>
  <c r="AQ59" i="19"/>
  <c r="AI59" i="19"/>
  <c r="AX58" i="19"/>
  <c r="AP58" i="19"/>
  <c r="AJ58" i="19"/>
  <c r="AX57" i="19"/>
  <c r="AQ57" i="19"/>
  <c r="AI57" i="19"/>
  <c r="AX56" i="19"/>
  <c r="AQ56" i="19"/>
  <c r="AI56" i="19"/>
  <c r="AX55" i="19"/>
  <c r="AQ55" i="19"/>
  <c r="AJ55" i="19"/>
  <c r="AX54" i="19"/>
  <c r="AQ54" i="19"/>
  <c r="AJ54" i="19"/>
  <c r="AX53" i="19"/>
  <c r="AQ53" i="19"/>
  <c r="AW52" i="19"/>
  <c r="AQ52" i="19"/>
  <c r="AJ52" i="19"/>
  <c r="AW51" i="19"/>
  <c r="AQ51" i="19"/>
  <c r="AI51" i="19"/>
  <c r="AX50" i="19"/>
  <c r="AQ50" i="19"/>
  <c r="AI50" i="19"/>
  <c r="P50" i="19"/>
  <c r="AW49" i="19"/>
  <c r="AQ49" i="19"/>
  <c r="AI49" i="19"/>
  <c r="P49" i="19"/>
  <c r="AX48" i="19"/>
  <c r="AI48" i="19"/>
  <c r="P48" i="19"/>
  <c r="AW47" i="19"/>
  <c r="AQ47" i="19"/>
  <c r="AI47" i="19"/>
  <c r="AX46" i="19"/>
  <c r="AQ46" i="19"/>
  <c r="AJ46" i="19"/>
  <c r="AX45" i="19"/>
  <c r="AQ45" i="19"/>
  <c r="AJ45" i="19"/>
  <c r="AX44" i="19"/>
  <c r="AQ44" i="19"/>
  <c r="AJ44" i="19"/>
  <c r="AX43" i="19"/>
  <c r="AQ43" i="19"/>
  <c r="AJ43" i="19"/>
  <c r="AX42" i="19"/>
  <c r="AQ42" i="19"/>
  <c r="AJ42" i="19"/>
  <c r="AX41" i="19"/>
  <c r="AQ41" i="19"/>
  <c r="AJ41" i="19"/>
  <c r="AX40" i="19"/>
  <c r="AQ40" i="19"/>
  <c r="AJ40" i="19"/>
  <c r="AX39" i="19"/>
  <c r="AI39" i="19"/>
  <c r="AX38" i="19"/>
  <c r="AQ38" i="19"/>
  <c r="AI38" i="19"/>
  <c r="AX37" i="19"/>
  <c r="AQ37" i="19"/>
  <c r="AJ37" i="19"/>
  <c r="AX36" i="19"/>
  <c r="AQ36" i="19"/>
  <c r="AJ36" i="19"/>
  <c r="AX35" i="19"/>
  <c r="AQ35" i="19"/>
  <c r="AJ35" i="19"/>
  <c r="AX34" i="19"/>
  <c r="AQ34" i="19"/>
  <c r="AJ34" i="19"/>
  <c r="AX33" i="19"/>
  <c r="AQ33" i="19"/>
  <c r="AJ33" i="19"/>
  <c r="AX32" i="19"/>
  <c r="AQ32" i="19"/>
  <c r="AJ32" i="19"/>
  <c r="AW31" i="19"/>
  <c r="AQ31" i="19"/>
  <c r="AJ31" i="19"/>
  <c r="AW30" i="19"/>
  <c r="AQ30" i="19"/>
  <c r="AJ30" i="19"/>
  <c r="AX29" i="19"/>
  <c r="AQ29" i="19"/>
  <c r="AJ29" i="19"/>
  <c r="AQ28" i="19"/>
  <c r="AJ28" i="19"/>
  <c r="AX27" i="19"/>
  <c r="AQ27" i="19"/>
  <c r="AJ27" i="19"/>
  <c r="AQ26" i="19"/>
  <c r="AJ26" i="19"/>
  <c r="AW25" i="19"/>
  <c r="AQ25" i="19"/>
  <c r="AJ25" i="19"/>
  <c r="AQ24" i="19"/>
  <c r="AJ24" i="19"/>
  <c r="AP23" i="19"/>
  <c r="AJ23" i="19"/>
  <c r="AX22" i="19"/>
  <c r="AI22" i="19"/>
  <c r="AX21" i="19"/>
  <c r="AQ21" i="19"/>
  <c r="AI21" i="19"/>
  <c r="AX20" i="19"/>
  <c r="AP20" i="19"/>
  <c r="AJ20" i="19"/>
  <c r="AX19" i="19"/>
  <c r="AP19" i="19"/>
  <c r="AJ19" i="19"/>
  <c r="AW18" i="19"/>
  <c r="AQ18" i="19"/>
  <c r="AJ18" i="19"/>
  <c r="AX17" i="19"/>
  <c r="AJ17" i="19"/>
  <c r="AX16" i="19"/>
  <c r="AQ16" i="19"/>
  <c r="AJ16" i="19"/>
  <c r="AW15" i="19"/>
  <c r="AQ15" i="19"/>
  <c r="AJ15" i="19"/>
  <c r="AW14" i="19"/>
  <c r="AQ14" i="19"/>
  <c r="AJ14" i="19"/>
  <c r="AQ13" i="19"/>
  <c r="AJ13" i="19"/>
  <c r="AX12" i="19"/>
  <c r="AQ12" i="19"/>
  <c r="AJ12" i="19"/>
  <c r="AX11" i="19"/>
  <c r="AQ11" i="19"/>
  <c r="AJ11" i="19"/>
  <c r="AX10" i="19"/>
  <c r="AQ10" i="19"/>
  <c r="AJ10" i="19"/>
  <c r="AX9" i="19"/>
  <c r="AQ9" i="19"/>
  <c r="AJ9" i="19"/>
  <c r="AX8" i="19"/>
  <c r="AQ8" i="19"/>
  <c r="AI8" i="19"/>
  <c r="AW7" i="19"/>
  <c r="AQ7" i="19"/>
  <c r="AI7" i="19"/>
  <c r="AW6" i="19"/>
  <c r="AQ6" i="19"/>
  <c r="AI6" i="19"/>
  <c r="AW5" i="19"/>
  <c r="AQ5" i="19"/>
  <c r="AQ155" i="19" s="1"/>
  <c r="AJ5" i="19"/>
  <c r="AJ142" i="19" s="1"/>
  <c r="O100" i="16"/>
  <c r="N100" i="16"/>
  <c r="Q96" i="16"/>
  <c r="Q100" i="16" s="1"/>
  <c r="P96" i="16"/>
  <c r="P100" i="16" s="1"/>
  <c r="O96" i="16"/>
  <c r="N96" i="16"/>
  <c r="M96" i="16"/>
  <c r="M100" i="16" s="1"/>
  <c r="T85" i="16"/>
  <c r="P85" i="16"/>
  <c r="O85" i="16"/>
  <c r="M85" i="16"/>
  <c r="T84" i="16"/>
  <c r="T83" i="16"/>
  <c r="Q80" i="16"/>
  <c r="Q85" i="16" s="1"/>
  <c r="P80" i="16"/>
  <c r="O80" i="16"/>
  <c r="N80" i="16"/>
  <c r="N85" i="16" s="1"/>
  <c r="M80" i="16"/>
  <c r="AJ73" i="16"/>
  <c r="AI73" i="16"/>
  <c r="AJ72" i="16"/>
  <c r="AI72" i="16"/>
  <c r="AJ71" i="16"/>
  <c r="AI71" i="16"/>
  <c r="AJ70" i="16"/>
  <c r="AI70" i="16"/>
  <c r="AJ69" i="16"/>
  <c r="AI69" i="16"/>
  <c r="AJ68" i="16"/>
  <c r="AI68" i="16"/>
  <c r="AJ67" i="16"/>
  <c r="AI67" i="16"/>
  <c r="AJ66" i="16"/>
  <c r="AI66" i="16"/>
  <c r="AJ65" i="16"/>
  <c r="AI65" i="16"/>
  <c r="AJ64" i="16"/>
  <c r="AI64" i="16"/>
  <c r="AJ63" i="16"/>
  <c r="AI63" i="16"/>
  <c r="Q63" i="16"/>
  <c r="N63" i="16"/>
  <c r="M63" i="16"/>
  <c r="AJ62" i="16"/>
  <c r="AI62" i="16"/>
  <c r="AJ61" i="16"/>
  <c r="AI61" i="16"/>
  <c r="AJ60" i="16"/>
  <c r="AI60" i="16"/>
  <c r="AJ59" i="16"/>
  <c r="AI59" i="16"/>
  <c r="Q59" i="16"/>
  <c r="P59" i="16"/>
  <c r="P63" i="16" s="1"/>
  <c r="O59" i="16"/>
  <c r="O63" i="16" s="1"/>
  <c r="N59" i="16"/>
  <c r="M59" i="16"/>
  <c r="AJ58" i="16"/>
  <c r="AI58" i="16"/>
  <c r="AJ57" i="16"/>
  <c r="AI57" i="16"/>
  <c r="AJ56" i="16"/>
  <c r="AI56" i="16"/>
  <c r="AJ55" i="16"/>
  <c r="AI55" i="16"/>
  <c r="AJ54" i="16"/>
  <c r="AI54" i="16"/>
  <c r="AJ53" i="16"/>
  <c r="AI53" i="16"/>
  <c r="AJ52" i="16"/>
  <c r="AI52" i="16"/>
  <c r="AJ51" i="16"/>
  <c r="AI51" i="16"/>
  <c r="AJ50" i="16"/>
  <c r="AI50" i="16"/>
  <c r="AJ49" i="16"/>
  <c r="AI49" i="16"/>
  <c r="AJ48" i="16"/>
  <c r="AI48" i="16"/>
  <c r="AJ47" i="16"/>
  <c r="AI47" i="16"/>
  <c r="P47" i="16"/>
  <c r="AJ46" i="16"/>
  <c r="AI46" i="16"/>
  <c r="AJ45" i="16"/>
  <c r="AI45" i="16"/>
  <c r="AJ44" i="16"/>
  <c r="AI44" i="16"/>
  <c r="AJ43" i="16"/>
  <c r="AI43" i="16"/>
  <c r="Q43" i="16"/>
  <c r="P43" i="16"/>
  <c r="O43" i="16"/>
  <c r="N43" i="16"/>
  <c r="N47" i="16" s="1"/>
  <c r="M43" i="16"/>
  <c r="M47" i="16" s="1"/>
  <c r="AJ42" i="16"/>
  <c r="AI42" i="16"/>
  <c r="AJ41" i="16"/>
  <c r="AI41" i="16"/>
  <c r="AJ40" i="16"/>
  <c r="AI40" i="16"/>
  <c r="AJ39" i="16"/>
  <c r="AI39" i="16"/>
  <c r="AJ38" i="16"/>
  <c r="AI38" i="16"/>
  <c r="Q38" i="16"/>
  <c r="Q47" i="16" s="1"/>
  <c r="P38" i="16"/>
  <c r="O38" i="16"/>
  <c r="O47" i="16" s="1"/>
  <c r="N38" i="16"/>
  <c r="M38" i="16"/>
  <c r="AJ37" i="16"/>
  <c r="AI37" i="16"/>
  <c r="AJ36" i="16"/>
  <c r="AI36" i="16"/>
  <c r="AJ35" i="16"/>
  <c r="AI35" i="16"/>
  <c r="AJ34" i="16"/>
  <c r="AI34" i="16"/>
  <c r="AJ33" i="16"/>
  <c r="AI33" i="16"/>
  <c r="AJ32" i="16"/>
  <c r="AI32" i="16"/>
  <c r="AJ31" i="16"/>
  <c r="AI31" i="16"/>
  <c r="AJ30" i="16"/>
  <c r="AI30" i="16"/>
  <c r="AJ29" i="16"/>
  <c r="AI29" i="16"/>
  <c r="AJ28" i="16"/>
  <c r="AI28" i="16"/>
  <c r="W28" i="16"/>
  <c r="Q28" i="16"/>
  <c r="O28" i="16"/>
  <c r="N28" i="16"/>
  <c r="AJ27" i="16"/>
  <c r="AI27" i="16"/>
  <c r="W27" i="16"/>
  <c r="AJ26" i="16"/>
  <c r="AI26" i="16"/>
  <c r="W26" i="16"/>
  <c r="AJ25" i="16"/>
  <c r="AI25" i="16"/>
  <c r="BD24" i="16"/>
  <c r="BC24" i="16"/>
  <c r="AJ24" i="16"/>
  <c r="AI24" i="16"/>
  <c r="Q24" i="16"/>
  <c r="P24" i="16"/>
  <c r="O24" i="16"/>
  <c r="N24" i="16"/>
  <c r="M24" i="16"/>
  <c r="M28" i="16" s="1"/>
  <c r="BD23" i="16"/>
  <c r="BC23" i="16"/>
  <c r="AJ23" i="16"/>
  <c r="AI23" i="16"/>
  <c r="BD22" i="16"/>
  <c r="BC22" i="16"/>
  <c r="AJ22" i="16"/>
  <c r="AI22" i="16"/>
  <c r="BD21" i="16"/>
  <c r="BC21" i="16"/>
  <c r="AJ21" i="16"/>
  <c r="AI21" i="16"/>
  <c r="BD20" i="16"/>
  <c r="BC20" i="16"/>
  <c r="AJ20" i="16"/>
  <c r="AI20" i="16"/>
  <c r="BD19" i="16"/>
  <c r="BC19" i="16"/>
  <c r="AJ19" i="16"/>
  <c r="AI19" i="16"/>
  <c r="Z19" i="16"/>
  <c r="BD18" i="16"/>
  <c r="BC18" i="16"/>
  <c r="AT18" i="16"/>
  <c r="AS18" i="16"/>
  <c r="AJ18" i="16"/>
  <c r="AI18" i="16"/>
  <c r="Z18" i="16"/>
  <c r="Z20" i="16" s="1"/>
  <c r="BD17" i="16"/>
  <c r="BC17" i="16"/>
  <c r="AT17" i="16"/>
  <c r="AS17" i="16"/>
  <c r="AJ17" i="16"/>
  <c r="AI17" i="16"/>
  <c r="BD16" i="16"/>
  <c r="BC16" i="16"/>
  <c r="AT16" i="16"/>
  <c r="AS16" i="16"/>
  <c r="AJ16" i="16"/>
  <c r="AI16" i="16"/>
  <c r="BD15" i="16"/>
  <c r="BC15" i="16"/>
  <c r="AT15" i="16"/>
  <c r="AS15" i="16"/>
  <c r="AJ15" i="16"/>
  <c r="AI15" i="16"/>
  <c r="BD14" i="16"/>
  <c r="BC14" i="16"/>
  <c r="AT14" i="16"/>
  <c r="AS14" i="16"/>
  <c r="AJ14" i="16"/>
  <c r="AI14" i="16"/>
  <c r="BD13" i="16"/>
  <c r="BC13" i="16"/>
  <c r="AT13" i="16"/>
  <c r="AS13" i="16"/>
  <c r="AJ13" i="16"/>
  <c r="AI13" i="16"/>
  <c r="P13" i="16"/>
  <c r="O13" i="16"/>
  <c r="BD12" i="16"/>
  <c r="BC12" i="16"/>
  <c r="AT12" i="16"/>
  <c r="AS12" i="16"/>
  <c r="AJ12" i="16"/>
  <c r="AI12" i="16"/>
  <c r="BD11" i="16"/>
  <c r="BC11" i="16"/>
  <c r="AT11" i="16"/>
  <c r="AS11" i="16"/>
  <c r="AJ11" i="16"/>
  <c r="AI11" i="16"/>
  <c r="BD10" i="16"/>
  <c r="BC10" i="16"/>
  <c r="AT10" i="16"/>
  <c r="AS10" i="16"/>
  <c r="AJ10" i="16"/>
  <c r="AI10" i="16"/>
  <c r="BD9" i="16"/>
  <c r="BC9" i="16"/>
  <c r="AT9" i="16"/>
  <c r="AS9" i="16"/>
  <c r="AJ9" i="16"/>
  <c r="AI9" i="16"/>
  <c r="BD8" i="16"/>
  <c r="BC8" i="16"/>
  <c r="AT8" i="16"/>
  <c r="AT19" i="16" s="1"/>
  <c r="AS8" i="16"/>
  <c r="AJ8" i="16"/>
  <c r="AI8" i="16"/>
  <c r="Q8" i="16"/>
  <c r="Q13" i="16" s="1"/>
  <c r="P8" i="16"/>
  <c r="O8" i="16"/>
  <c r="N8" i="16"/>
  <c r="N13" i="16" s="1"/>
  <c r="M8" i="16"/>
  <c r="M13" i="16" s="1"/>
  <c r="BD7" i="16"/>
  <c r="BC7" i="16"/>
  <c r="AS7" i="16"/>
  <c r="AJ7" i="16"/>
  <c r="AI7" i="16"/>
  <c r="BD6" i="16"/>
  <c r="BC6" i="16"/>
  <c r="AS6" i="16"/>
  <c r="AJ6" i="16"/>
  <c r="AI6" i="16"/>
  <c r="BC5" i="16"/>
  <c r="BC26" i="16" s="1"/>
  <c r="AT5" i="16"/>
  <c r="AS5" i="16"/>
  <c r="AJ5" i="16"/>
  <c r="AJ74" i="16" s="1"/>
  <c r="AI5" i="16"/>
  <c r="BD4" i="16"/>
  <c r="BC4" i="16"/>
  <c r="AT4" i="16"/>
  <c r="AS4" i="16"/>
  <c r="AJ4" i="16"/>
  <c r="AI4" i="16"/>
  <c r="GJ154" i="15"/>
  <c r="JF153" i="15"/>
  <c r="JE153" i="15"/>
  <c r="GX153" i="15"/>
  <c r="GW153" i="15"/>
  <c r="GV153" i="15"/>
  <c r="GU153" i="15"/>
  <c r="GT153" i="15"/>
  <c r="GS153" i="15"/>
  <c r="GR153" i="15"/>
  <c r="GQ153" i="15"/>
  <c r="GN153" i="15"/>
  <c r="MM152" i="15"/>
  <c r="ML152" i="15"/>
  <c r="MH152" i="15"/>
  <c r="ME152" i="15"/>
  <c r="JH152" i="15"/>
  <c r="GM152" i="15"/>
  <c r="MO151" i="15"/>
  <c r="MF151" i="15"/>
  <c r="JG151" i="15"/>
  <c r="JC151" i="15"/>
  <c r="GN151" i="15"/>
  <c r="MN150" i="15"/>
  <c r="MJ150" i="15"/>
  <c r="MG150" i="15"/>
  <c r="JB150" i="15"/>
  <c r="GN150" i="15"/>
  <c r="MI149" i="15"/>
  <c r="MC149" i="15"/>
  <c r="JD149" i="15"/>
  <c r="GM149" i="15"/>
  <c r="MK148" i="15"/>
  <c r="MD148" i="15"/>
  <c r="GN148" i="15"/>
  <c r="GM147" i="15"/>
  <c r="GW146" i="15"/>
  <c r="GV146" i="15"/>
  <c r="GU146" i="15"/>
  <c r="GT146" i="15"/>
  <c r="GS146" i="15"/>
  <c r="GR146" i="15"/>
  <c r="GQ146" i="15"/>
  <c r="GN146" i="15"/>
  <c r="GM145" i="15"/>
  <c r="GB145" i="15"/>
  <c r="GA145" i="15"/>
  <c r="FZ145" i="15"/>
  <c r="FX145" i="15"/>
  <c r="FW145" i="15"/>
  <c r="GN144" i="15"/>
  <c r="MB143" i="15"/>
  <c r="KC143" i="15"/>
  <c r="JZ143" i="15"/>
  <c r="GN143" i="15"/>
  <c r="GD143" i="15"/>
  <c r="GC143" i="15"/>
  <c r="FY143" i="15"/>
  <c r="KD142" i="15"/>
  <c r="GN142" i="15"/>
  <c r="KI141" i="15"/>
  <c r="KF141" i="15"/>
  <c r="KE141" i="15"/>
  <c r="GM141" i="15"/>
  <c r="FQ141" i="15"/>
  <c r="GN140" i="15"/>
  <c r="FU140" i="15"/>
  <c r="GW139" i="15"/>
  <c r="GV139" i="15"/>
  <c r="GT139" i="15"/>
  <c r="GS139" i="15"/>
  <c r="GR139" i="15"/>
  <c r="GQ139" i="15"/>
  <c r="GN139" i="15"/>
  <c r="FT139" i="15"/>
  <c r="NG138" i="15"/>
  <c r="ND138" i="15"/>
  <c r="KG138" i="15"/>
  <c r="GU138" i="15"/>
  <c r="GM138" i="15"/>
  <c r="GD138" i="15"/>
  <c r="GC138" i="15"/>
  <c r="GB138" i="15"/>
  <c r="GA138" i="15"/>
  <c r="FZ138" i="15"/>
  <c r="FY138" i="15"/>
  <c r="FX138" i="15"/>
  <c r="FW138" i="15"/>
  <c r="FT138" i="15"/>
  <c r="OD137" i="15"/>
  <c r="LX137" i="15"/>
  <c r="KA137" i="15"/>
  <c r="IY137" i="15"/>
  <c r="GN137" i="15"/>
  <c r="FU137" i="15"/>
  <c r="KB136" i="15"/>
  <c r="GN136" i="15"/>
  <c r="FU136" i="15"/>
  <c r="NE135" i="15"/>
  <c r="GM135" i="15"/>
  <c r="FT135" i="15"/>
  <c r="KH134" i="15"/>
  <c r="JR134" i="15"/>
  <c r="JH134" i="15"/>
  <c r="JC134" i="15"/>
  <c r="JB134" i="15"/>
  <c r="GN134" i="15"/>
  <c r="FU134" i="15"/>
  <c r="LH133" i="15"/>
  <c r="LG133" i="15"/>
  <c r="LF133" i="15"/>
  <c r="LC133" i="15"/>
  <c r="LB133" i="15"/>
  <c r="KY133" i="15"/>
  <c r="KK133" i="15"/>
  <c r="KJ133" i="15"/>
  <c r="JS133" i="15"/>
  <c r="JL133" i="15"/>
  <c r="JG133" i="15"/>
  <c r="JF133" i="15"/>
  <c r="IO133" i="15"/>
  <c r="IN133" i="15"/>
  <c r="IM133" i="15"/>
  <c r="IL133" i="15"/>
  <c r="IK133" i="15"/>
  <c r="IJ133" i="15"/>
  <c r="II133" i="15"/>
  <c r="IH133" i="15"/>
  <c r="IG133" i="15"/>
  <c r="IF133" i="15"/>
  <c r="IE133" i="15"/>
  <c r="IB133" i="15"/>
  <c r="IA133" i="15"/>
  <c r="HZ133" i="15"/>
  <c r="HB133" i="15"/>
  <c r="GM133" i="15"/>
  <c r="FU133" i="15"/>
  <c r="MC132" i="15"/>
  <c r="MB132" i="15"/>
  <c r="LD132" i="15"/>
  <c r="LA132" i="15"/>
  <c r="KZ132" i="15"/>
  <c r="JN132" i="15"/>
  <c r="JJ132" i="15"/>
  <c r="JE132" i="15"/>
  <c r="JD132" i="15"/>
  <c r="ID132" i="15"/>
  <c r="HF132" i="15"/>
  <c r="GW132" i="15"/>
  <c r="GV132" i="15"/>
  <c r="GU132" i="15"/>
  <c r="GT132" i="15"/>
  <c r="GS132" i="15"/>
  <c r="GR132" i="15"/>
  <c r="GQ132" i="15"/>
  <c r="GM132" i="15"/>
  <c r="GA132" i="15"/>
  <c r="FZ132" i="15"/>
  <c r="FY132" i="15"/>
  <c r="FX132" i="15"/>
  <c r="FW132" i="15"/>
  <c r="FU132" i="15"/>
  <c r="NF131" i="15"/>
  <c r="ML131" i="15"/>
  <c r="MH131" i="15"/>
  <c r="MD131" i="15"/>
  <c r="LE131" i="15"/>
  <c r="JP131" i="15"/>
  <c r="IC131" i="15"/>
  <c r="HE131" i="15"/>
  <c r="GN131" i="15"/>
  <c r="FT131" i="15"/>
  <c r="NI130" i="15"/>
  <c r="NH130" i="15"/>
  <c r="MJ130" i="15"/>
  <c r="JQ130" i="15"/>
  <c r="JM130" i="15"/>
  <c r="JK130" i="15"/>
  <c r="JI130" i="15"/>
  <c r="HP130" i="15"/>
  <c r="HO130" i="15"/>
  <c r="HN130" i="15"/>
  <c r="HM130" i="15"/>
  <c r="HL130" i="15"/>
  <c r="HK130" i="15"/>
  <c r="HJ130" i="15"/>
  <c r="HE130" i="15"/>
  <c r="GN130" i="15"/>
  <c r="FT130" i="15"/>
  <c r="MN129" i="15"/>
  <c r="MF129" i="15"/>
  <c r="HF129" i="15"/>
  <c r="GN129" i="15"/>
  <c r="FU129" i="15"/>
  <c r="MM128" i="15"/>
  <c r="MK128" i="15"/>
  <c r="MG128" i="15"/>
  <c r="ME128" i="15"/>
  <c r="HF128" i="15"/>
  <c r="GN128" i="15"/>
  <c r="FT128" i="15"/>
  <c r="NA127" i="15"/>
  <c r="MI127" i="15"/>
  <c r="JW127" i="15"/>
  <c r="HF127" i="15"/>
  <c r="GN127" i="15"/>
  <c r="FT127" i="15"/>
  <c r="OG126" i="15"/>
  <c r="KU126" i="15"/>
  <c r="KA126" i="15"/>
  <c r="HW126" i="15"/>
  <c r="HF126" i="15"/>
  <c r="GN126" i="15"/>
  <c r="FU126" i="15"/>
  <c r="JO125" i="15"/>
  <c r="HF125" i="15"/>
  <c r="GV125" i="15"/>
  <c r="GU125" i="15"/>
  <c r="GT125" i="15"/>
  <c r="GS125" i="15"/>
  <c r="GR125" i="15"/>
  <c r="GQ125" i="15"/>
  <c r="GN125" i="15"/>
  <c r="GA125" i="15"/>
  <c r="FZ125" i="15"/>
  <c r="FY125" i="15"/>
  <c r="FX125" i="15"/>
  <c r="FW125" i="15"/>
  <c r="FT125" i="15"/>
  <c r="KN124" i="15"/>
  <c r="KK124" i="15"/>
  <c r="KG124" i="15"/>
  <c r="HF124" i="15"/>
  <c r="GN124" i="15"/>
  <c r="FT124" i="15"/>
  <c r="NN123" i="15"/>
  <c r="NK123" i="15"/>
  <c r="NJ123" i="15"/>
  <c r="NG123" i="15"/>
  <c r="KH123" i="15"/>
  <c r="KE123" i="15"/>
  <c r="JZ123" i="15"/>
  <c r="HQ123" i="15"/>
  <c r="HP123" i="15"/>
  <c r="HO123" i="15"/>
  <c r="HN123" i="15"/>
  <c r="HM123" i="15"/>
  <c r="HL123" i="15"/>
  <c r="HK123" i="15"/>
  <c r="HJ123" i="15"/>
  <c r="HF123" i="15"/>
  <c r="GM123" i="15"/>
  <c r="FT123" i="15"/>
  <c r="OA122" i="15"/>
  <c r="NO122" i="15"/>
  <c r="ND122" i="15"/>
  <c r="KM122" i="15"/>
  <c r="KJ122" i="15"/>
  <c r="HE122" i="15"/>
  <c r="GN122" i="15"/>
  <c r="FT122" i="15"/>
  <c r="NP121" i="15"/>
  <c r="NI121" i="15"/>
  <c r="NF121" i="15"/>
  <c r="KC121" i="15"/>
  <c r="HF121" i="15"/>
  <c r="GN121" i="15"/>
  <c r="FT121" i="15"/>
  <c r="KL120" i="15"/>
  <c r="HE120" i="15"/>
  <c r="GN120" i="15"/>
  <c r="FU120" i="15"/>
  <c r="NH119" i="15"/>
  <c r="KF119" i="15"/>
  <c r="KD119" i="15"/>
  <c r="HF119" i="15"/>
  <c r="GM119" i="15"/>
  <c r="FU119" i="15"/>
  <c r="HF118" i="15"/>
  <c r="GW118" i="15"/>
  <c r="GV118" i="15"/>
  <c r="GU118" i="15"/>
  <c r="GT118" i="15"/>
  <c r="GS118" i="15"/>
  <c r="GR118" i="15"/>
  <c r="GQ118" i="15"/>
  <c r="GN118" i="15"/>
  <c r="GB118" i="15"/>
  <c r="GA118" i="15"/>
  <c r="FZ118" i="15"/>
  <c r="FY118" i="15"/>
  <c r="FX118" i="15"/>
  <c r="FW118" i="15"/>
  <c r="FU118" i="15"/>
  <c r="NL117" i="15"/>
  <c r="KB117" i="15"/>
  <c r="HF117" i="15"/>
  <c r="GM117" i="15"/>
  <c r="FU117" i="15"/>
  <c r="NM116" i="15"/>
  <c r="HP116" i="15"/>
  <c r="HO116" i="15"/>
  <c r="HN116" i="15"/>
  <c r="HM116" i="15"/>
  <c r="HL116" i="15"/>
  <c r="HK116" i="15"/>
  <c r="HJ116" i="15"/>
  <c r="HF116" i="15"/>
  <c r="GN116" i="15"/>
  <c r="FU116" i="15"/>
  <c r="JO115" i="15"/>
  <c r="HF115" i="15"/>
  <c r="GM115" i="15"/>
  <c r="FU115" i="15"/>
  <c r="JR114" i="15"/>
  <c r="JM114" i="15"/>
  <c r="JL114" i="15"/>
  <c r="IU114" i="15"/>
  <c r="IT114" i="15"/>
  <c r="IS114" i="15"/>
  <c r="IR114" i="15"/>
  <c r="IQ114" i="15"/>
  <c r="IP114" i="15"/>
  <c r="IO114" i="15"/>
  <c r="IN114" i="15"/>
  <c r="IM114" i="15"/>
  <c r="IL114" i="15"/>
  <c r="IK114" i="15"/>
  <c r="II114" i="15"/>
  <c r="IH114" i="15"/>
  <c r="IG114" i="15"/>
  <c r="IF114" i="15"/>
  <c r="IE114" i="15"/>
  <c r="IC114" i="15"/>
  <c r="IB114" i="15"/>
  <c r="IA114" i="15"/>
  <c r="HZ114" i="15"/>
  <c r="HF114" i="15"/>
  <c r="GN114" i="15"/>
  <c r="FU114" i="15"/>
  <c r="MG113" i="15"/>
  <c r="LR113" i="15"/>
  <c r="LQ113" i="15"/>
  <c r="LO113" i="15"/>
  <c r="LN113" i="15"/>
  <c r="LM113" i="15"/>
  <c r="LL113" i="15"/>
  <c r="LK113" i="15"/>
  <c r="LJ113" i="15"/>
  <c r="LI113" i="15"/>
  <c r="LH113" i="15"/>
  <c r="LG113" i="15"/>
  <c r="LF113" i="15"/>
  <c r="LE113" i="15"/>
  <c r="LD113" i="15"/>
  <c r="LC113" i="15"/>
  <c r="LB113" i="15"/>
  <c r="KZ113" i="15"/>
  <c r="KY113" i="15"/>
  <c r="JS113" i="15"/>
  <c r="IJ113" i="15"/>
  <c r="ID113" i="15"/>
  <c r="HF113" i="15"/>
  <c r="GN113" i="15"/>
  <c r="FU113" i="15"/>
  <c r="ME112" i="15"/>
  <c r="MD112" i="15"/>
  <c r="LP112" i="15"/>
  <c r="LA112" i="15"/>
  <c r="JI112" i="15"/>
  <c r="JH112" i="15"/>
  <c r="JD112" i="15"/>
  <c r="JB112" i="15"/>
  <c r="HF112" i="15"/>
  <c r="GN112" i="15"/>
  <c r="FU112" i="15"/>
  <c r="MP111" i="15"/>
  <c r="MJ111" i="15"/>
  <c r="JK111" i="15"/>
  <c r="JJ111" i="15"/>
  <c r="JG111" i="15"/>
  <c r="JF111" i="15"/>
  <c r="HF111" i="15"/>
  <c r="GX111" i="15"/>
  <c r="GW111" i="15"/>
  <c r="GV111" i="15"/>
  <c r="GU111" i="15"/>
  <c r="GT111" i="15"/>
  <c r="GS111" i="15"/>
  <c r="GR111" i="15"/>
  <c r="GQ111" i="15"/>
  <c r="GN111" i="15"/>
  <c r="FY111" i="15"/>
  <c r="FX111" i="15"/>
  <c r="FT111" i="15"/>
  <c r="MO110" i="15"/>
  <c r="MK110" i="15"/>
  <c r="JQ110" i="15"/>
  <c r="JN110" i="15"/>
  <c r="HF110" i="15"/>
  <c r="GM110" i="15"/>
  <c r="FW110" i="15"/>
  <c r="FT110" i="15"/>
  <c r="MC109" i="15"/>
  <c r="MB109" i="15"/>
  <c r="JC109" i="15"/>
  <c r="HQ109" i="15"/>
  <c r="HP109" i="15"/>
  <c r="HO109" i="15"/>
  <c r="HN109" i="15"/>
  <c r="HM109" i="15"/>
  <c r="HL109" i="15"/>
  <c r="HK109" i="15"/>
  <c r="HJ109" i="15"/>
  <c r="HF109" i="15"/>
  <c r="GN109" i="15"/>
  <c r="FU109" i="15"/>
  <c r="ML108" i="15"/>
  <c r="JE108" i="15"/>
  <c r="HE108" i="15"/>
  <c r="GN108" i="15"/>
  <c r="FT108" i="15"/>
  <c r="MN107" i="15"/>
  <c r="MI107" i="15"/>
  <c r="MF107" i="15"/>
  <c r="KL107" i="15"/>
  <c r="KI107" i="15"/>
  <c r="JP107" i="15"/>
  <c r="HF107" i="15"/>
  <c r="GN107" i="15"/>
  <c r="FU107" i="15"/>
  <c r="NF106" i="15"/>
  <c r="KD106" i="15"/>
  <c r="KC106" i="15"/>
  <c r="HE106" i="15"/>
  <c r="GN106" i="15"/>
  <c r="FT106" i="15"/>
  <c r="NI105" i="15"/>
  <c r="MH105" i="15"/>
  <c r="KF105" i="15"/>
  <c r="HE105" i="15"/>
  <c r="GN105" i="15"/>
  <c r="NU104" i="15"/>
  <c r="NM104" i="15"/>
  <c r="KQ104" i="15"/>
  <c r="HE104" i="15"/>
  <c r="GW104" i="15"/>
  <c r="GV104" i="15"/>
  <c r="GU104" i="15"/>
  <c r="GT104" i="15"/>
  <c r="GS104" i="15"/>
  <c r="GR104" i="15"/>
  <c r="GQ104" i="15"/>
  <c r="GM104" i="15"/>
  <c r="GB104" i="15"/>
  <c r="GA104" i="15"/>
  <c r="FZ104" i="15"/>
  <c r="FY104" i="15"/>
  <c r="FX104" i="15"/>
  <c r="FW104" i="15"/>
  <c r="FU104" i="15"/>
  <c r="NS103" i="15"/>
  <c r="NN103" i="15"/>
  <c r="MM103" i="15"/>
  <c r="KK103" i="15"/>
  <c r="HF103" i="15"/>
  <c r="GM103" i="15"/>
  <c r="FU103" i="15"/>
  <c r="NO102" i="15"/>
  <c r="NJ102" i="15"/>
  <c r="KM102" i="15"/>
  <c r="KE102" i="15"/>
  <c r="HQ102" i="15"/>
  <c r="HP102" i="15"/>
  <c r="HO102" i="15"/>
  <c r="HN102" i="15"/>
  <c r="HM102" i="15"/>
  <c r="HL102" i="15"/>
  <c r="HK102" i="15"/>
  <c r="HJ102" i="15"/>
  <c r="HF102" i="15"/>
  <c r="GM102" i="15"/>
  <c r="FT102" i="15"/>
  <c r="NQ101" i="15"/>
  <c r="NL101" i="15"/>
  <c r="KP101" i="15"/>
  <c r="JZ101" i="15"/>
  <c r="HF101" i="15"/>
  <c r="GN101" i="15"/>
  <c r="FU101" i="15"/>
  <c r="KA100" i="15"/>
  <c r="HF100" i="15"/>
  <c r="GN100" i="15"/>
  <c r="FU100" i="15"/>
  <c r="NT99" i="15"/>
  <c r="NR99" i="15"/>
  <c r="GN99" i="15"/>
  <c r="FU99" i="15"/>
  <c r="HE98" i="15"/>
  <c r="GN98" i="15"/>
  <c r="FT98" i="15"/>
  <c r="NP97" i="15"/>
  <c r="NK97" i="15"/>
  <c r="KN97" i="15"/>
  <c r="KH97" i="15"/>
  <c r="KB97" i="15"/>
  <c r="HE97" i="15"/>
  <c r="GX97" i="15"/>
  <c r="GW97" i="15"/>
  <c r="GV97" i="15"/>
  <c r="GU97" i="15"/>
  <c r="GT97" i="15"/>
  <c r="GS97" i="15"/>
  <c r="GR97" i="15"/>
  <c r="GQ97" i="15"/>
  <c r="GN97" i="15"/>
  <c r="FT97" i="15"/>
  <c r="NE96" i="15"/>
  <c r="JL96" i="15"/>
  <c r="JK96" i="15"/>
  <c r="JI96" i="15"/>
  <c r="JH96" i="15"/>
  <c r="JE96" i="15"/>
  <c r="HF96" i="15"/>
  <c r="GN96" i="15"/>
  <c r="GA96" i="15"/>
  <c r="FZ96" i="15"/>
  <c r="FY96" i="15"/>
  <c r="FX96" i="15"/>
  <c r="FW96" i="15"/>
  <c r="FT96" i="15"/>
  <c r="KJ95" i="15"/>
  <c r="JS95" i="15"/>
  <c r="JP95" i="15"/>
  <c r="IU95" i="15"/>
  <c r="IT95" i="15"/>
  <c r="IR95" i="15"/>
  <c r="IQ95" i="15"/>
  <c r="IO95" i="15"/>
  <c r="IM95" i="15"/>
  <c r="IL95" i="15"/>
  <c r="IK95" i="15"/>
  <c r="IJ95" i="15"/>
  <c r="II95" i="15"/>
  <c r="IH95" i="15"/>
  <c r="HN95" i="15"/>
  <c r="HM95" i="15"/>
  <c r="HL95" i="15"/>
  <c r="HK95" i="15"/>
  <c r="HJ95" i="15"/>
  <c r="HF95" i="15"/>
  <c r="GM95" i="15"/>
  <c r="FT95" i="15"/>
  <c r="NH94" i="15"/>
  <c r="NG94" i="15"/>
  <c r="MH94" i="15"/>
  <c r="LR94" i="15"/>
  <c r="LP94" i="15"/>
  <c r="LO94" i="15"/>
  <c r="LN94" i="15"/>
  <c r="LM94" i="15"/>
  <c r="LL94" i="15"/>
  <c r="LK94" i="15"/>
  <c r="LI94" i="15"/>
  <c r="LH94" i="15"/>
  <c r="LD94" i="15"/>
  <c r="LC94" i="15"/>
  <c r="LB94" i="15"/>
  <c r="LA94" i="15"/>
  <c r="KZ94" i="15"/>
  <c r="KY94" i="15"/>
  <c r="KG94" i="15"/>
  <c r="IP94" i="15"/>
  <c r="IN94" i="15"/>
  <c r="IG94" i="15"/>
  <c r="IF94" i="15"/>
  <c r="ID94" i="15"/>
  <c r="IC94" i="15"/>
  <c r="IB94" i="15"/>
  <c r="IA94" i="15"/>
  <c r="HZ94" i="15"/>
  <c r="HF94" i="15"/>
  <c r="GN94" i="15"/>
  <c r="FT94" i="15"/>
  <c r="ND93" i="15"/>
  <c r="LT93" i="15"/>
  <c r="LS93" i="15"/>
  <c r="LQ93" i="15"/>
  <c r="LG93" i="15"/>
  <c r="LF93" i="15"/>
  <c r="LE93" i="15"/>
  <c r="JG93" i="15"/>
  <c r="JD93" i="15"/>
  <c r="JC93" i="15"/>
  <c r="JB93" i="15"/>
  <c r="IE93" i="15"/>
  <c r="HF93" i="15"/>
  <c r="GM93" i="15"/>
  <c r="FT93" i="15"/>
  <c r="MP92" i="15"/>
  <c r="ME92" i="15"/>
  <c r="JR92" i="15"/>
  <c r="JQ92" i="15"/>
  <c r="JO92" i="15"/>
  <c r="JM92" i="15"/>
  <c r="JJ92" i="15"/>
  <c r="JF92" i="15"/>
  <c r="HF92" i="15"/>
  <c r="GN92" i="15"/>
  <c r="FU92" i="15"/>
  <c r="MQ91" i="15"/>
  <c r="ML91" i="15"/>
  <c r="MJ91" i="15"/>
  <c r="MI91" i="15"/>
  <c r="HF91" i="15"/>
  <c r="GN91" i="15"/>
  <c r="FT91" i="15"/>
  <c r="MO90" i="15"/>
  <c r="MN90" i="15"/>
  <c r="MB90" i="15"/>
  <c r="HF90" i="15"/>
  <c r="GX90" i="15"/>
  <c r="GW90" i="15"/>
  <c r="GV90" i="15"/>
  <c r="GU90" i="15"/>
  <c r="GT90" i="15"/>
  <c r="GS90" i="15"/>
  <c r="GR90" i="15"/>
  <c r="GQ90" i="15"/>
  <c r="GN90" i="15"/>
  <c r="FU90" i="15"/>
  <c r="MK89" i="15"/>
  <c r="MG89" i="15"/>
  <c r="MF89" i="15"/>
  <c r="MD89" i="15"/>
  <c r="JN89" i="15"/>
  <c r="HF89" i="15"/>
  <c r="GN89" i="15"/>
  <c r="FT89" i="15"/>
  <c r="NR88" i="15"/>
  <c r="KD88" i="15"/>
  <c r="HS88" i="15"/>
  <c r="HR88" i="15"/>
  <c r="HQ88" i="15"/>
  <c r="HP88" i="15"/>
  <c r="HO88" i="15"/>
  <c r="HN88" i="15"/>
  <c r="HM88" i="15"/>
  <c r="HL88" i="15"/>
  <c r="HK88" i="15"/>
  <c r="HJ88" i="15"/>
  <c r="HF88" i="15"/>
  <c r="GN88" i="15"/>
  <c r="GD88" i="15"/>
  <c r="GC88" i="15"/>
  <c r="GB88" i="15"/>
  <c r="GA88" i="15"/>
  <c r="FZ88" i="15"/>
  <c r="FY88" i="15"/>
  <c r="FX88" i="15"/>
  <c r="FW88" i="15"/>
  <c r="FT88" i="15"/>
  <c r="NS87" i="15"/>
  <c r="NN87" i="15"/>
  <c r="NM87" i="15"/>
  <c r="NE87" i="15"/>
  <c r="MM87" i="15"/>
  <c r="MC87" i="15"/>
  <c r="KO87" i="15"/>
  <c r="KN87" i="15"/>
  <c r="KF87" i="15"/>
  <c r="JZ87" i="15"/>
  <c r="IS87" i="15"/>
  <c r="HF87" i="15"/>
  <c r="GM87" i="15"/>
  <c r="FT87" i="15"/>
  <c r="NU86" i="15"/>
  <c r="LJ86" i="15"/>
  <c r="HF86" i="15"/>
  <c r="GM86" i="15"/>
  <c r="NI85" i="15"/>
  <c r="KJ85" i="15"/>
  <c r="HF85" i="15"/>
  <c r="GN85" i="15"/>
  <c r="FU85" i="15"/>
  <c r="FB85" i="15"/>
  <c r="NT84" i="15"/>
  <c r="NK84" i="15"/>
  <c r="NH84" i="15"/>
  <c r="KL84" i="15"/>
  <c r="KI84" i="15"/>
  <c r="HF84" i="15"/>
  <c r="GN84" i="15"/>
  <c r="FL84" i="15"/>
  <c r="NO83" i="15"/>
  <c r="NF83" i="15"/>
  <c r="KG83" i="15"/>
  <c r="HF83" i="15"/>
  <c r="GV83" i="15"/>
  <c r="GU83" i="15"/>
  <c r="GT83" i="15"/>
  <c r="GS83" i="15"/>
  <c r="GR83" i="15"/>
  <c r="GQ83" i="15"/>
  <c r="GM83" i="15"/>
  <c r="FU83" i="15"/>
  <c r="FL83" i="15"/>
  <c r="NP82" i="15"/>
  <c r="NL82" i="15"/>
  <c r="KM82" i="15"/>
  <c r="HE82" i="15"/>
  <c r="GM82" i="15"/>
  <c r="FL82" i="15"/>
  <c r="ND81" i="15"/>
  <c r="KK81" i="15"/>
  <c r="KE81" i="15"/>
  <c r="HP81" i="15"/>
  <c r="HO81" i="15"/>
  <c r="HN81" i="15"/>
  <c r="HM81" i="15"/>
  <c r="HL81" i="15"/>
  <c r="HK81" i="15"/>
  <c r="HJ81" i="15"/>
  <c r="HE81" i="15"/>
  <c r="GN81" i="15"/>
  <c r="FU81" i="15"/>
  <c r="FL81" i="15"/>
  <c r="NJ80" i="15"/>
  <c r="HQ80" i="15"/>
  <c r="HF80" i="15"/>
  <c r="GN80" i="15"/>
  <c r="GD80" i="15"/>
  <c r="GC80" i="15"/>
  <c r="FZ80" i="15"/>
  <c r="FY80" i="15"/>
  <c r="FW80" i="15"/>
  <c r="FL80" i="15"/>
  <c r="NQ79" i="15"/>
  <c r="KC79" i="15"/>
  <c r="HF79" i="15"/>
  <c r="GN79" i="15"/>
  <c r="GA79" i="15"/>
  <c r="FT79" i="15"/>
  <c r="FL79" i="15"/>
  <c r="KA78" i="15"/>
  <c r="HF78" i="15"/>
  <c r="GN78" i="15"/>
  <c r="GB78" i="15"/>
  <c r="FX78" i="15"/>
  <c r="FT78" i="15"/>
  <c r="FL78" i="15"/>
  <c r="JK77" i="15"/>
  <c r="JJ77" i="15"/>
  <c r="HF77" i="15"/>
  <c r="GN77" i="15"/>
  <c r="FL77" i="15"/>
  <c r="NG76" i="15"/>
  <c r="KH76" i="15"/>
  <c r="JI76" i="15"/>
  <c r="JH76" i="15"/>
  <c r="JG76" i="15"/>
  <c r="IS76" i="15"/>
  <c r="IR76" i="15"/>
  <c r="IP76" i="15"/>
  <c r="IO76" i="15"/>
  <c r="IN76" i="15"/>
  <c r="IL76" i="15"/>
  <c r="IK76" i="15"/>
  <c r="IJ76" i="15"/>
  <c r="II76" i="15"/>
  <c r="IH76" i="15"/>
  <c r="IG76" i="15"/>
  <c r="ID76" i="15"/>
  <c r="IC76" i="15"/>
  <c r="HZ76" i="15"/>
  <c r="HF76" i="15"/>
  <c r="GN76" i="15"/>
  <c r="FL76" i="15"/>
  <c r="ME75" i="15"/>
  <c r="LR75" i="15"/>
  <c r="LP75" i="15"/>
  <c r="LN75" i="15"/>
  <c r="LK75" i="15"/>
  <c r="LJ75" i="15"/>
  <c r="LH75" i="15"/>
  <c r="LG75" i="15"/>
  <c r="LF75" i="15"/>
  <c r="LD75" i="15"/>
  <c r="LC75" i="15"/>
  <c r="LB75" i="15"/>
  <c r="LA75" i="15"/>
  <c r="KZ75" i="15"/>
  <c r="KY75" i="15"/>
  <c r="JS75" i="15"/>
  <c r="JR75" i="15"/>
  <c r="JQ75" i="15"/>
  <c r="JP75" i="15"/>
  <c r="JN75" i="15"/>
  <c r="JM75" i="15"/>
  <c r="IE75" i="15"/>
  <c r="HF75" i="15"/>
  <c r="GW75" i="15"/>
  <c r="GV75" i="15"/>
  <c r="GU75" i="15"/>
  <c r="GT75" i="15"/>
  <c r="GS75" i="15"/>
  <c r="GR75" i="15"/>
  <c r="GQ75" i="15"/>
  <c r="GN75" i="15"/>
  <c r="FU75" i="15"/>
  <c r="FL75" i="15"/>
  <c r="MK74" i="15"/>
  <c r="MI74" i="15"/>
  <c r="MH74" i="15"/>
  <c r="LS74" i="15"/>
  <c r="LO74" i="15"/>
  <c r="LM74" i="15"/>
  <c r="LI74" i="15"/>
  <c r="LE74" i="15"/>
  <c r="JL74" i="15"/>
  <c r="JC74" i="15"/>
  <c r="IQ74" i="15"/>
  <c r="IM74" i="15"/>
  <c r="IF74" i="15"/>
  <c r="IB74" i="15"/>
  <c r="HM74" i="15"/>
  <c r="HL74" i="15"/>
  <c r="HK74" i="15"/>
  <c r="HJ74" i="15"/>
  <c r="HF74" i="15"/>
  <c r="GN74" i="15"/>
  <c r="FU74" i="15"/>
  <c r="FL74" i="15"/>
  <c r="EA74" i="15"/>
  <c r="ML73" i="15"/>
  <c r="LQ73" i="15"/>
  <c r="LL73" i="15"/>
  <c r="JF73" i="15"/>
  <c r="JE73" i="15"/>
  <c r="JB73" i="15"/>
  <c r="HF73" i="15"/>
  <c r="GN73" i="15"/>
  <c r="FU73" i="15"/>
  <c r="FL73" i="15"/>
  <c r="EK73" i="15"/>
  <c r="MJ72" i="15"/>
  <c r="MG72" i="15"/>
  <c r="MB72" i="15"/>
  <c r="JD72" i="15"/>
  <c r="IA72" i="15"/>
  <c r="HN72" i="15"/>
  <c r="HF72" i="15"/>
  <c r="GN72" i="15"/>
  <c r="GB72" i="15"/>
  <c r="GA72" i="15"/>
  <c r="FZ72" i="15"/>
  <c r="FY72" i="15"/>
  <c r="FX72" i="15"/>
  <c r="FW72" i="15"/>
  <c r="FT72" i="15"/>
  <c r="FL72" i="15"/>
  <c r="EK72" i="15"/>
  <c r="GN71" i="15"/>
  <c r="FU71" i="15"/>
  <c r="FL71" i="15"/>
  <c r="EK71" i="15"/>
  <c r="NP70" i="15"/>
  <c r="MC70" i="15"/>
  <c r="KH70" i="15"/>
  <c r="JO70" i="15"/>
  <c r="HF70" i="15"/>
  <c r="GN70" i="15"/>
  <c r="FU70" i="15"/>
  <c r="FL70" i="15"/>
  <c r="EK70" i="15"/>
  <c r="NT69" i="15"/>
  <c r="NL69" i="15"/>
  <c r="MD69" i="15"/>
  <c r="KF69" i="15"/>
  <c r="KE69" i="15"/>
  <c r="JZ69" i="15"/>
  <c r="HF69" i="15"/>
  <c r="GN69" i="15"/>
  <c r="FT69" i="15"/>
  <c r="FL69" i="15"/>
  <c r="EK69" i="15"/>
  <c r="NJ68" i="15"/>
  <c r="NI68" i="15"/>
  <c r="ND68" i="15"/>
  <c r="MF68" i="15"/>
  <c r="KD68" i="15"/>
  <c r="HF68" i="15"/>
  <c r="GV68" i="15"/>
  <c r="GU68" i="15"/>
  <c r="GT68" i="15"/>
  <c r="GR68" i="15"/>
  <c r="GQ68" i="15"/>
  <c r="GN68" i="15"/>
  <c r="FT68" i="15"/>
  <c r="FL68" i="15"/>
  <c r="EK68" i="15"/>
  <c r="NH67" i="15"/>
  <c r="HO67" i="15"/>
  <c r="HN67" i="15"/>
  <c r="HM67" i="15"/>
  <c r="HL67" i="15"/>
  <c r="HK67" i="15"/>
  <c r="HJ67" i="15"/>
  <c r="HF67" i="15"/>
  <c r="GS67" i="15"/>
  <c r="GN67" i="15"/>
  <c r="FU67" i="15"/>
  <c r="FL67" i="15"/>
  <c r="EK67" i="15"/>
  <c r="KK66" i="15"/>
  <c r="KI66" i="15"/>
  <c r="HF66" i="15"/>
  <c r="GN66" i="15"/>
  <c r="FU66" i="15"/>
  <c r="FL66" i="15"/>
  <c r="EK66" i="15"/>
  <c r="NO65" i="15"/>
  <c r="NM65" i="15"/>
  <c r="KJ65" i="15"/>
  <c r="KG65" i="15"/>
  <c r="HF65" i="15"/>
  <c r="GN65" i="15"/>
  <c r="GD65" i="15"/>
  <c r="GC65" i="15"/>
  <c r="GB65" i="15"/>
  <c r="FZ65" i="15"/>
  <c r="FY65" i="15"/>
  <c r="FX65" i="15"/>
  <c r="FW65" i="15"/>
  <c r="FU65" i="15"/>
  <c r="FL65" i="15"/>
  <c r="EK65" i="15"/>
  <c r="NS64" i="15"/>
  <c r="NN64" i="15"/>
  <c r="NK64" i="15"/>
  <c r="HF64" i="15"/>
  <c r="GN64" i="15"/>
  <c r="GA64" i="15"/>
  <c r="FT64" i="15"/>
  <c r="FL64" i="15"/>
  <c r="EK64" i="15"/>
  <c r="KC63" i="15"/>
  <c r="HF63" i="15"/>
  <c r="GM63" i="15"/>
  <c r="FU63" i="15"/>
  <c r="FL63" i="15"/>
  <c r="EK63" i="15"/>
  <c r="NG62" i="15"/>
  <c r="HF62" i="15"/>
  <c r="GM62" i="15"/>
  <c r="FL62" i="15"/>
  <c r="EK62" i="15"/>
  <c r="NQ61" i="15"/>
  <c r="KB61" i="15"/>
  <c r="KA61" i="15"/>
  <c r="HF61" i="15"/>
  <c r="GN61" i="15"/>
  <c r="FU61" i="15"/>
  <c r="FL61" i="15"/>
  <c r="EK61" i="15"/>
  <c r="NF60" i="15"/>
  <c r="NE60" i="15"/>
  <c r="HO60" i="15"/>
  <c r="HN60" i="15"/>
  <c r="HM60" i="15"/>
  <c r="HL60" i="15"/>
  <c r="HK60" i="15"/>
  <c r="HJ60" i="15"/>
  <c r="HF60" i="15"/>
  <c r="GV60" i="15"/>
  <c r="GU60" i="15"/>
  <c r="GT60" i="15"/>
  <c r="GS60" i="15"/>
  <c r="GR60" i="15"/>
  <c r="GQ60" i="15"/>
  <c r="GN60" i="15"/>
  <c r="FU60" i="15"/>
  <c r="FL60" i="15"/>
  <c r="EK60" i="15"/>
  <c r="HF59" i="15"/>
  <c r="GW59" i="15"/>
  <c r="GM59" i="15"/>
  <c r="FU59" i="15"/>
  <c r="FL59" i="15"/>
  <c r="EK59" i="15"/>
  <c r="JK58" i="15"/>
  <c r="JJ58" i="15"/>
  <c r="JI58" i="15"/>
  <c r="JD58" i="15"/>
  <c r="HF58" i="15"/>
  <c r="GN58" i="15"/>
  <c r="GD58" i="15"/>
  <c r="GC58" i="15"/>
  <c r="GB58" i="15"/>
  <c r="GA58" i="15"/>
  <c r="FZ58" i="15"/>
  <c r="FY58" i="15"/>
  <c r="FX58" i="15"/>
  <c r="FW58" i="15"/>
  <c r="FT58" i="15"/>
  <c r="FL58" i="15"/>
  <c r="EK58" i="15"/>
  <c r="JQ57" i="15"/>
  <c r="JH57" i="15"/>
  <c r="JE57" i="15"/>
  <c r="JB57" i="15"/>
  <c r="IN57" i="15"/>
  <c r="IM57" i="15"/>
  <c r="IL57" i="15"/>
  <c r="IK57" i="15"/>
  <c r="IJ57" i="15"/>
  <c r="II57" i="15"/>
  <c r="IH57" i="15"/>
  <c r="IG57" i="15"/>
  <c r="IF57" i="15"/>
  <c r="IC57" i="15"/>
  <c r="IB57" i="15"/>
  <c r="HZ57" i="15"/>
  <c r="HF57" i="15"/>
  <c r="GM57" i="15"/>
  <c r="FU57" i="15"/>
  <c r="FL57" i="15"/>
  <c r="EK57" i="15"/>
  <c r="LJ56" i="15"/>
  <c r="LI56" i="15"/>
  <c r="LH56" i="15"/>
  <c r="LG56" i="15"/>
  <c r="LF56" i="15"/>
  <c r="LE56" i="15"/>
  <c r="LD56" i="15"/>
  <c r="LC56" i="15"/>
  <c r="LB56" i="15"/>
  <c r="LA56" i="15"/>
  <c r="KO56" i="15"/>
  <c r="JO56" i="15"/>
  <c r="JN56" i="15"/>
  <c r="JM56" i="15"/>
  <c r="JF56" i="15"/>
  <c r="HF56" i="15"/>
  <c r="GN56" i="15"/>
  <c r="FT56" i="15"/>
  <c r="FL56" i="15"/>
  <c r="EK56" i="15"/>
  <c r="NS55" i="15"/>
  <c r="MT55" i="15"/>
  <c r="MS55" i="15"/>
  <c r="MK55" i="15"/>
  <c r="MJ55" i="15"/>
  <c r="LO55" i="15"/>
  <c r="LN55" i="15"/>
  <c r="LM55" i="15"/>
  <c r="KY55" i="15"/>
  <c r="JL55" i="15"/>
  <c r="JG55" i="15"/>
  <c r="JC55" i="15"/>
  <c r="IE55" i="15"/>
  <c r="IA55" i="15"/>
  <c r="HF55" i="15"/>
  <c r="GN55" i="15"/>
  <c r="FT55" i="15"/>
  <c r="FL55" i="15"/>
  <c r="EK55" i="15"/>
  <c r="MH54" i="15"/>
  <c r="LP54" i="15"/>
  <c r="LL54" i="15"/>
  <c r="KZ54" i="15"/>
  <c r="KP54" i="15"/>
  <c r="KL54" i="15"/>
  <c r="KK54" i="15"/>
  <c r="KG54" i="15"/>
  <c r="KE54" i="15"/>
  <c r="KD54" i="15"/>
  <c r="HF54" i="15"/>
  <c r="GN54" i="15"/>
  <c r="FU54" i="15"/>
  <c r="FL54" i="15"/>
  <c r="EK54" i="15"/>
  <c r="NT53" i="15"/>
  <c r="NP53" i="15"/>
  <c r="NO53" i="15"/>
  <c r="NK53" i="15"/>
  <c r="NI53" i="15"/>
  <c r="NH53" i="15"/>
  <c r="MN53" i="15"/>
  <c r="MM53" i="15"/>
  <c r="KI53" i="15"/>
  <c r="KC53" i="15"/>
  <c r="HF53" i="15"/>
  <c r="GN53" i="15"/>
  <c r="FU53" i="15"/>
  <c r="FL53" i="15"/>
  <c r="EK53" i="15"/>
  <c r="NM52" i="15"/>
  <c r="NG52" i="15"/>
  <c r="ML52" i="15"/>
  <c r="MI52" i="15"/>
  <c r="MG52" i="15"/>
  <c r="MC52" i="15"/>
  <c r="LK52" i="15"/>
  <c r="KM52" i="15"/>
  <c r="KJ52" i="15"/>
  <c r="KH52" i="15"/>
  <c r="KA52" i="15"/>
  <c r="HS52" i="15"/>
  <c r="HR52" i="15"/>
  <c r="HQ52" i="15"/>
  <c r="HP52" i="15"/>
  <c r="HO52" i="15"/>
  <c r="HN52" i="15"/>
  <c r="HM52" i="15"/>
  <c r="HL52" i="15"/>
  <c r="HK52" i="15"/>
  <c r="HJ52" i="15"/>
  <c r="HF52" i="15"/>
  <c r="GV52" i="15"/>
  <c r="GU52" i="15"/>
  <c r="GT52" i="15"/>
  <c r="GS52" i="15"/>
  <c r="GR52" i="15"/>
  <c r="GQ52" i="15"/>
  <c r="GN52" i="15"/>
  <c r="FL52" i="15"/>
  <c r="EK52" i="15"/>
  <c r="NQ51" i="15"/>
  <c r="NN51" i="15"/>
  <c r="NL51" i="15"/>
  <c r="NE51" i="15"/>
  <c r="MR51" i="15"/>
  <c r="MQ51" i="15"/>
  <c r="MP51" i="15"/>
  <c r="KF51" i="15"/>
  <c r="KB51" i="15"/>
  <c r="HE51" i="15"/>
  <c r="GN51" i="15"/>
  <c r="FZ51" i="15"/>
  <c r="FY51" i="15"/>
  <c r="FU51" i="15"/>
  <c r="FL51" i="15"/>
  <c r="EK51" i="15"/>
  <c r="NJ50" i="15"/>
  <c r="NF50" i="15"/>
  <c r="MB50" i="15"/>
  <c r="KN50" i="15"/>
  <c r="JZ50" i="15"/>
  <c r="HE50" i="15"/>
  <c r="GN50" i="15"/>
  <c r="GA50" i="15"/>
  <c r="FX50" i="15"/>
  <c r="FT50" i="15"/>
  <c r="FL50" i="15"/>
  <c r="EK50" i="15"/>
  <c r="NR49" i="15"/>
  <c r="ND49" i="15"/>
  <c r="MF49" i="15"/>
  <c r="ME49" i="15"/>
  <c r="MD49" i="15"/>
  <c r="HF49" i="15"/>
  <c r="GN49" i="15"/>
  <c r="FT49" i="15"/>
  <c r="FL49" i="15"/>
  <c r="EK49" i="15"/>
  <c r="HE48" i="15"/>
  <c r="GN48" i="15"/>
  <c r="FT48" i="15"/>
  <c r="FL48" i="15"/>
  <c r="EK48" i="15"/>
  <c r="MO47" i="15"/>
  <c r="HF47" i="15"/>
  <c r="FT47" i="15"/>
  <c r="FL47" i="15"/>
  <c r="EK47" i="15"/>
  <c r="HE46" i="15"/>
  <c r="GN46" i="15"/>
  <c r="FT46" i="15"/>
  <c r="FL46" i="15"/>
  <c r="EK46" i="15"/>
  <c r="HP45" i="15"/>
  <c r="HO45" i="15"/>
  <c r="HM45" i="15"/>
  <c r="HL45" i="15"/>
  <c r="HJ45" i="15"/>
  <c r="HF45" i="15"/>
  <c r="GN45" i="15"/>
  <c r="FU45" i="15"/>
  <c r="FL45" i="15"/>
  <c r="EK45" i="15"/>
  <c r="HN44" i="15"/>
  <c r="HK44" i="15"/>
  <c r="HF44" i="15"/>
  <c r="GX44" i="15"/>
  <c r="GV44" i="15"/>
  <c r="GU44" i="15"/>
  <c r="GT44" i="15"/>
  <c r="GS44" i="15"/>
  <c r="GR44" i="15"/>
  <c r="GQ44" i="15"/>
  <c r="GN44" i="15"/>
  <c r="GC44" i="15"/>
  <c r="GA44" i="15"/>
  <c r="FZ44" i="15"/>
  <c r="FY44" i="15"/>
  <c r="FX44" i="15"/>
  <c r="FW44" i="15"/>
  <c r="FU44" i="15"/>
  <c r="FL44" i="15"/>
  <c r="EN44" i="15"/>
  <c r="EK44" i="15"/>
  <c r="HF43" i="15"/>
  <c r="GN43" i="15"/>
  <c r="GB43" i="15"/>
  <c r="FU43" i="15"/>
  <c r="FL43" i="15"/>
  <c r="EX43" i="15"/>
  <c r="EK43" i="15"/>
  <c r="HF42" i="15"/>
  <c r="GN42" i="15"/>
  <c r="FU42" i="15"/>
  <c r="FL42" i="15"/>
  <c r="EX42" i="15"/>
  <c r="EK42" i="15"/>
  <c r="HF41" i="15"/>
  <c r="GN41" i="15"/>
  <c r="FU41" i="15"/>
  <c r="FL41" i="15"/>
  <c r="EX41" i="15"/>
  <c r="EK41" i="15"/>
  <c r="HF40" i="15"/>
  <c r="GN40" i="15"/>
  <c r="FU40" i="15"/>
  <c r="FL40" i="15"/>
  <c r="EX40" i="15"/>
  <c r="EK40" i="15"/>
  <c r="AT40" i="15"/>
  <c r="JD39" i="15"/>
  <c r="HF39" i="15"/>
  <c r="GN39" i="15"/>
  <c r="FU39" i="15"/>
  <c r="FL39" i="15"/>
  <c r="EX39" i="15"/>
  <c r="EK39" i="15"/>
  <c r="JQ38" i="15"/>
  <c r="JO38" i="15"/>
  <c r="JM38" i="15"/>
  <c r="JL38" i="15"/>
  <c r="JK38" i="15"/>
  <c r="JI38" i="15"/>
  <c r="JE38" i="15"/>
  <c r="IK38" i="15"/>
  <c r="IJ38" i="15"/>
  <c r="II38" i="15"/>
  <c r="IH38" i="15"/>
  <c r="IG38" i="15"/>
  <c r="IF38" i="15"/>
  <c r="IE38" i="15"/>
  <c r="ID38" i="15"/>
  <c r="IC38" i="15"/>
  <c r="IA38" i="15"/>
  <c r="HO38" i="15"/>
  <c r="HN38" i="15"/>
  <c r="HM38" i="15"/>
  <c r="HL38" i="15"/>
  <c r="HJ38" i="15"/>
  <c r="HF38" i="15"/>
  <c r="FT38" i="15"/>
  <c r="FL38" i="15"/>
  <c r="EX38" i="15"/>
  <c r="EK38" i="15"/>
  <c r="DD38" i="15"/>
  <c r="DC38" i="15"/>
  <c r="MW37" i="15"/>
  <c r="MQ37" i="15"/>
  <c r="LM37" i="15"/>
  <c r="LL37" i="15"/>
  <c r="LJ37" i="15"/>
  <c r="LI37" i="15"/>
  <c r="LH37" i="15"/>
  <c r="LG37" i="15"/>
  <c r="LF37" i="15"/>
  <c r="LE37" i="15"/>
  <c r="LD37" i="15"/>
  <c r="LC37" i="15"/>
  <c r="LB37" i="15"/>
  <c r="LA37" i="15"/>
  <c r="KY37" i="15"/>
  <c r="KK37" i="15"/>
  <c r="KG37" i="15"/>
  <c r="KE37" i="15"/>
  <c r="KC37" i="15"/>
  <c r="KA37" i="15"/>
  <c r="JJ37" i="15"/>
  <c r="JH37" i="15"/>
  <c r="JG37" i="15"/>
  <c r="JC37" i="15"/>
  <c r="JB37" i="15"/>
  <c r="HK37" i="15"/>
  <c r="HF37" i="15"/>
  <c r="GN37" i="15"/>
  <c r="GB37" i="15"/>
  <c r="GA37" i="15"/>
  <c r="FZ37" i="15"/>
  <c r="FY37" i="15"/>
  <c r="FX37" i="15"/>
  <c r="FW37" i="15"/>
  <c r="FT37" i="15"/>
  <c r="FL37" i="15"/>
  <c r="EX37" i="15"/>
  <c r="EK37" i="15"/>
  <c r="DD37" i="15"/>
  <c r="DC37" i="15"/>
  <c r="NK36" i="15"/>
  <c r="NG36" i="15"/>
  <c r="MV36" i="15"/>
  <c r="MU36" i="15"/>
  <c r="MT36" i="15"/>
  <c r="MS36" i="15"/>
  <c r="MP36" i="15"/>
  <c r="MO36" i="15"/>
  <c r="MK36" i="15"/>
  <c r="MJ36" i="15"/>
  <c r="MH36" i="15"/>
  <c r="MG36" i="15"/>
  <c r="MC36" i="15"/>
  <c r="KQ36" i="15"/>
  <c r="KO36" i="15"/>
  <c r="KM36" i="15"/>
  <c r="KD36" i="15"/>
  <c r="IB36" i="15"/>
  <c r="HF36" i="15"/>
  <c r="GX36" i="15"/>
  <c r="GW36" i="15"/>
  <c r="GV36" i="15"/>
  <c r="GU36" i="15"/>
  <c r="GT36" i="15"/>
  <c r="GR36" i="15"/>
  <c r="GQ36" i="15"/>
  <c r="GN36" i="15"/>
  <c r="FU36" i="15"/>
  <c r="FL36" i="15"/>
  <c r="EX36" i="15"/>
  <c r="EK36" i="15"/>
  <c r="DD36" i="15"/>
  <c r="DC36" i="15"/>
  <c r="NQ35" i="15"/>
  <c r="NO35" i="15"/>
  <c r="NM35" i="15"/>
  <c r="NE35" i="15"/>
  <c r="ND35" i="15"/>
  <c r="MR35" i="15"/>
  <c r="MF35" i="15"/>
  <c r="ME35" i="15"/>
  <c r="MD35" i="15"/>
  <c r="LK35" i="15"/>
  <c r="HF35" i="15"/>
  <c r="GS35" i="15"/>
  <c r="GN35" i="15"/>
  <c r="FU35" i="15"/>
  <c r="FL35" i="15"/>
  <c r="EX35" i="15"/>
  <c r="EK35" i="15"/>
  <c r="DD35" i="15"/>
  <c r="DC35" i="15"/>
  <c r="MN34" i="15"/>
  <c r="MB34" i="15"/>
  <c r="KZ34" i="15"/>
  <c r="HF34" i="15"/>
  <c r="GN34" i="15"/>
  <c r="FU34" i="15"/>
  <c r="FL34" i="15"/>
  <c r="EX34" i="15"/>
  <c r="EK34" i="15"/>
  <c r="DD34" i="15"/>
  <c r="DC34" i="15"/>
  <c r="KP33" i="15"/>
  <c r="JZ33" i="15"/>
  <c r="HF33" i="15"/>
  <c r="GN33" i="15"/>
  <c r="FU33" i="15"/>
  <c r="FL33" i="15"/>
  <c r="EX33" i="15"/>
  <c r="EK33" i="15"/>
  <c r="DD33" i="15"/>
  <c r="DC33" i="15"/>
  <c r="NP32" i="15"/>
  <c r="MM32" i="15"/>
  <c r="ML32" i="15"/>
  <c r="MI32" i="15"/>
  <c r="KB32" i="15"/>
  <c r="HF32" i="15"/>
  <c r="GN32" i="15"/>
  <c r="FU32" i="15"/>
  <c r="FL32" i="15"/>
  <c r="EX32" i="15"/>
  <c r="EK32" i="15"/>
  <c r="DD32" i="15"/>
  <c r="DC32" i="15"/>
  <c r="HZ31" i="15"/>
  <c r="HQ31" i="15"/>
  <c r="HP31" i="15"/>
  <c r="HO31" i="15"/>
  <c r="HN31" i="15"/>
  <c r="HL31" i="15"/>
  <c r="HJ31" i="15"/>
  <c r="HF31" i="15"/>
  <c r="GN31" i="15"/>
  <c r="FU31" i="15"/>
  <c r="FL31" i="15"/>
  <c r="EX31" i="15"/>
  <c r="EK31" i="15"/>
  <c r="DD31" i="15"/>
  <c r="DC31" i="15"/>
  <c r="HE30" i="15"/>
  <c r="GN30" i="15"/>
  <c r="FU30" i="15"/>
  <c r="FL30" i="15"/>
  <c r="EX30" i="15"/>
  <c r="EK30" i="15"/>
  <c r="KF29" i="15"/>
  <c r="HE29" i="15"/>
  <c r="GX29" i="15"/>
  <c r="GV29" i="15"/>
  <c r="GS29" i="15"/>
  <c r="GR29" i="15"/>
  <c r="GN29" i="15"/>
  <c r="GA29" i="15"/>
  <c r="FZ29" i="15"/>
  <c r="FY29" i="15"/>
  <c r="FX29" i="15"/>
  <c r="FW29" i="15"/>
  <c r="FU29" i="15"/>
  <c r="FL29" i="15"/>
  <c r="EX29" i="15"/>
  <c r="EK29" i="15"/>
  <c r="NF28" i="15"/>
  <c r="HF28" i="15"/>
  <c r="GW28" i="15"/>
  <c r="GU28" i="15"/>
  <c r="GT28" i="15"/>
  <c r="GQ28" i="15"/>
  <c r="GN28" i="15"/>
  <c r="FU28" i="15"/>
  <c r="FL28" i="15"/>
  <c r="EX28" i="15"/>
  <c r="EK28" i="15"/>
  <c r="KJ27" i="15"/>
  <c r="GN27" i="15"/>
  <c r="FU27" i="15"/>
  <c r="FL27" i="15"/>
  <c r="EX27" i="15"/>
  <c r="EK27" i="15"/>
  <c r="NJ26" i="15"/>
  <c r="KN26" i="15"/>
  <c r="HF26" i="15"/>
  <c r="GN26" i="15"/>
  <c r="FU26" i="15"/>
  <c r="FL26" i="15"/>
  <c r="EX26" i="15"/>
  <c r="EK26" i="15"/>
  <c r="NN25" i="15"/>
  <c r="KL25" i="15"/>
  <c r="GN25" i="15"/>
  <c r="FU25" i="15"/>
  <c r="FL25" i="15"/>
  <c r="EX25" i="15"/>
  <c r="EK25" i="15"/>
  <c r="QH24" i="15"/>
  <c r="NL24" i="15"/>
  <c r="HM24" i="15"/>
  <c r="HL24" i="15"/>
  <c r="HK24" i="15"/>
  <c r="HJ24" i="15"/>
  <c r="HE24" i="15"/>
  <c r="GN24" i="15"/>
  <c r="FU24" i="15"/>
  <c r="FL24" i="15"/>
  <c r="EX24" i="15"/>
  <c r="EK24" i="15"/>
  <c r="DW24" i="15"/>
  <c r="DV24" i="15"/>
  <c r="BC24" i="15"/>
  <c r="GN23" i="15"/>
  <c r="FU23" i="15"/>
  <c r="FL23" i="15"/>
  <c r="EX23" i="15"/>
  <c r="EK23" i="15"/>
  <c r="DW23" i="15"/>
  <c r="DV23" i="15"/>
  <c r="GX22" i="15"/>
  <c r="GW22" i="15"/>
  <c r="GV22" i="15"/>
  <c r="GS22" i="15"/>
  <c r="GR22" i="15"/>
  <c r="GQ22" i="15"/>
  <c r="GM22" i="15"/>
  <c r="GF22" i="15"/>
  <c r="GE22" i="15"/>
  <c r="GD22" i="15"/>
  <c r="GC22" i="15"/>
  <c r="GB22" i="15"/>
  <c r="GA22" i="15"/>
  <c r="FZ22" i="15"/>
  <c r="FY22" i="15"/>
  <c r="FW22" i="15"/>
  <c r="FU22" i="15"/>
  <c r="FL22" i="15"/>
  <c r="EX22" i="15"/>
  <c r="EK22" i="15"/>
  <c r="DW22" i="15"/>
  <c r="DV22" i="15"/>
  <c r="HF21" i="15"/>
  <c r="GT21" i="15"/>
  <c r="FX21" i="15"/>
  <c r="FT21" i="15"/>
  <c r="FL21" i="15"/>
  <c r="EX21" i="15"/>
  <c r="EK21" i="15"/>
  <c r="DW21" i="15"/>
  <c r="DV21" i="15"/>
  <c r="KH20" i="15"/>
  <c r="JN20" i="15"/>
  <c r="JM20" i="15"/>
  <c r="JI20" i="15"/>
  <c r="JH20" i="15"/>
  <c r="HF20" i="15"/>
  <c r="GN20" i="15"/>
  <c r="FT20" i="15"/>
  <c r="FL20" i="15"/>
  <c r="EX20" i="15"/>
  <c r="EK20" i="15"/>
  <c r="DW20" i="15"/>
  <c r="DV20" i="15"/>
  <c r="NL19" i="15"/>
  <c r="JD19" i="15"/>
  <c r="JC19" i="15"/>
  <c r="IJ19" i="15"/>
  <c r="II19" i="15"/>
  <c r="IH19" i="15"/>
  <c r="IF19" i="15"/>
  <c r="IE19" i="15"/>
  <c r="ID19" i="15"/>
  <c r="IC19" i="15"/>
  <c r="HF19" i="15"/>
  <c r="GM19" i="15"/>
  <c r="FU19" i="15"/>
  <c r="FL19" i="15"/>
  <c r="EX19" i="15"/>
  <c r="EK19" i="15"/>
  <c r="DW19" i="15"/>
  <c r="DV19" i="15"/>
  <c r="NU18" i="15"/>
  <c r="NS18" i="15"/>
  <c r="NM18" i="15"/>
  <c r="MM18" i="15"/>
  <c r="MH18" i="15"/>
  <c r="MG18" i="15"/>
  <c r="LM18" i="15"/>
  <c r="LF18" i="15"/>
  <c r="LE18" i="15"/>
  <c r="JK18" i="15"/>
  <c r="JG18" i="15"/>
  <c r="JF18" i="15"/>
  <c r="IK18" i="15"/>
  <c r="IB18" i="15"/>
  <c r="IA18" i="15"/>
  <c r="HF18" i="15"/>
  <c r="GM18" i="15"/>
  <c r="FU18" i="15"/>
  <c r="FL18" i="15"/>
  <c r="EX18" i="15"/>
  <c r="EK18" i="15"/>
  <c r="DW18" i="15"/>
  <c r="DV18" i="15"/>
  <c r="MU17" i="15"/>
  <c r="MC17" i="15"/>
  <c r="MB17" i="15"/>
  <c r="LD17" i="15"/>
  <c r="LC17" i="15"/>
  <c r="LB17" i="15"/>
  <c r="LA17" i="15"/>
  <c r="KY17" i="15"/>
  <c r="KI17" i="15"/>
  <c r="IG17" i="15"/>
  <c r="HE17" i="15"/>
  <c r="GN17" i="15"/>
  <c r="FU17" i="15"/>
  <c r="FL17" i="15"/>
  <c r="EX17" i="15"/>
  <c r="EK17" i="15"/>
  <c r="DW17" i="15"/>
  <c r="DV17" i="15"/>
  <c r="MR16" i="15"/>
  <c r="MQ16" i="15"/>
  <c r="MP16" i="15"/>
  <c r="MO16" i="15"/>
  <c r="ML16" i="15"/>
  <c r="ME16" i="15"/>
  <c r="LI16" i="15"/>
  <c r="KZ16" i="15"/>
  <c r="KK16" i="15"/>
  <c r="JJ16" i="15"/>
  <c r="JE16" i="15"/>
  <c r="HP16" i="15"/>
  <c r="HO16" i="15"/>
  <c r="HN16" i="15"/>
  <c r="HM16" i="15"/>
  <c r="HK16" i="15"/>
  <c r="HJ16" i="15"/>
  <c r="HF16" i="15"/>
  <c r="FU16" i="15"/>
  <c r="FL16" i="15"/>
  <c r="EX16" i="15"/>
  <c r="EK16" i="15"/>
  <c r="NQ15" i="15"/>
  <c r="NO15" i="15"/>
  <c r="NJ15" i="15"/>
  <c r="MN15" i="15"/>
  <c r="MF15" i="15"/>
  <c r="MD15" i="15"/>
  <c r="KM15" i="15"/>
  <c r="KF15" i="15"/>
  <c r="HQ15" i="15"/>
  <c r="HF15" i="15"/>
  <c r="GW15" i="15"/>
  <c r="GV15" i="15"/>
  <c r="GU15" i="15"/>
  <c r="GT15" i="15"/>
  <c r="GS15" i="15"/>
  <c r="GR15" i="15"/>
  <c r="GQ15" i="15"/>
  <c r="GN15" i="15"/>
  <c r="FU15" i="15"/>
  <c r="FL15" i="15"/>
  <c r="EX15" i="15"/>
  <c r="EK15" i="15"/>
  <c r="NR14" i="15"/>
  <c r="NP14" i="15"/>
  <c r="MT14" i="15"/>
  <c r="MJ14" i="15"/>
  <c r="LK14" i="15"/>
  <c r="LG14" i="15"/>
  <c r="KL14" i="15"/>
  <c r="HL14" i="15"/>
  <c r="HE14" i="15"/>
  <c r="GN14" i="15"/>
  <c r="GF14" i="15"/>
  <c r="GE14" i="15"/>
  <c r="GD14" i="15"/>
  <c r="GC14" i="15"/>
  <c r="GB14" i="15"/>
  <c r="GA14" i="15"/>
  <c r="FZ14" i="15"/>
  <c r="FY14" i="15"/>
  <c r="FX14" i="15"/>
  <c r="FW14" i="15"/>
  <c r="FU14" i="15"/>
  <c r="FL14" i="15"/>
  <c r="EX14" i="15"/>
  <c r="EK14" i="15"/>
  <c r="NT13" i="15"/>
  <c r="NG13" i="15"/>
  <c r="NF13" i="15"/>
  <c r="MS13" i="15"/>
  <c r="KC13" i="15"/>
  <c r="KB13" i="15"/>
  <c r="HE13" i="15"/>
  <c r="GN13" i="15"/>
  <c r="FU13" i="15"/>
  <c r="FL13" i="15"/>
  <c r="EX13" i="15"/>
  <c r="EK13" i="15"/>
  <c r="MI12" i="15"/>
  <c r="LH12" i="15"/>
  <c r="JL12" i="15"/>
  <c r="GN12" i="15"/>
  <c r="FU12" i="15"/>
  <c r="FL12" i="15"/>
  <c r="EX12" i="15"/>
  <c r="EK12" i="15"/>
  <c r="NE11" i="15"/>
  <c r="MK11" i="15"/>
  <c r="LN11" i="15"/>
  <c r="KA11" i="15"/>
  <c r="HF11" i="15"/>
  <c r="GN11" i="15"/>
  <c r="FU11" i="15"/>
  <c r="FL11" i="15"/>
  <c r="EX11" i="15"/>
  <c r="EK11" i="15"/>
  <c r="NK10" i="15"/>
  <c r="NI10" i="15"/>
  <c r="ND10" i="15"/>
  <c r="LJ10" i="15"/>
  <c r="KG10" i="15"/>
  <c r="KE10" i="15"/>
  <c r="KD10" i="15"/>
  <c r="JZ10" i="15"/>
  <c r="HF10" i="15"/>
  <c r="GN10" i="15"/>
  <c r="FU10" i="15"/>
  <c r="FL10" i="15"/>
  <c r="EX10" i="15"/>
  <c r="EK10" i="15"/>
  <c r="CM10" i="15"/>
  <c r="AH10" i="15"/>
  <c r="DT10" i="15" s="1"/>
  <c r="NH9" i="15"/>
  <c r="HO9" i="15"/>
  <c r="HN9" i="15"/>
  <c r="HM9" i="15"/>
  <c r="HL9" i="15"/>
  <c r="HK9" i="15"/>
  <c r="HJ9" i="15"/>
  <c r="HF9" i="15"/>
  <c r="GN9" i="15"/>
  <c r="FU9" i="15"/>
  <c r="FL9" i="15"/>
  <c r="EX9" i="15"/>
  <c r="EK9" i="15"/>
  <c r="DT9" i="15"/>
  <c r="DS9" i="15"/>
  <c r="AD9" i="15"/>
  <c r="HF8" i="15"/>
  <c r="GU8" i="15"/>
  <c r="GT8" i="15"/>
  <c r="GS8" i="15"/>
  <c r="GR8" i="15"/>
  <c r="GQ8" i="15"/>
  <c r="GN8" i="15"/>
  <c r="FU8" i="15"/>
  <c r="FL8" i="15"/>
  <c r="EX8" i="15"/>
  <c r="EK8" i="15"/>
  <c r="DT8" i="15"/>
  <c r="DS8" i="15"/>
  <c r="NN7" i="15"/>
  <c r="KJ7" i="15"/>
  <c r="HF7" i="15"/>
  <c r="GN7" i="15"/>
  <c r="GF7" i="15"/>
  <c r="GE7" i="15"/>
  <c r="GD7" i="15"/>
  <c r="GC7" i="15"/>
  <c r="GB7" i="15"/>
  <c r="GA7" i="15"/>
  <c r="FZ7" i="15"/>
  <c r="FY7" i="15"/>
  <c r="FX7" i="15"/>
  <c r="FW7" i="15"/>
  <c r="FT7" i="15"/>
  <c r="FL7" i="15"/>
  <c r="EX7" i="15"/>
  <c r="EK7" i="15"/>
  <c r="AI7" i="15"/>
  <c r="DT7" i="15" s="1"/>
  <c r="LL6" i="15"/>
  <c r="HE6" i="15"/>
  <c r="GN6" i="15"/>
  <c r="FT6" i="15"/>
  <c r="FL6" i="15"/>
  <c r="EX6" i="15"/>
  <c r="EK6" i="15"/>
  <c r="CU6" i="15"/>
  <c r="CN6" i="15"/>
  <c r="CJ6" i="15"/>
  <c r="AD6" i="15"/>
  <c r="HE5" i="15"/>
  <c r="GN5" i="15"/>
  <c r="FT5" i="15"/>
  <c r="FL5" i="15"/>
  <c r="EX5" i="15"/>
  <c r="EK5" i="15"/>
  <c r="DT5" i="15"/>
  <c r="DS5" i="15"/>
  <c r="AE5" i="15"/>
  <c r="HE4" i="15"/>
  <c r="GN4" i="15"/>
  <c r="FU4" i="15"/>
  <c r="FL4" i="15"/>
  <c r="EX4" i="15"/>
  <c r="EX44" i="15" s="1"/>
  <c r="EX45" i="15" s="1"/>
  <c r="EK4" i="15"/>
  <c r="DT4" i="15"/>
  <c r="DS4" i="15"/>
  <c r="CJ4" i="15"/>
  <c r="DT3" i="15"/>
  <c r="DS3" i="15"/>
  <c r="N37" i="14"/>
  <c r="L37" i="14"/>
  <c r="K37" i="14"/>
  <c r="O37" i="14" s="1"/>
  <c r="J37" i="14"/>
  <c r="G37" i="14"/>
  <c r="M37" i="14" s="1"/>
  <c r="N36" i="14"/>
  <c r="M36" i="14"/>
  <c r="K36" i="14"/>
  <c r="J36" i="14"/>
  <c r="O36" i="14" s="1"/>
  <c r="G36" i="14"/>
  <c r="L36" i="14" s="1"/>
  <c r="G35" i="14"/>
  <c r="M34" i="14"/>
  <c r="L34" i="14"/>
  <c r="K34" i="14"/>
  <c r="G34" i="14"/>
  <c r="J34" i="14" s="1"/>
  <c r="O33" i="14"/>
  <c r="N33" i="14"/>
  <c r="L33" i="14"/>
  <c r="K33" i="14"/>
  <c r="J33" i="14"/>
  <c r="G33" i="14"/>
  <c r="M33" i="14" s="1"/>
  <c r="N32" i="14"/>
  <c r="G32" i="14"/>
  <c r="K32" i="14" s="1"/>
  <c r="M31" i="14"/>
  <c r="J31" i="14"/>
  <c r="G31" i="14"/>
  <c r="N31" i="14" s="1"/>
  <c r="L30" i="14"/>
  <c r="G30" i="14"/>
  <c r="N30" i="14" s="1"/>
  <c r="N29" i="14"/>
  <c r="L29" i="14"/>
  <c r="K29" i="14"/>
  <c r="J29" i="14"/>
  <c r="G29" i="14"/>
  <c r="M29" i="14" s="1"/>
  <c r="M28" i="14"/>
  <c r="L28" i="14"/>
  <c r="K28" i="14"/>
  <c r="G28" i="14"/>
  <c r="J28" i="14" s="1"/>
  <c r="AU27" i="14"/>
  <c r="AT27" i="14"/>
  <c r="AR27" i="14"/>
  <c r="AQ27" i="14"/>
  <c r="AP27" i="14"/>
  <c r="AM27" i="14"/>
  <c r="AS27" i="14" s="1"/>
  <c r="N27" i="14"/>
  <c r="G27" i="14"/>
  <c r="K27" i="14" s="1"/>
  <c r="AS26" i="14"/>
  <c r="AP26" i="14"/>
  <c r="AM26" i="14"/>
  <c r="AT26" i="14" s="1"/>
  <c r="L26" i="14"/>
  <c r="G26" i="14"/>
  <c r="N26" i="14" s="1"/>
  <c r="AT25" i="14"/>
  <c r="AR25" i="14"/>
  <c r="AQ25" i="14"/>
  <c r="AP25" i="14"/>
  <c r="AM25" i="14"/>
  <c r="AS25" i="14" s="1"/>
  <c r="N25" i="14"/>
  <c r="M25" i="14"/>
  <c r="K25" i="14"/>
  <c r="J25" i="14"/>
  <c r="G25" i="14"/>
  <c r="L25" i="14" s="1"/>
  <c r="AM24" i="14"/>
  <c r="M24" i="14"/>
  <c r="L24" i="14"/>
  <c r="K24" i="14"/>
  <c r="G24" i="14"/>
  <c r="J24" i="14" s="1"/>
  <c r="AT23" i="14"/>
  <c r="AR23" i="14"/>
  <c r="AQ23" i="14"/>
  <c r="AP23" i="14"/>
  <c r="AM23" i="14"/>
  <c r="AS23" i="14" s="1"/>
  <c r="AU23" i="14" s="1"/>
  <c r="N23" i="14"/>
  <c r="G23" i="14"/>
  <c r="K23" i="14" s="1"/>
  <c r="AS22" i="14"/>
  <c r="AP22" i="14"/>
  <c r="AM22" i="14"/>
  <c r="AT22" i="14" s="1"/>
  <c r="N22" i="14"/>
  <c r="M22" i="14"/>
  <c r="K22" i="14"/>
  <c r="J22" i="14"/>
  <c r="O22" i="14" s="1"/>
  <c r="G22" i="14"/>
  <c r="L22" i="14" s="1"/>
  <c r="AM21" i="14"/>
  <c r="AD21" i="14"/>
  <c r="AB21" i="14"/>
  <c r="AA21" i="14"/>
  <c r="Z21" i="14"/>
  <c r="W21" i="14"/>
  <c r="AC21" i="14" s="1"/>
  <c r="N21" i="14"/>
  <c r="G21" i="14"/>
  <c r="K21" i="14" s="1"/>
  <c r="AS20" i="14"/>
  <c r="AP20" i="14"/>
  <c r="AM20" i="14"/>
  <c r="AT20" i="14" s="1"/>
  <c r="AD20" i="14"/>
  <c r="AB20" i="14"/>
  <c r="AA20" i="14"/>
  <c r="Z20" i="14"/>
  <c r="W20" i="14"/>
  <c r="AC20" i="14" s="1"/>
  <c r="N20" i="14"/>
  <c r="M20" i="14"/>
  <c r="K20" i="14"/>
  <c r="J20" i="14"/>
  <c r="G20" i="14"/>
  <c r="L20" i="14" s="1"/>
  <c r="AM19" i="14"/>
  <c r="AD19" i="14"/>
  <c r="AB19" i="14"/>
  <c r="AA19" i="14"/>
  <c r="Z19" i="14"/>
  <c r="W19" i="14"/>
  <c r="AC19" i="14" s="1"/>
  <c r="N19" i="14"/>
  <c r="G19" i="14"/>
  <c r="K19" i="14" s="1"/>
  <c r="AS18" i="14"/>
  <c r="AP18" i="14"/>
  <c r="AM18" i="14"/>
  <c r="AT18" i="14" s="1"/>
  <c r="AD18" i="14"/>
  <c r="AB18" i="14"/>
  <c r="AA18" i="14"/>
  <c r="Z18" i="14"/>
  <c r="W18" i="14"/>
  <c r="AC18" i="14" s="1"/>
  <c r="N18" i="14"/>
  <c r="M18" i="14"/>
  <c r="K18" i="14"/>
  <c r="J18" i="14"/>
  <c r="G18" i="14"/>
  <c r="L18" i="14" s="1"/>
  <c r="AM17" i="14"/>
  <c r="AD17" i="14"/>
  <c r="AB17" i="14"/>
  <c r="AA17" i="14"/>
  <c r="Z17" i="14"/>
  <c r="W17" i="14"/>
  <c r="AC17" i="14" s="1"/>
  <c r="N17" i="14"/>
  <c r="G17" i="14"/>
  <c r="K17" i="14" s="1"/>
  <c r="AS16" i="14"/>
  <c r="AM16" i="14"/>
  <c r="AP16" i="14" s="1"/>
  <c r="AD16" i="14"/>
  <c r="AB16" i="14"/>
  <c r="AA16" i="14"/>
  <c r="Z16" i="14"/>
  <c r="W16" i="14"/>
  <c r="AC16" i="14" s="1"/>
  <c r="N16" i="14"/>
  <c r="M16" i="14"/>
  <c r="K16" i="14"/>
  <c r="J16" i="14"/>
  <c r="G16" i="14"/>
  <c r="L16" i="14" s="1"/>
  <c r="AM15" i="14"/>
  <c r="AD15" i="14"/>
  <c r="AB15" i="14"/>
  <c r="AA15" i="14"/>
  <c r="Z15" i="14"/>
  <c r="W15" i="14"/>
  <c r="AC15" i="14" s="1"/>
  <c r="N15" i="14"/>
  <c r="G15" i="14"/>
  <c r="K15" i="14" s="1"/>
  <c r="AS14" i="14"/>
  <c r="AM14" i="14"/>
  <c r="AP14" i="14" s="1"/>
  <c r="AD14" i="14"/>
  <c r="AB14" i="14"/>
  <c r="AA14" i="14"/>
  <c r="Z14" i="14"/>
  <c r="W14" i="14"/>
  <c r="AC14" i="14" s="1"/>
  <c r="N14" i="14"/>
  <c r="M14" i="14"/>
  <c r="K14" i="14"/>
  <c r="J14" i="14"/>
  <c r="O14" i="14" s="1"/>
  <c r="G14" i="14"/>
  <c r="L14" i="14" s="1"/>
  <c r="AM13" i="14"/>
  <c r="AD13" i="14"/>
  <c r="AB13" i="14"/>
  <c r="AA13" i="14"/>
  <c r="Z13" i="14"/>
  <c r="W13" i="14"/>
  <c r="AC13" i="14" s="1"/>
  <c r="N13" i="14"/>
  <c r="G13" i="14"/>
  <c r="K13" i="14" s="1"/>
  <c r="AS12" i="14"/>
  <c r="AM12" i="14"/>
  <c r="AP12" i="14" s="1"/>
  <c r="AD12" i="14"/>
  <c r="AB12" i="14"/>
  <c r="AA12" i="14"/>
  <c r="Z12" i="14"/>
  <c r="W12" i="14"/>
  <c r="AC12" i="14" s="1"/>
  <c r="N12" i="14"/>
  <c r="M12" i="14"/>
  <c r="K12" i="14"/>
  <c r="J12" i="14"/>
  <c r="G12" i="14"/>
  <c r="L12" i="14" s="1"/>
  <c r="AM11" i="14"/>
  <c r="AD11" i="14"/>
  <c r="AB11" i="14"/>
  <c r="AA11" i="14"/>
  <c r="Z11" i="14"/>
  <c r="W11" i="14"/>
  <c r="AC11" i="14" s="1"/>
  <c r="N11" i="14"/>
  <c r="G11" i="14"/>
  <c r="K11" i="14" s="1"/>
  <c r="AS10" i="14"/>
  <c r="AM10" i="14"/>
  <c r="AP10" i="14" s="1"/>
  <c r="AD10" i="14"/>
  <c r="AB10" i="14"/>
  <c r="AA10" i="14"/>
  <c r="Z10" i="14"/>
  <c r="W10" i="14"/>
  <c r="AC10" i="14" s="1"/>
  <c r="N10" i="14"/>
  <c r="M10" i="14"/>
  <c r="K10" i="14"/>
  <c r="J10" i="14"/>
  <c r="O10" i="14" s="1"/>
  <c r="G10" i="14"/>
  <c r="L10" i="14" s="1"/>
  <c r="AM9" i="14"/>
  <c r="AD9" i="14"/>
  <c r="AB9" i="14"/>
  <c r="AA9" i="14"/>
  <c r="Z9" i="14"/>
  <c r="W9" i="14"/>
  <c r="AC9" i="14" s="1"/>
  <c r="N9" i="14"/>
  <c r="G9" i="14"/>
  <c r="K9" i="14" s="1"/>
  <c r="AS8" i="14"/>
  <c r="AM8" i="14"/>
  <c r="AP8" i="14" s="1"/>
  <c r="AD8" i="14"/>
  <c r="AB8" i="14"/>
  <c r="AA8" i="14"/>
  <c r="Z8" i="14"/>
  <c r="W8" i="14"/>
  <c r="AC8" i="14" s="1"/>
  <c r="N8" i="14"/>
  <c r="M8" i="14"/>
  <c r="K8" i="14"/>
  <c r="J8" i="14"/>
  <c r="O8" i="14" s="1"/>
  <c r="G8" i="14"/>
  <c r="L8" i="14" s="1"/>
  <c r="AM7" i="14"/>
  <c r="AD7" i="14"/>
  <c r="AB7" i="14"/>
  <c r="AA7" i="14"/>
  <c r="Z7" i="14"/>
  <c r="W7" i="14"/>
  <c r="AC7" i="14" s="1"/>
  <c r="N7" i="14"/>
  <c r="G7" i="14"/>
  <c r="K7" i="14" s="1"/>
  <c r="AS6" i="14"/>
  <c r="AM6" i="14"/>
  <c r="AP6" i="14" s="1"/>
  <c r="AD6" i="14"/>
  <c r="AB6" i="14"/>
  <c r="AA6" i="14"/>
  <c r="Z6" i="14"/>
  <c r="W6" i="14"/>
  <c r="AC6" i="14" s="1"/>
  <c r="N6" i="14"/>
  <c r="M6" i="14"/>
  <c r="K6" i="14"/>
  <c r="J6" i="14"/>
  <c r="O6" i="14" s="1"/>
  <c r="G6" i="14"/>
  <c r="L6" i="14" s="1"/>
  <c r="AM5" i="14"/>
  <c r="AD5" i="14"/>
  <c r="AB5" i="14"/>
  <c r="AA5" i="14"/>
  <c r="Z5" i="14"/>
  <c r="W5" i="14"/>
  <c r="AC5" i="14" s="1"/>
  <c r="N5" i="14"/>
  <c r="G5" i="14"/>
  <c r="K5" i="14" s="1"/>
  <c r="AS4" i="14"/>
  <c r="AM4" i="14"/>
  <c r="AP4" i="14" s="1"/>
  <c r="AB4" i="14"/>
  <c r="AB22" i="14" s="1"/>
  <c r="W4" i="14"/>
  <c r="AD4" i="14" s="1"/>
  <c r="AD22" i="14" s="1"/>
  <c r="N4" i="14"/>
  <c r="L4" i="14"/>
  <c r="K4" i="14"/>
  <c r="J4" i="14"/>
  <c r="G4" i="14"/>
  <c r="G38" i="14" s="1"/>
  <c r="DU672" i="13"/>
  <c r="I634" i="13"/>
  <c r="BW514" i="13"/>
  <c r="DU405" i="13"/>
  <c r="I311" i="13"/>
  <c r="BW259" i="13"/>
  <c r="DU216" i="13"/>
  <c r="I135" i="13"/>
  <c r="BW129" i="13"/>
  <c r="DU101" i="13"/>
  <c r="I68" i="13"/>
  <c r="BW66" i="13"/>
  <c r="DU65" i="13"/>
  <c r="O56" i="13"/>
  <c r="N56" i="13"/>
  <c r="CC55" i="13"/>
  <c r="CB55" i="13"/>
  <c r="P55" i="13"/>
  <c r="Q55" i="13" s="1"/>
  <c r="N55" i="13"/>
  <c r="CD54" i="13"/>
  <c r="Q54" i="13"/>
  <c r="P54" i="13"/>
  <c r="CD53" i="13"/>
  <c r="BW53" i="13"/>
  <c r="P53" i="13"/>
  <c r="Q53" i="13" s="1"/>
  <c r="EA52" i="13"/>
  <c r="DZ52" i="13"/>
  <c r="CE52" i="13"/>
  <c r="CD52" i="13"/>
  <c r="P52" i="13"/>
  <c r="Q52" i="13" s="1"/>
  <c r="EB51" i="13"/>
  <c r="CE51" i="13"/>
  <c r="CD51" i="13"/>
  <c r="P51" i="13"/>
  <c r="Q51" i="13" s="1"/>
  <c r="I51" i="13"/>
  <c r="F51" i="13"/>
  <c r="E51" i="13"/>
  <c r="C51" i="13"/>
  <c r="B51" i="13"/>
  <c r="EB50" i="13"/>
  <c r="EC50" i="13" s="1"/>
  <c r="CE50" i="13"/>
  <c r="CD50" i="13"/>
  <c r="BR50" i="13"/>
  <c r="BQ50" i="13"/>
  <c r="BO50" i="13"/>
  <c r="BN50" i="13"/>
  <c r="EB49" i="13"/>
  <c r="EC49" i="13" s="1"/>
  <c r="EC48" i="13"/>
  <c r="EB48" i="13"/>
  <c r="EB47" i="13"/>
  <c r="EC47" i="13" s="1"/>
  <c r="DR47" i="13"/>
  <c r="DQ47" i="13"/>
  <c r="DO47" i="13"/>
  <c r="DN47" i="13"/>
  <c r="CR44" i="13"/>
  <c r="CS42" i="13"/>
  <c r="CE42" i="13"/>
  <c r="AQ42" i="13"/>
  <c r="AS19" i="13" s="1"/>
  <c r="AU19" i="13" s="1"/>
  <c r="FH41" i="13"/>
  <c r="CO41" i="13"/>
  <c r="CN41" i="13"/>
  <c r="CK41" i="13"/>
  <c r="CB41" i="13"/>
  <c r="CS41" i="13" s="1"/>
  <c r="BR41" i="13"/>
  <c r="BP41" i="13"/>
  <c r="BN41" i="13"/>
  <c r="AA41" i="13"/>
  <c r="Y41" i="13"/>
  <c r="X41" i="13"/>
  <c r="W41" i="13"/>
  <c r="U41" i="13"/>
  <c r="T41" i="13"/>
  <c r="R41" i="13"/>
  <c r="N41" i="13"/>
  <c r="AQ41" i="13" s="1"/>
  <c r="AS17" i="13" s="1"/>
  <c r="AU17" i="13" s="1"/>
  <c r="FC40" i="13"/>
  <c r="FA40" i="13"/>
  <c r="EW40" i="13"/>
  <c r="ET40" i="13"/>
  <c r="ES40" i="13"/>
  <c r="EN40" i="13"/>
  <c r="EG40" i="13"/>
  <c r="FH40" i="13" s="1"/>
  <c r="CS40" i="13"/>
  <c r="O40" i="13"/>
  <c r="AQ40" i="13" s="1"/>
  <c r="FH39" i="13"/>
  <c r="CS39" i="13"/>
  <c r="AQ39" i="13"/>
  <c r="FH38" i="13"/>
  <c r="CS38" i="13"/>
  <c r="AQ38" i="13"/>
  <c r="FH37" i="13"/>
  <c r="CS37" i="13"/>
  <c r="AQ37" i="13"/>
  <c r="FH36" i="13"/>
  <c r="CS36" i="13"/>
  <c r="AQ36" i="13"/>
  <c r="FH35" i="13"/>
  <c r="ER35" i="13"/>
  <c r="CZ23" i="13"/>
  <c r="AT23" i="13"/>
  <c r="CX22" i="13"/>
  <c r="FJ21" i="13"/>
  <c r="CX20" i="13"/>
  <c r="FO18" i="13"/>
  <c r="FN18" i="13"/>
  <c r="CW18" i="13"/>
  <c r="DA23" i="13" s="1"/>
  <c r="DB23" i="13" s="1"/>
  <c r="FL17" i="13"/>
  <c r="AX16" i="13"/>
  <c r="FL15" i="13"/>
  <c r="AS15" i="13"/>
  <c r="AU15" i="13" s="1"/>
  <c r="FW13" i="13"/>
  <c r="FW14" i="13" s="1"/>
  <c r="FL13" i="13"/>
  <c r="FX12" i="13"/>
  <c r="FX13" i="13" s="1"/>
  <c r="FW12" i="13"/>
  <c r="FX11" i="13"/>
  <c r="U171" i="12"/>
  <c r="EQ147" i="12"/>
  <c r="EQ146" i="12"/>
  <c r="EQ145" i="12"/>
  <c r="EQ144" i="12"/>
  <c r="EQ143" i="12"/>
  <c r="EQ142" i="12"/>
  <c r="EQ141" i="12"/>
  <c r="EQ140" i="12"/>
  <c r="EQ139" i="12"/>
  <c r="EQ138" i="12"/>
  <c r="EQ137" i="12"/>
  <c r="EQ136" i="12"/>
  <c r="EQ135" i="12"/>
  <c r="EQ134" i="12"/>
  <c r="EQ133" i="12"/>
  <c r="EQ132" i="12"/>
  <c r="EQ131" i="12"/>
  <c r="EQ130" i="12"/>
  <c r="EQ129" i="12"/>
  <c r="EQ128" i="12"/>
  <c r="EQ127" i="12"/>
  <c r="EQ126" i="12"/>
  <c r="EQ125" i="12"/>
  <c r="EQ124" i="12"/>
  <c r="EQ123" i="12"/>
  <c r="Q123" i="12"/>
  <c r="EQ122" i="12"/>
  <c r="EQ121" i="12"/>
  <c r="EQ120" i="12"/>
  <c r="EQ119" i="12"/>
  <c r="EQ118" i="12"/>
  <c r="EQ117" i="12"/>
  <c r="EQ116" i="12"/>
  <c r="EQ115" i="12"/>
  <c r="EQ114" i="12"/>
  <c r="EQ113" i="12"/>
  <c r="EQ112" i="12"/>
  <c r="EQ111" i="12"/>
  <c r="EQ110" i="12"/>
  <c r="EQ109" i="12"/>
  <c r="EQ108" i="12"/>
  <c r="EQ107" i="12"/>
  <c r="EQ106" i="12"/>
  <c r="EQ105" i="12"/>
  <c r="EQ104" i="12"/>
  <c r="EQ103" i="12"/>
  <c r="EQ102" i="12"/>
  <c r="HU101" i="12"/>
  <c r="EQ101" i="12"/>
  <c r="HU100" i="12"/>
  <c r="EQ100" i="12"/>
  <c r="HU99" i="12"/>
  <c r="EQ99" i="12"/>
  <c r="HU98" i="12"/>
  <c r="EQ98" i="12"/>
  <c r="HU97" i="12"/>
  <c r="GR97" i="12"/>
  <c r="GM97" i="12"/>
  <c r="EQ97" i="12"/>
  <c r="HU96" i="12"/>
  <c r="FD96" i="12"/>
  <c r="EQ96" i="12"/>
  <c r="HU95" i="12"/>
  <c r="FD95" i="12"/>
  <c r="EQ95" i="12"/>
  <c r="HU94" i="12"/>
  <c r="FD94" i="12"/>
  <c r="EQ94" i="12"/>
  <c r="HU93" i="12"/>
  <c r="FD93" i="12"/>
  <c r="EQ93" i="12"/>
  <c r="HU92" i="12"/>
  <c r="FD92" i="12"/>
  <c r="EQ92" i="12"/>
  <c r="HU91" i="12"/>
  <c r="GQ91" i="12"/>
  <c r="GP91" i="12"/>
  <c r="GO91" i="12"/>
  <c r="GN91" i="12"/>
  <c r="GM91" i="12"/>
  <c r="GL91" i="12"/>
  <c r="FD91" i="12"/>
  <c r="EQ91" i="12"/>
  <c r="HU90" i="12"/>
  <c r="FD90" i="12"/>
  <c r="EQ90" i="12"/>
  <c r="G90" i="12"/>
  <c r="C90" i="12"/>
  <c r="HU89" i="12"/>
  <c r="FD89" i="12"/>
  <c r="EQ89" i="12"/>
  <c r="HU88" i="12"/>
  <c r="EQ88" i="12"/>
  <c r="HU87" i="12"/>
  <c r="EQ87" i="12"/>
  <c r="HU86" i="12"/>
  <c r="EQ86" i="12"/>
  <c r="HU85" i="12"/>
  <c r="EQ85" i="12"/>
  <c r="G85" i="12"/>
  <c r="F85" i="12"/>
  <c r="E85" i="12"/>
  <c r="D85" i="12"/>
  <c r="C85" i="12"/>
  <c r="B85" i="12"/>
  <c r="HU84" i="12"/>
  <c r="EQ84" i="12"/>
  <c r="HU83" i="12"/>
  <c r="FF83" i="12"/>
  <c r="EQ83" i="12"/>
  <c r="HU82" i="12"/>
  <c r="FF82" i="12"/>
  <c r="EQ82" i="12"/>
  <c r="HU81" i="12"/>
  <c r="FF81" i="12"/>
  <c r="EQ81" i="12"/>
  <c r="HU80" i="12"/>
  <c r="FF80" i="12"/>
  <c r="EQ80" i="12"/>
  <c r="HU79" i="12"/>
  <c r="FF79" i="12"/>
  <c r="EQ79" i="12"/>
  <c r="HU78" i="12"/>
  <c r="FF78" i="12"/>
  <c r="EQ78" i="12"/>
  <c r="HU77" i="12"/>
  <c r="FF77" i="12"/>
  <c r="EQ77" i="12"/>
  <c r="HU76" i="12"/>
  <c r="FF76" i="12"/>
  <c r="EQ76" i="12"/>
  <c r="HU75" i="12"/>
  <c r="EQ75" i="12"/>
  <c r="IV74" i="12"/>
  <c r="HU74" i="12"/>
  <c r="EQ74" i="12"/>
  <c r="IV73" i="12"/>
  <c r="HU73" i="12"/>
  <c r="EQ73" i="12"/>
  <c r="IV72" i="12"/>
  <c r="HU72" i="12"/>
  <c r="EQ72" i="12"/>
  <c r="IV71" i="12"/>
  <c r="HU71" i="12"/>
  <c r="FC71" i="12"/>
  <c r="EQ71" i="12"/>
  <c r="IV70" i="12"/>
  <c r="HU70" i="12"/>
  <c r="FC70" i="12"/>
  <c r="EQ70" i="12"/>
  <c r="IV69" i="12"/>
  <c r="HU69" i="12"/>
  <c r="FC69" i="12"/>
  <c r="EQ69" i="12"/>
  <c r="IV68" i="12"/>
  <c r="HU68" i="12"/>
  <c r="FC68" i="12"/>
  <c r="EQ68" i="12"/>
  <c r="IV67" i="12"/>
  <c r="HU67" i="12"/>
  <c r="FC67" i="12"/>
  <c r="EQ67" i="12"/>
  <c r="HU66" i="12"/>
  <c r="FC66" i="12"/>
  <c r="EQ66" i="12"/>
  <c r="HU65" i="12"/>
  <c r="FC65" i="12"/>
  <c r="EQ65" i="12"/>
  <c r="U65" i="12"/>
  <c r="HU64" i="12"/>
  <c r="FC64" i="12"/>
  <c r="EQ64" i="12"/>
  <c r="HU63" i="12"/>
  <c r="EQ63" i="12"/>
  <c r="HU62" i="12"/>
  <c r="EQ62" i="12"/>
  <c r="IU61" i="12"/>
  <c r="HU61" i="12"/>
  <c r="EQ61" i="12"/>
  <c r="IU60" i="12"/>
  <c r="HU60" i="12"/>
  <c r="EQ60" i="12"/>
  <c r="IU59" i="12"/>
  <c r="HU59" i="12"/>
  <c r="FL59" i="12"/>
  <c r="EQ59" i="12"/>
  <c r="IU58" i="12"/>
  <c r="HU58" i="12"/>
  <c r="FL58" i="12"/>
  <c r="EQ58" i="12"/>
  <c r="IU57" i="12"/>
  <c r="HU57" i="12"/>
  <c r="FL57" i="12"/>
  <c r="EQ57" i="12"/>
  <c r="IU56" i="12"/>
  <c r="HU56" i="12"/>
  <c r="FL56" i="12"/>
  <c r="EQ56" i="12"/>
  <c r="IU55" i="12"/>
  <c r="HU55" i="12"/>
  <c r="FL55" i="12"/>
  <c r="EQ55" i="12"/>
  <c r="DD55" i="12"/>
  <c r="CY55" i="12"/>
  <c r="IU54" i="12"/>
  <c r="HU54" i="12"/>
  <c r="FL54" i="12"/>
  <c r="EQ54" i="12"/>
  <c r="Q54" i="12"/>
  <c r="HU53" i="12"/>
  <c r="FL53" i="12"/>
  <c r="EQ53" i="12"/>
  <c r="HU52" i="12"/>
  <c r="FL52" i="12"/>
  <c r="EQ52" i="12"/>
  <c r="HU51" i="12"/>
  <c r="EQ51" i="12"/>
  <c r="DC51" i="12"/>
  <c r="DB51" i="12"/>
  <c r="CZ51" i="12"/>
  <c r="CX51" i="12"/>
  <c r="HU50" i="12"/>
  <c r="EQ50" i="12"/>
  <c r="HU49" i="12"/>
  <c r="EQ49" i="12"/>
  <c r="JB48" i="12"/>
  <c r="HU48" i="12"/>
  <c r="GI48" i="12"/>
  <c r="FB48" i="12"/>
  <c r="EQ48" i="12"/>
  <c r="DI48" i="12"/>
  <c r="JB47" i="12"/>
  <c r="HU47" i="12"/>
  <c r="GI47" i="12"/>
  <c r="EQ47" i="12"/>
  <c r="JB46" i="12"/>
  <c r="HU46" i="12"/>
  <c r="GI46" i="12"/>
  <c r="EQ46" i="12"/>
  <c r="JB45" i="12"/>
  <c r="HU45" i="12"/>
  <c r="GI45" i="12"/>
  <c r="EQ45" i="12"/>
  <c r="JB44" i="12"/>
  <c r="HU44" i="12"/>
  <c r="GI44" i="12"/>
  <c r="EQ44" i="12"/>
  <c r="DI44" i="12"/>
  <c r="JB43" i="12"/>
  <c r="HU43" i="12"/>
  <c r="GI43" i="12"/>
  <c r="EQ43" i="12"/>
  <c r="JB42" i="12"/>
  <c r="HU42" i="12"/>
  <c r="GI42" i="12"/>
  <c r="EQ42" i="12"/>
  <c r="DI42" i="12"/>
  <c r="JB41" i="12"/>
  <c r="HU41" i="12"/>
  <c r="GI41" i="12"/>
  <c r="EQ41" i="12"/>
  <c r="DI41" i="12"/>
  <c r="HU40" i="12"/>
  <c r="GR40" i="12"/>
  <c r="GM40" i="12"/>
  <c r="EQ40" i="12"/>
  <c r="DI40" i="12"/>
  <c r="HU39" i="12"/>
  <c r="EQ39" i="12"/>
  <c r="HU38" i="12"/>
  <c r="EQ38" i="12"/>
  <c r="G38" i="12"/>
  <c r="C38" i="12"/>
  <c r="HU37" i="12"/>
  <c r="EQ37" i="12"/>
  <c r="DI37" i="12"/>
  <c r="IM36" i="12"/>
  <c r="HU36" i="12"/>
  <c r="GA36" i="12"/>
  <c r="EQ36" i="12"/>
  <c r="IM35" i="12"/>
  <c r="HU35" i="12"/>
  <c r="GQ35" i="12"/>
  <c r="GP35" i="12"/>
  <c r="GO35" i="12"/>
  <c r="GN35" i="12"/>
  <c r="GM35" i="12"/>
  <c r="GL35" i="12"/>
  <c r="GA35" i="12"/>
  <c r="EQ35" i="12"/>
  <c r="DI35" i="12"/>
  <c r="IM34" i="12"/>
  <c r="HU34" i="12"/>
  <c r="GA34" i="12"/>
  <c r="EQ34" i="12"/>
  <c r="DI34" i="12"/>
  <c r="IM33" i="12"/>
  <c r="HU33" i="12"/>
  <c r="GA33" i="12"/>
  <c r="EQ33" i="12"/>
  <c r="DI33" i="12"/>
  <c r="IM32" i="12"/>
  <c r="HU32" i="12"/>
  <c r="GA32" i="12"/>
  <c r="EQ32" i="12"/>
  <c r="DI32" i="12"/>
  <c r="IM31" i="12"/>
  <c r="HU31" i="12"/>
  <c r="GA31" i="12"/>
  <c r="EQ31" i="12"/>
  <c r="DI31" i="12"/>
  <c r="G31" i="12"/>
  <c r="F31" i="12"/>
  <c r="E31" i="12"/>
  <c r="D31" i="12"/>
  <c r="C31" i="12"/>
  <c r="B31" i="12"/>
  <c r="IM30" i="12"/>
  <c r="HU30" i="12"/>
  <c r="GA30" i="12"/>
  <c r="EQ30" i="12"/>
  <c r="DD30" i="12"/>
  <c r="CY30" i="12"/>
  <c r="IM29" i="12"/>
  <c r="HU29" i="12"/>
  <c r="GA29" i="12"/>
  <c r="EQ29" i="12"/>
  <c r="HU28" i="12"/>
  <c r="EQ28" i="12"/>
  <c r="HU27" i="12"/>
  <c r="EQ27" i="12"/>
  <c r="HU26" i="12"/>
  <c r="EQ26" i="12"/>
  <c r="DC26" i="12"/>
  <c r="DB26" i="12"/>
  <c r="CZ26" i="12"/>
  <c r="CX26" i="12"/>
  <c r="CD26" i="12"/>
  <c r="AU26" i="12"/>
  <c r="CT26" i="12" s="1"/>
  <c r="HU25" i="12"/>
  <c r="EQ25" i="12"/>
  <c r="AQ25" i="12"/>
  <c r="CT25" i="12" s="1"/>
  <c r="IO24" i="12"/>
  <c r="HU24" i="12"/>
  <c r="FN24" i="12"/>
  <c r="EQ24" i="12"/>
  <c r="CT24" i="12"/>
  <c r="IO23" i="12"/>
  <c r="HU23" i="12"/>
  <c r="FN23" i="12"/>
  <c r="EQ23" i="12"/>
  <c r="DG23" i="12"/>
  <c r="AV23" i="12"/>
  <c r="CT23" i="12" s="1"/>
  <c r="IO22" i="12"/>
  <c r="HU22" i="12"/>
  <c r="FN22" i="12"/>
  <c r="EQ22" i="12"/>
  <c r="CE22" i="12"/>
  <c r="CA22" i="12"/>
  <c r="AQ22" i="12"/>
  <c r="CT22" i="12" s="1"/>
  <c r="IO21" i="12"/>
  <c r="HU21" i="12"/>
  <c r="FN21" i="12"/>
  <c r="EQ21" i="12"/>
  <c r="CT21" i="12"/>
  <c r="AR21" i="12"/>
  <c r="IO20" i="12"/>
  <c r="HU20" i="12"/>
  <c r="FN20" i="12"/>
  <c r="EQ20" i="12"/>
  <c r="CA20" i="12"/>
  <c r="CT20" i="12" s="1"/>
  <c r="IO19" i="12"/>
  <c r="HU19" i="12"/>
  <c r="FN19" i="12"/>
  <c r="EQ19" i="12"/>
  <c r="DG19" i="12"/>
  <c r="CT19" i="12"/>
  <c r="IO18" i="12"/>
  <c r="HU18" i="12"/>
  <c r="GV18" i="12"/>
  <c r="FN18" i="12"/>
  <c r="EQ18" i="12"/>
  <c r="IO17" i="12"/>
  <c r="HU17" i="12"/>
  <c r="GV17" i="12"/>
  <c r="FN17" i="12"/>
  <c r="EQ17" i="12"/>
  <c r="DG17" i="12"/>
  <c r="HU16" i="12"/>
  <c r="GV16" i="12"/>
  <c r="EQ16" i="12"/>
  <c r="DG16" i="12"/>
  <c r="HU15" i="12"/>
  <c r="EQ15" i="12"/>
  <c r="DG15" i="12"/>
  <c r="HU14" i="12"/>
  <c r="EQ14" i="12"/>
  <c r="HU13" i="12"/>
  <c r="HA13" i="12"/>
  <c r="EQ13" i="12"/>
  <c r="HU12" i="12"/>
  <c r="EQ12" i="12"/>
  <c r="DG12" i="12"/>
  <c r="CG12" i="12"/>
  <c r="HU11" i="12"/>
  <c r="FF11" i="12"/>
  <c r="EQ11" i="12"/>
  <c r="CG11" i="12"/>
  <c r="HU10" i="12"/>
  <c r="FF10" i="12"/>
  <c r="EQ10" i="12"/>
  <c r="DG10" i="12"/>
  <c r="CG10" i="12"/>
  <c r="HU9" i="12"/>
  <c r="FF9" i="12"/>
  <c r="EQ9" i="12"/>
  <c r="DG9" i="12"/>
  <c r="CG9" i="12"/>
  <c r="HU8" i="12"/>
  <c r="FF8" i="12"/>
  <c r="EQ8" i="12"/>
  <c r="DG8" i="12"/>
  <c r="CG8" i="12"/>
  <c r="BW8" i="12"/>
  <c r="HU7" i="12"/>
  <c r="HA7" i="12"/>
  <c r="FF7" i="12"/>
  <c r="EQ7" i="12"/>
  <c r="DG7" i="12"/>
  <c r="CG7" i="12"/>
  <c r="HU6" i="12"/>
  <c r="FF6" i="12"/>
  <c r="EQ6" i="12"/>
  <c r="DG6" i="12"/>
  <c r="CG6" i="12"/>
  <c r="HU5" i="12"/>
  <c r="HA5" i="12"/>
  <c r="FF5" i="12"/>
  <c r="EQ5" i="12"/>
  <c r="CG5" i="12"/>
  <c r="HU4" i="12"/>
  <c r="FF4" i="12"/>
  <c r="EQ4" i="12"/>
  <c r="HU3" i="12"/>
  <c r="EQ3" i="12"/>
  <c r="F65" i="10"/>
  <c r="F64" i="10"/>
  <c r="F63" i="10"/>
  <c r="H60" i="10"/>
  <c r="K37" i="10"/>
  <c r="L36" i="10"/>
  <c r="L37" i="10" s="1"/>
  <c r="K36" i="10"/>
  <c r="L35" i="10"/>
  <c r="K35" i="10"/>
  <c r="H31" i="10"/>
  <c r="H62" i="10" s="1"/>
  <c r="AF23" i="10"/>
  <c r="AH22" i="10"/>
  <c r="AF22" i="10"/>
  <c r="AH21" i="10"/>
  <c r="AF21" i="10"/>
  <c r="S21" i="10"/>
  <c r="AH20" i="10"/>
  <c r="S20" i="10"/>
  <c r="S22" i="10" s="1"/>
  <c r="D20" i="10"/>
  <c r="C20" i="10"/>
  <c r="B20" i="10"/>
  <c r="D19" i="10"/>
  <c r="C19" i="10"/>
  <c r="B19" i="10"/>
  <c r="U18" i="10"/>
  <c r="D18" i="10"/>
  <c r="C18" i="10"/>
  <c r="B18" i="10"/>
  <c r="U17" i="10"/>
  <c r="AD16" i="10"/>
  <c r="AC16" i="10"/>
  <c r="AB16" i="10"/>
  <c r="U16" i="10"/>
  <c r="Y15" i="10"/>
  <c r="AJ14" i="10"/>
  <c r="AD14" i="10"/>
  <c r="AC14" i="10"/>
  <c r="AB14" i="10"/>
  <c r="AJ13" i="10"/>
  <c r="Y13" i="10"/>
  <c r="Q13" i="10"/>
  <c r="P13" i="10"/>
  <c r="O13" i="10"/>
  <c r="AL12" i="10"/>
  <c r="AJ12" i="10"/>
  <c r="Y12" i="10"/>
  <c r="Q12" i="10"/>
  <c r="P12" i="10"/>
  <c r="AL11" i="10"/>
  <c r="AJ11" i="10"/>
  <c r="Y11" i="10"/>
  <c r="Q11" i="10"/>
  <c r="P11" i="10"/>
  <c r="O11" i="10"/>
  <c r="O12" i="10" s="1"/>
  <c r="AL10" i="10"/>
  <c r="AJ10" i="10"/>
  <c r="Y10" i="10"/>
  <c r="AL9" i="10"/>
  <c r="AJ9" i="10"/>
  <c r="AJ17" i="10" s="1"/>
  <c r="Y9" i="10"/>
  <c r="W9" i="10"/>
  <c r="AL8" i="10"/>
  <c r="Y8" i="10"/>
  <c r="AL7" i="10"/>
  <c r="W7" i="10"/>
  <c r="Y6" i="10"/>
  <c r="W6" i="10"/>
  <c r="Y5" i="10"/>
  <c r="Y17" i="10" s="1"/>
  <c r="W5" i="10"/>
  <c r="Y4" i="10"/>
  <c r="W4" i="10"/>
  <c r="Y3" i="10"/>
  <c r="W3" i="10"/>
  <c r="W12" i="10" s="1"/>
  <c r="O39" i="9"/>
  <c r="O38" i="9"/>
  <c r="O37" i="9"/>
  <c r="O36" i="9"/>
  <c r="O35" i="9"/>
  <c r="O34" i="9"/>
  <c r="O32" i="9"/>
  <c r="O31" i="9"/>
  <c r="O30" i="9"/>
  <c r="O29" i="9"/>
  <c r="O28" i="9"/>
  <c r="O27" i="9"/>
  <c r="O26" i="9"/>
  <c r="D26" i="9"/>
  <c r="O25" i="9"/>
  <c r="O24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O8" i="9"/>
  <c r="O7" i="9"/>
  <c r="O6" i="9"/>
  <c r="O5" i="9"/>
  <c r="O4" i="9"/>
  <c r="O3" i="9"/>
  <c r="B169" i="6"/>
  <c r="B170" i="6" s="1"/>
  <c r="B168" i="6"/>
  <c r="AA128" i="6"/>
  <c r="F128" i="6"/>
  <c r="AL127" i="6"/>
  <c r="AA127" i="6"/>
  <c r="P127" i="6"/>
  <c r="F127" i="6"/>
  <c r="AA126" i="6"/>
  <c r="W126" i="6"/>
  <c r="P126" i="6"/>
  <c r="P128" i="6" s="1"/>
  <c r="F126" i="6"/>
  <c r="AG125" i="6"/>
  <c r="W125" i="6"/>
  <c r="W124" i="6"/>
  <c r="AO95" i="6"/>
  <c r="I95" i="6"/>
  <c r="I96" i="6" s="1"/>
  <c r="AD94" i="6"/>
  <c r="S94" i="6"/>
  <c r="I94" i="6"/>
  <c r="AD93" i="6"/>
  <c r="S93" i="6"/>
  <c r="AD92" i="6"/>
  <c r="S92" i="6"/>
  <c r="AH74" i="6"/>
  <c r="L47" i="6"/>
  <c r="L48" i="6" s="1"/>
  <c r="L46" i="6"/>
  <c r="AP29" i="6"/>
  <c r="AM20" i="6"/>
  <c r="AD127" i="5"/>
  <c r="AD128" i="5" s="1"/>
  <c r="AD126" i="5"/>
  <c r="Z120" i="5"/>
  <c r="Z121" i="5" s="1"/>
  <c r="Z119" i="5"/>
  <c r="AG95" i="5"/>
  <c r="AG96" i="5" s="1"/>
  <c r="AG94" i="5"/>
  <c r="D74" i="5"/>
  <c r="D75" i="5" s="1"/>
  <c r="B74" i="5"/>
  <c r="B75" i="5" s="1"/>
  <c r="D73" i="5"/>
  <c r="B73" i="5"/>
  <c r="O29" i="5"/>
  <c r="O30" i="5" s="1"/>
  <c r="M29" i="5"/>
  <c r="M30" i="5" s="1"/>
  <c r="O28" i="5"/>
  <c r="M28" i="5"/>
  <c r="I21" i="5"/>
  <c r="G21" i="5"/>
  <c r="I20" i="5"/>
  <c r="G20" i="5"/>
  <c r="S19" i="5"/>
  <c r="S20" i="5" s="1"/>
  <c r="I19" i="5"/>
  <c r="G19" i="5"/>
  <c r="S18" i="5"/>
  <c r="W15" i="5"/>
  <c r="W16" i="5" s="1"/>
  <c r="W14" i="5"/>
  <c r="U12" i="5"/>
  <c r="U11" i="5"/>
  <c r="U10" i="5"/>
  <c r="AB37" i="4"/>
  <c r="AE37" i="4" s="1"/>
  <c r="AE36" i="4"/>
  <c r="AB36" i="4"/>
  <c r="AB35" i="4"/>
  <c r="AI34" i="4"/>
  <c r="AH34" i="4"/>
  <c r="AG34" i="4"/>
  <c r="AB34" i="4"/>
  <c r="AF34" i="4" s="1"/>
  <c r="AI33" i="4"/>
  <c r="AH33" i="4"/>
  <c r="AG33" i="4"/>
  <c r="AF33" i="4"/>
  <c r="AB33" i="4"/>
  <c r="AE33" i="4" s="1"/>
  <c r="AI32" i="4"/>
  <c r="AH32" i="4"/>
  <c r="AG32" i="4"/>
  <c r="AF32" i="4"/>
  <c r="AE32" i="4"/>
  <c r="AB32" i="4"/>
  <c r="AG31" i="4"/>
  <c r="AE31" i="4"/>
  <c r="AB31" i="4"/>
  <c r="AI31" i="4" s="1"/>
  <c r="AH30" i="4"/>
  <c r="AF30" i="4"/>
  <c r="AE30" i="4"/>
  <c r="AB30" i="4"/>
  <c r="AI30" i="4" s="1"/>
  <c r="AI29" i="4"/>
  <c r="AB29" i="4"/>
  <c r="AH29" i="4" s="1"/>
  <c r="AI28" i="4"/>
  <c r="AH28" i="4"/>
  <c r="AG28" i="4"/>
  <c r="AF28" i="4"/>
  <c r="AE28" i="4"/>
  <c r="AB28" i="4"/>
  <c r="BN27" i="4"/>
  <c r="BL27" i="4"/>
  <c r="BK27" i="4"/>
  <c r="BH27" i="4"/>
  <c r="BO27" i="4" s="1"/>
  <c r="AE27" i="4"/>
  <c r="AB27" i="4"/>
  <c r="BH26" i="4"/>
  <c r="AI26" i="4"/>
  <c r="AG26" i="4"/>
  <c r="AE26" i="4"/>
  <c r="AB26" i="4"/>
  <c r="AH26" i="4" s="1"/>
  <c r="BO25" i="4"/>
  <c r="BH25" i="4"/>
  <c r="BN25" i="4" s="1"/>
  <c r="AI25" i="4"/>
  <c r="AH25" i="4"/>
  <c r="AG25" i="4"/>
  <c r="AE25" i="4"/>
  <c r="AB25" i="4"/>
  <c r="AF25" i="4" s="1"/>
  <c r="BN24" i="4"/>
  <c r="BM24" i="4"/>
  <c r="BH24" i="4"/>
  <c r="BL24" i="4" s="1"/>
  <c r="AB24" i="4"/>
  <c r="BO23" i="4"/>
  <c r="BM23" i="4"/>
  <c r="BK23" i="4"/>
  <c r="BH23" i="4"/>
  <c r="BN23" i="4" s="1"/>
  <c r="AI23" i="4"/>
  <c r="AH23" i="4"/>
  <c r="AG23" i="4"/>
  <c r="AF23" i="4"/>
  <c r="AE23" i="4"/>
  <c r="AB23" i="4"/>
  <c r="BN22" i="4"/>
  <c r="BL22" i="4"/>
  <c r="BK22" i="4"/>
  <c r="BH22" i="4"/>
  <c r="BO22" i="4" s="1"/>
  <c r="AI22" i="4"/>
  <c r="AG22" i="4"/>
  <c r="AE22" i="4"/>
  <c r="AB22" i="4"/>
  <c r="AH22" i="4" s="1"/>
  <c r="BH21" i="4"/>
  <c r="AX21" i="4"/>
  <c r="AW21" i="4"/>
  <c r="AR21" i="4"/>
  <c r="AV21" i="4" s="1"/>
  <c r="AI21" i="4"/>
  <c r="AH21" i="4"/>
  <c r="AG21" i="4"/>
  <c r="AF21" i="4"/>
  <c r="AE21" i="4"/>
  <c r="AB21" i="4"/>
  <c r="BN20" i="4"/>
  <c r="BL20" i="4"/>
  <c r="BK20" i="4"/>
  <c r="BH20" i="4"/>
  <c r="BO20" i="4" s="1"/>
  <c r="AV20" i="4"/>
  <c r="AR20" i="4"/>
  <c r="AI20" i="4"/>
  <c r="AG20" i="4"/>
  <c r="AF20" i="4"/>
  <c r="AE20" i="4"/>
  <c r="AJ20" i="4" s="1"/>
  <c r="AB20" i="4"/>
  <c r="AH20" i="4" s="1"/>
  <c r="BH19" i="4"/>
  <c r="AX19" i="4"/>
  <c r="AW19" i="4"/>
  <c r="AR19" i="4"/>
  <c r="AV19" i="4" s="1"/>
  <c r="AI19" i="4"/>
  <c r="AH19" i="4"/>
  <c r="AG19" i="4"/>
  <c r="AF19" i="4"/>
  <c r="AE19" i="4"/>
  <c r="AB19" i="4"/>
  <c r="BN18" i="4"/>
  <c r="BL18" i="4"/>
  <c r="BK18" i="4"/>
  <c r="BH18" i="4"/>
  <c r="BO18" i="4" s="1"/>
  <c r="AV18" i="4"/>
  <c r="AR18" i="4"/>
  <c r="AI18" i="4"/>
  <c r="AG18" i="4"/>
  <c r="AF18" i="4"/>
  <c r="AE18" i="4"/>
  <c r="AJ18" i="4" s="1"/>
  <c r="AB18" i="4"/>
  <c r="AH18" i="4" s="1"/>
  <c r="BH17" i="4"/>
  <c r="AX17" i="4"/>
  <c r="AW17" i="4"/>
  <c r="AR17" i="4"/>
  <c r="AV17" i="4" s="1"/>
  <c r="AI17" i="4"/>
  <c r="AH17" i="4"/>
  <c r="AG17" i="4"/>
  <c r="AF17" i="4"/>
  <c r="AE17" i="4"/>
  <c r="AB17" i="4"/>
  <c r="BN16" i="4"/>
  <c r="BL16" i="4"/>
  <c r="BK16" i="4"/>
  <c r="BH16" i="4"/>
  <c r="BO16" i="4" s="1"/>
  <c r="AV16" i="4"/>
  <c r="AR16" i="4"/>
  <c r="AI16" i="4"/>
  <c r="AG16" i="4"/>
  <c r="AF16" i="4"/>
  <c r="AE16" i="4"/>
  <c r="AJ16" i="4" s="1"/>
  <c r="AB16" i="4"/>
  <c r="AH16" i="4" s="1"/>
  <c r="BH15" i="4"/>
  <c r="AX15" i="4"/>
  <c r="AW15" i="4"/>
  <c r="AR15" i="4"/>
  <c r="AV15" i="4" s="1"/>
  <c r="AI15" i="4"/>
  <c r="AH15" i="4"/>
  <c r="AG15" i="4"/>
  <c r="AF15" i="4"/>
  <c r="AE15" i="4"/>
  <c r="AB15" i="4"/>
  <c r="BN14" i="4"/>
  <c r="BL14" i="4"/>
  <c r="BK14" i="4"/>
  <c r="BH14" i="4"/>
  <c r="BO14" i="4" s="1"/>
  <c r="AV14" i="4"/>
  <c r="AR14" i="4"/>
  <c r="AI14" i="4"/>
  <c r="AG14" i="4"/>
  <c r="AF14" i="4"/>
  <c r="AE14" i="4"/>
  <c r="AJ14" i="4" s="1"/>
  <c r="AB14" i="4"/>
  <c r="AH14" i="4" s="1"/>
  <c r="BH13" i="4"/>
  <c r="AX13" i="4"/>
  <c r="AW13" i="4"/>
  <c r="AR13" i="4"/>
  <c r="AV13" i="4" s="1"/>
  <c r="AI13" i="4"/>
  <c r="AG13" i="4"/>
  <c r="AF13" i="4"/>
  <c r="AE13" i="4"/>
  <c r="AB13" i="4"/>
  <c r="AH13" i="4" s="1"/>
  <c r="BN12" i="4"/>
  <c r="BL12" i="4"/>
  <c r="BK12" i="4"/>
  <c r="BH12" i="4"/>
  <c r="BO12" i="4" s="1"/>
  <c r="AV12" i="4"/>
  <c r="AR12" i="4"/>
  <c r="AI12" i="4"/>
  <c r="AG12" i="4"/>
  <c r="AF12" i="4"/>
  <c r="AE12" i="4"/>
  <c r="AJ12" i="4" s="1"/>
  <c r="AB12" i="4"/>
  <c r="AH12" i="4" s="1"/>
  <c r="BO11" i="4"/>
  <c r="BH11" i="4"/>
  <c r="AX11" i="4"/>
  <c r="AW11" i="4"/>
  <c r="AR11" i="4"/>
  <c r="AV11" i="4" s="1"/>
  <c r="AI11" i="4"/>
  <c r="AG11" i="4"/>
  <c r="AF11" i="4"/>
  <c r="AE11" i="4"/>
  <c r="AB11" i="4"/>
  <c r="AH11" i="4" s="1"/>
  <c r="BN10" i="4"/>
  <c r="BL10" i="4"/>
  <c r="BK10" i="4"/>
  <c r="BH10" i="4"/>
  <c r="BO10" i="4" s="1"/>
  <c r="AR10" i="4"/>
  <c r="AV10" i="4" s="1"/>
  <c r="AJ10" i="4"/>
  <c r="AI10" i="4"/>
  <c r="AG10" i="4"/>
  <c r="AF10" i="4"/>
  <c r="AE10" i="4"/>
  <c r="AB10" i="4"/>
  <c r="AH10" i="4" s="1"/>
  <c r="BO9" i="4"/>
  <c r="BH9" i="4"/>
  <c r="AX9" i="4"/>
  <c r="AW9" i="4"/>
  <c r="AR9" i="4"/>
  <c r="AV9" i="4" s="1"/>
  <c r="AI9" i="4"/>
  <c r="AG9" i="4"/>
  <c r="AF9" i="4"/>
  <c r="AE9" i="4"/>
  <c r="AJ9" i="4" s="1"/>
  <c r="AB9" i="4"/>
  <c r="AH9" i="4" s="1"/>
  <c r="BN8" i="4"/>
  <c r="BL8" i="4"/>
  <c r="BK8" i="4"/>
  <c r="BH8" i="4"/>
  <c r="BO8" i="4" s="1"/>
  <c r="AR8" i="4"/>
  <c r="AR22" i="4" s="1"/>
  <c r="AJ8" i="4"/>
  <c r="AI8" i="4"/>
  <c r="AG8" i="4"/>
  <c r="AF8" i="4"/>
  <c r="AE8" i="4"/>
  <c r="AB8" i="4"/>
  <c r="AH8" i="4" s="1"/>
  <c r="BH7" i="4"/>
  <c r="AX7" i="4"/>
  <c r="AW7" i="4"/>
  <c r="AR7" i="4"/>
  <c r="AV7" i="4" s="1"/>
  <c r="AI7" i="4"/>
  <c r="AG7" i="4"/>
  <c r="AF7" i="4"/>
  <c r="AE7" i="4"/>
  <c r="AB7" i="4"/>
  <c r="AH7" i="4" s="1"/>
  <c r="BN6" i="4"/>
  <c r="BL6" i="4"/>
  <c r="BK6" i="4"/>
  <c r="BH6" i="4"/>
  <c r="BO6" i="4" s="1"/>
  <c r="AV6" i="4"/>
  <c r="AR6" i="4"/>
  <c r="AJ6" i="4"/>
  <c r="AI6" i="4"/>
  <c r="AG6" i="4"/>
  <c r="AF6" i="4"/>
  <c r="AE6" i="4"/>
  <c r="AB6" i="4"/>
  <c r="AH6" i="4" s="1"/>
  <c r="BH5" i="4"/>
  <c r="BO5" i="4" s="1"/>
  <c r="AX5" i="4"/>
  <c r="AW5" i="4"/>
  <c r="AR5" i="4"/>
  <c r="AV5" i="4" s="1"/>
  <c r="AI5" i="4"/>
  <c r="AG5" i="4"/>
  <c r="AF5" i="4"/>
  <c r="AE5" i="4"/>
  <c r="AB5" i="4"/>
  <c r="AH5" i="4" s="1"/>
  <c r="BN4" i="4"/>
  <c r="BL4" i="4"/>
  <c r="BK4" i="4"/>
  <c r="BH4" i="4"/>
  <c r="AW4" i="4"/>
  <c r="AU4" i="4"/>
  <c r="AR4" i="4"/>
  <c r="AB4" i="4"/>
  <c r="CW108" i="3"/>
  <c r="CW107" i="3"/>
  <c r="CV107" i="3"/>
  <c r="CV108" i="3" s="1"/>
  <c r="CW106" i="3"/>
  <c r="CV106" i="3"/>
  <c r="AW106" i="3"/>
  <c r="AX105" i="3"/>
  <c r="AX106" i="3" s="1"/>
  <c r="AW105" i="3"/>
  <c r="AX104" i="3"/>
  <c r="AW104" i="3"/>
  <c r="DM96" i="3"/>
  <c r="DL96" i="3"/>
  <c r="DM95" i="3"/>
  <c r="DL95" i="3"/>
  <c r="DM94" i="3"/>
  <c r="DL94" i="3"/>
  <c r="BO93" i="3"/>
  <c r="BP92" i="3"/>
  <c r="BP93" i="3" s="1"/>
  <c r="BO92" i="3"/>
  <c r="BP91" i="3"/>
  <c r="BO91" i="3"/>
  <c r="EC88" i="3"/>
  <c r="CE88" i="3"/>
  <c r="EC87" i="3"/>
  <c r="EB87" i="3"/>
  <c r="EB88" i="3" s="1"/>
  <c r="CF87" i="3"/>
  <c r="CF88" i="3" s="1"/>
  <c r="CE87" i="3"/>
  <c r="EC86" i="3"/>
  <c r="EB86" i="3"/>
  <c r="CF86" i="3"/>
  <c r="CE86" i="3"/>
  <c r="DD77" i="3"/>
  <c r="DE77" i="3" s="1"/>
  <c r="CX76" i="3"/>
  <c r="CY76" i="3" s="1"/>
  <c r="DC75" i="3"/>
  <c r="DB75" i="3"/>
  <c r="CZ75" i="3"/>
  <c r="DA75" i="3" s="1"/>
  <c r="CV75" i="3"/>
  <c r="CW75" i="3" s="1"/>
  <c r="AZ75" i="3"/>
  <c r="BA75" i="3" s="1"/>
  <c r="BE74" i="3"/>
  <c r="BD74" i="3"/>
  <c r="BB74" i="3"/>
  <c r="BC74" i="3" s="1"/>
  <c r="AX74" i="3"/>
  <c r="AY74" i="3" s="1"/>
  <c r="AV74" i="3"/>
  <c r="AW74" i="3" s="1"/>
  <c r="DA65" i="3"/>
  <c r="CZ65" i="3"/>
  <c r="CX65" i="3"/>
  <c r="CY65" i="3" s="1"/>
  <c r="CV65" i="3"/>
  <c r="CW65" i="3" s="1"/>
  <c r="DP63" i="3"/>
  <c r="DQ63" i="3" s="1"/>
  <c r="BA63" i="3"/>
  <c r="AZ63" i="3"/>
  <c r="AX63" i="3"/>
  <c r="AY63" i="3" s="1"/>
  <c r="AV63" i="3"/>
  <c r="AW63" i="3" s="1"/>
  <c r="DN61" i="3"/>
  <c r="DO61" i="3" s="1"/>
  <c r="DL61" i="3"/>
  <c r="BR61" i="3"/>
  <c r="BS61" i="3" s="1"/>
  <c r="BP61" i="3"/>
  <c r="BQ61" i="3" s="1"/>
  <c r="BN61" i="3"/>
  <c r="BO61" i="3" s="1"/>
  <c r="DM58" i="3"/>
  <c r="DM61" i="3" s="1"/>
  <c r="CG55" i="3"/>
  <c r="CF55" i="3"/>
  <c r="EE54" i="3"/>
  <c r="ED54" i="3"/>
  <c r="CE54" i="3"/>
  <c r="CD54" i="3"/>
  <c r="DD52" i="3"/>
  <c r="DE52" i="3" s="1"/>
  <c r="DC52" i="3"/>
  <c r="DB52" i="3"/>
  <c r="BA52" i="3"/>
  <c r="AZ52" i="3"/>
  <c r="EC51" i="3"/>
  <c r="EB51" i="3"/>
  <c r="DT51" i="3"/>
  <c r="DU51" i="3" s="1"/>
  <c r="BW51" i="3"/>
  <c r="BV51" i="3"/>
  <c r="BE51" i="3"/>
  <c r="BD51" i="3"/>
  <c r="BC51" i="3"/>
  <c r="BB51" i="3"/>
  <c r="AX51" i="3"/>
  <c r="AY51" i="3" s="1"/>
  <c r="AW51" i="3"/>
  <c r="AV51" i="3"/>
  <c r="DQ50" i="3"/>
  <c r="DP50" i="3"/>
  <c r="DO50" i="3"/>
  <c r="DN50" i="3"/>
  <c r="CZ50" i="3"/>
  <c r="DA50" i="3" s="1"/>
  <c r="CY50" i="3"/>
  <c r="CX50" i="3"/>
  <c r="CW50" i="3"/>
  <c r="CV50" i="3"/>
  <c r="BU50" i="3"/>
  <c r="BT50" i="3"/>
  <c r="BR50" i="3"/>
  <c r="BS50" i="3" s="1"/>
  <c r="BQ50" i="3"/>
  <c r="BP50" i="3"/>
  <c r="BO50" i="3"/>
  <c r="BN50" i="3"/>
  <c r="AQ50" i="3"/>
  <c r="DR49" i="3"/>
  <c r="DS49" i="3" s="1"/>
  <c r="DL49" i="3"/>
  <c r="DM49" i="3" s="1"/>
  <c r="AQ48" i="3"/>
  <c r="CY46" i="3"/>
  <c r="CQ45" i="3"/>
  <c r="CP45" i="3"/>
  <c r="CO45" i="3"/>
  <c r="CN45" i="3"/>
  <c r="CM45" i="3"/>
  <c r="CL45" i="3"/>
  <c r="CK45" i="3"/>
  <c r="CJ45" i="3"/>
  <c r="CI45" i="3"/>
  <c r="CH45" i="3"/>
  <c r="CG45" i="3"/>
  <c r="CF45" i="3"/>
  <c r="CE45" i="3"/>
  <c r="CD45" i="3"/>
  <c r="U44" i="3"/>
  <c r="AO43" i="3"/>
  <c r="AJ43" i="3"/>
  <c r="AD43" i="3"/>
  <c r="AD44" i="3" s="1"/>
  <c r="AA43" i="3"/>
  <c r="U43" i="3"/>
  <c r="AO42" i="3"/>
  <c r="AO44" i="3" s="1"/>
  <c r="AJ42" i="3"/>
  <c r="AD42" i="3"/>
  <c r="AA42" i="3"/>
  <c r="U42" i="3"/>
  <c r="EN41" i="3"/>
  <c r="AJ41" i="3"/>
  <c r="AA41" i="3"/>
  <c r="ED40" i="3"/>
  <c r="EE40" i="3" s="1"/>
  <c r="EL39" i="3"/>
  <c r="EM39" i="3" s="1"/>
  <c r="EJ39" i="3"/>
  <c r="EH39" i="3"/>
  <c r="EI39" i="3" s="1"/>
  <c r="EF39" i="3"/>
  <c r="EC39" i="3"/>
  <c r="EB39" i="3"/>
  <c r="DD39" i="3"/>
  <c r="DE39" i="3" s="1"/>
  <c r="DB39" i="3"/>
  <c r="DC39" i="3" s="1"/>
  <c r="CZ39" i="3"/>
  <c r="DA39" i="3" s="1"/>
  <c r="CY39" i="3"/>
  <c r="CX39" i="3"/>
  <c r="CV39" i="3"/>
  <c r="CW39" i="3" s="1"/>
  <c r="BV39" i="3"/>
  <c r="BW39" i="3" s="1"/>
  <c r="BB39" i="3"/>
  <c r="BC39" i="3" s="1"/>
  <c r="K39" i="3"/>
  <c r="K40" i="3" s="1"/>
  <c r="B39" i="3"/>
  <c r="B40" i="3" s="1"/>
  <c r="BX38" i="3"/>
  <c r="BY38" i="3" s="1"/>
  <c r="BT38" i="3"/>
  <c r="BU38" i="3" s="1"/>
  <c r="BR38" i="3"/>
  <c r="BS38" i="3" s="1"/>
  <c r="BD38" i="3"/>
  <c r="BE38" i="3" s="1"/>
  <c r="AZ38" i="3"/>
  <c r="BA38" i="3" s="1"/>
  <c r="AX38" i="3"/>
  <c r="AY38" i="3" s="1"/>
  <c r="AP38" i="3"/>
  <c r="K38" i="3"/>
  <c r="B38" i="3"/>
  <c r="DW37" i="3"/>
  <c r="DV37" i="3"/>
  <c r="DU37" i="3"/>
  <c r="DT37" i="3"/>
  <c r="DS37" i="3"/>
  <c r="DR37" i="3"/>
  <c r="DP37" i="3"/>
  <c r="DQ37" i="3" s="1"/>
  <c r="DL37" i="3"/>
  <c r="BQ37" i="3"/>
  <c r="BP37" i="3"/>
  <c r="AW37" i="3"/>
  <c r="AV37" i="3"/>
  <c r="AP37" i="3"/>
  <c r="EO36" i="3"/>
  <c r="EO41" i="3" s="1"/>
  <c r="EK36" i="3"/>
  <c r="EG36" i="3"/>
  <c r="EG39" i="3" s="1"/>
  <c r="DO36" i="3"/>
  <c r="DN36" i="3"/>
  <c r="BO36" i="3"/>
  <c r="BN36" i="3"/>
  <c r="AP36" i="3"/>
  <c r="DM34" i="3"/>
  <c r="DM37" i="3" s="1"/>
  <c r="Q34" i="3"/>
  <c r="CM33" i="3"/>
  <c r="CL33" i="3"/>
  <c r="Q33" i="3"/>
  <c r="H33" i="3"/>
  <c r="H34" i="3" s="1"/>
  <c r="FI32" i="3"/>
  <c r="FC32" i="3"/>
  <c r="EW32" i="3"/>
  <c r="CJ32" i="3"/>
  <c r="CK32" i="3" s="1"/>
  <c r="CE32" i="3"/>
  <c r="CD32" i="3"/>
  <c r="AQ32" i="3"/>
  <c r="AQ49" i="3" s="1"/>
  <c r="AG32" i="3"/>
  <c r="AG33" i="3" s="1"/>
  <c r="X32" i="3"/>
  <c r="X33" i="3" s="1"/>
  <c r="Q32" i="3"/>
  <c r="H32" i="3"/>
  <c r="FI31" i="3"/>
  <c r="FI33" i="3" s="1"/>
  <c r="FC31" i="3"/>
  <c r="FC33" i="3" s="1"/>
  <c r="EW31" i="3"/>
  <c r="CH31" i="3"/>
  <c r="CI31" i="3" s="1"/>
  <c r="CG31" i="3"/>
  <c r="CF31" i="3"/>
  <c r="AG31" i="3"/>
  <c r="X31" i="3"/>
  <c r="EW30" i="3"/>
  <c r="EK30" i="3"/>
  <c r="EJ30" i="3"/>
  <c r="EH30" i="3"/>
  <c r="EI30" i="3" s="1"/>
  <c r="EG30" i="3"/>
  <c r="EF30" i="3"/>
  <c r="EE30" i="3"/>
  <c r="ED30" i="3"/>
  <c r="EC30" i="3"/>
  <c r="EB30" i="3"/>
  <c r="DI28" i="3"/>
  <c r="DG28" i="3"/>
  <c r="DC28" i="3"/>
  <c r="BI28" i="3"/>
  <c r="AY28" i="3"/>
  <c r="AV27" i="3"/>
  <c r="AW28" i="3" s="1"/>
  <c r="BU26" i="3"/>
  <c r="BT26" i="3"/>
  <c r="BR26" i="3"/>
  <c r="BS26" i="3" s="1"/>
  <c r="BQ26" i="3"/>
  <c r="BP26" i="3"/>
  <c r="BN26" i="3"/>
  <c r="BO26" i="3" s="1"/>
  <c r="DR25" i="3"/>
  <c r="DS25" i="3" s="1"/>
  <c r="DP25" i="3"/>
  <c r="DQ25" i="3" s="1"/>
  <c r="DN25" i="3"/>
  <c r="DO25" i="3" s="1"/>
  <c r="DM25" i="3"/>
  <c r="DL25" i="3"/>
  <c r="N25" i="3"/>
  <c r="N26" i="3" s="1"/>
  <c r="E25" i="3"/>
  <c r="E26" i="3" s="1"/>
  <c r="N24" i="3"/>
  <c r="E24" i="3"/>
  <c r="CN23" i="3"/>
  <c r="CO23" i="3" s="1"/>
  <c r="EE20" i="3"/>
  <c r="ED20" i="3"/>
  <c r="CJ20" i="3"/>
  <c r="CK20" i="3" s="1"/>
  <c r="CG20" i="3"/>
  <c r="CF20" i="3"/>
  <c r="CD20" i="3"/>
  <c r="CE20" i="3" s="1"/>
  <c r="EM19" i="3"/>
  <c r="EL19" i="3"/>
  <c r="EJ19" i="3"/>
  <c r="EK19" i="3" s="1"/>
  <c r="EI19" i="3"/>
  <c r="EH19" i="3"/>
  <c r="EF19" i="3"/>
  <c r="EG19" i="3" s="1"/>
  <c r="EC19" i="3"/>
  <c r="EB19" i="3"/>
  <c r="CL19" i="3"/>
  <c r="CM19" i="3" s="1"/>
  <c r="CI19" i="3"/>
  <c r="CH19" i="3"/>
  <c r="DU10" i="3"/>
  <c r="BW10" i="3"/>
  <c r="BQ10" i="3"/>
  <c r="EK9" i="3"/>
  <c r="EJ9" i="3"/>
  <c r="CH9" i="3"/>
  <c r="CI9" i="3" s="1"/>
  <c r="BN9" i="3"/>
  <c r="BO10" i="3" s="1"/>
  <c r="DT8" i="3"/>
  <c r="CM8" i="3"/>
  <c r="CL8" i="3"/>
  <c r="CE8" i="3"/>
  <c r="CD8" i="3"/>
  <c r="BX8" i="3"/>
  <c r="BY10" i="3" s="1"/>
  <c r="BT8" i="3"/>
  <c r="BU10" i="3" s="1"/>
  <c r="BR8" i="3"/>
  <c r="BS10" i="3" s="1"/>
  <c r="BP8" i="3"/>
  <c r="EI7" i="3"/>
  <c r="EH7" i="3"/>
  <c r="EG7" i="3"/>
  <c r="EF7" i="3"/>
  <c r="ED7" i="3"/>
  <c r="EE7" i="3" s="1"/>
  <c r="EC7" i="3"/>
  <c r="EB7" i="3"/>
  <c r="DV7" i="3"/>
  <c r="DW10" i="3" s="1"/>
  <c r="DP7" i="3"/>
  <c r="DQ10" i="3" s="1"/>
  <c r="CK7" i="3"/>
  <c r="CJ7" i="3"/>
  <c r="CF7" i="3"/>
  <c r="CG7" i="3" s="1"/>
  <c r="BV7" i="3"/>
  <c r="BH7" i="3"/>
  <c r="DR6" i="3"/>
  <c r="DS10" i="3" s="1"/>
  <c r="DN6" i="3"/>
  <c r="DF6" i="3"/>
  <c r="DB6" i="3"/>
  <c r="CZ6" i="3"/>
  <c r="DA28" i="3" s="1"/>
  <c r="CX6" i="3"/>
  <c r="CY28" i="3" s="1"/>
  <c r="BF6" i="3"/>
  <c r="BG28" i="3" s="1"/>
  <c r="BD6" i="3"/>
  <c r="BE28" i="3" s="1"/>
  <c r="BB6" i="3"/>
  <c r="BC28" i="3" s="1"/>
  <c r="AZ6" i="3"/>
  <c r="BA28" i="3" s="1"/>
  <c r="AX6" i="3"/>
  <c r="DO4" i="3"/>
  <c r="DO10" i="3" s="1"/>
  <c r="AB101" i="2"/>
  <c r="V101" i="2"/>
  <c r="U101" i="2"/>
  <c r="T101" i="2"/>
  <c r="V94" i="2"/>
  <c r="AI90" i="2"/>
  <c r="V90" i="2"/>
  <c r="AN89" i="2"/>
  <c r="AC85" i="2"/>
  <c r="AB85" i="2"/>
  <c r="AA85" i="2"/>
  <c r="Z85" i="2"/>
  <c r="Y85" i="2"/>
  <c r="W85" i="2"/>
  <c r="U85" i="2"/>
  <c r="AO84" i="2"/>
  <c r="AM84" i="2"/>
  <c r="AK84" i="2"/>
  <c r="AJ84" i="2"/>
  <c r="AH84" i="2"/>
  <c r="AF84" i="2"/>
  <c r="AN83" i="2"/>
  <c r="AN82" i="2"/>
  <c r="AN81" i="2"/>
  <c r="AN80" i="2"/>
  <c r="AN79" i="2"/>
  <c r="AN78" i="2"/>
  <c r="O78" i="2"/>
  <c r="J78" i="2"/>
  <c r="AN77" i="2"/>
  <c r="AN76" i="2"/>
  <c r="AN75" i="2"/>
  <c r="AN74" i="2"/>
  <c r="AN73" i="2"/>
  <c r="R73" i="2"/>
  <c r="Q73" i="2"/>
  <c r="P73" i="2"/>
  <c r="N73" i="2"/>
  <c r="M73" i="2"/>
  <c r="K73" i="2"/>
  <c r="I73" i="2"/>
  <c r="AN72" i="2"/>
  <c r="AN71" i="2"/>
  <c r="AN70" i="2"/>
  <c r="AN69" i="2"/>
  <c r="AN68" i="2"/>
  <c r="AN67" i="2"/>
  <c r="AN66" i="2"/>
  <c r="AN65" i="2"/>
  <c r="AN64" i="2"/>
  <c r="AN63" i="2"/>
  <c r="AN62" i="2"/>
  <c r="AN61" i="2"/>
  <c r="AN60" i="2"/>
  <c r="AN59" i="2"/>
  <c r="AN58" i="2"/>
  <c r="AN57" i="2"/>
  <c r="AN56" i="2"/>
  <c r="AN55" i="2"/>
  <c r="AN52" i="2"/>
  <c r="AA41" i="2"/>
  <c r="X41" i="2"/>
  <c r="Z40" i="2"/>
  <c r="Z39" i="2"/>
  <c r="AN38" i="2"/>
  <c r="Z38" i="2"/>
  <c r="AN37" i="2"/>
  <c r="Z37" i="2"/>
  <c r="AN36" i="2"/>
  <c r="Z36" i="2"/>
  <c r="Z35" i="2"/>
  <c r="Z33" i="2"/>
  <c r="Z32" i="2"/>
  <c r="AN31" i="2"/>
  <c r="Z31" i="2"/>
  <c r="Z30" i="2"/>
  <c r="Z29" i="2"/>
  <c r="Z28" i="2"/>
  <c r="AN27" i="2"/>
  <c r="Z27" i="2"/>
  <c r="Z26" i="2"/>
  <c r="K26" i="2"/>
  <c r="Z25" i="2"/>
  <c r="AN24" i="2"/>
  <c r="Z24" i="2"/>
  <c r="AN23" i="2"/>
  <c r="Z23" i="2"/>
  <c r="AN22" i="2"/>
  <c r="Z22" i="2"/>
  <c r="Z21" i="2"/>
  <c r="AN20" i="2"/>
  <c r="Z20" i="2"/>
  <c r="AN19" i="2"/>
  <c r="Z19" i="2"/>
  <c r="AN18" i="2"/>
  <c r="Z18" i="2"/>
  <c r="AN17" i="2"/>
  <c r="Z17" i="2"/>
  <c r="Z16" i="2"/>
  <c r="AN15" i="2"/>
  <c r="Z15" i="2"/>
  <c r="AN14" i="2"/>
  <c r="Z14" i="2"/>
  <c r="Z13" i="2"/>
  <c r="Z12" i="2"/>
  <c r="AN11" i="2"/>
  <c r="Z11" i="2"/>
  <c r="AN10" i="2"/>
  <c r="Z10" i="2"/>
  <c r="AN9" i="2"/>
  <c r="Z9" i="2"/>
  <c r="AN8" i="2"/>
  <c r="AN84" i="2" s="1"/>
  <c r="Z8" i="2"/>
  <c r="Z7" i="2"/>
  <c r="AN6" i="2"/>
  <c r="Z6" i="2"/>
  <c r="Z5" i="2"/>
  <c r="AN4" i="2"/>
  <c r="Z4" i="2"/>
  <c r="BN7" i="4" l="1"/>
  <c r="BM7" i="4"/>
  <c r="BL7" i="4"/>
  <c r="BL28" i="4" s="1"/>
  <c r="BK7" i="4"/>
  <c r="AY4" i="4"/>
  <c r="AX4" i="4"/>
  <c r="AV4" i="4"/>
  <c r="AJ5" i="4"/>
  <c r="AY6" i="4"/>
  <c r="AX6" i="4"/>
  <c r="AW6" i="4"/>
  <c r="AU6" i="4"/>
  <c r="AV8" i="4"/>
  <c r="BP12" i="4"/>
  <c r="FL85" i="15"/>
  <c r="FL86" i="15" s="1"/>
  <c r="AY10" i="4"/>
  <c r="AX10" i="4"/>
  <c r="AW10" i="4"/>
  <c r="AU10" i="4"/>
  <c r="AI24" i="4"/>
  <c r="AH24" i="4"/>
  <c r="AG24" i="4"/>
  <c r="AF24" i="4"/>
  <c r="AE24" i="4"/>
  <c r="BN5" i="4"/>
  <c r="BM5" i="4"/>
  <c r="BL5" i="4"/>
  <c r="BK5" i="4"/>
  <c r="AG37" i="4"/>
  <c r="AI37" i="4"/>
  <c r="AH37" i="4"/>
  <c r="AF37" i="4"/>
  <c r="AJ37" i="4" s="1"/>
  <c r="BO26" i="4"/>
  <c r="BN26" i="4"/>
  <c r="BM26" i="4"/>
  <c r="BL26" i="4"/>
  <c r="BK26" i="4"/>
  <c r="AJ28" i="4"/>
  <c r="Y18" i="10"/>
  <c r="AL15" i="10"/>
  <c r="AL13" i="10"/>
  <c r="AL14" i="10"/>
  <c r="W11" i="10"/>
  <c r="BC27" i="16"/>
  <c r="BC25" i="16"/>
  <c r="AJ7" i="4"/>
  <c r="AJ23" i="4"/>
  <c r="AI27" i="4"/>
  <c r="AH27" i="4"/>
  <c r="AG27" i="4"/>
  <c r="AF27" i="4"/>
  <c r="AJ27" i="4" s="1"/>
  <c r="AJ33" i="4"/>
  <c r="W10" i="10"/>
  <c r="AT19" i="14"/>
  <c r="AS19" i="14"/>
  <c r="AR19" i="14"/>
  <c r="AQ19" i="14"/>
  <c r="AP19" i="14"/>
  <c r="BH28" i="4"/>
  <c r="BN13" i="4"/>
  <c r="BM13" i="4"/>
  <c r="BL13" i="4"/>
  <c r="BK13" i="4"/>
  <c r="BP13" i="4" s="1"/>
  <c r="AJ15" i="4"/>
  <c r="BN15" i="4"/>
  <c r="BM15" i="4"/>
  <c r="BL15" i="4"/>
  <c r="BK15" i="4"/>
  <c r="BP15" i="4" s="1"/>
  <c r="AJ17" i="4"/>
  <c r="BN17" i="4"/>
  <c r="BM17" i="4"/>
  <c r="BL17" i="4"/>
  <c r="BK17" i="4"/>
  <c r="AJ19" i="4"/>
  <c r="BN19" i="4"/>
  <c r="BM19" i="4"/>
  <c r="BL19" i="4"/>
  <c r="BK19" i="4"/>
  <c r="AJ21" i="4"/>
  <c r="BN21" i="4"/>
  <c r="BM21" i="4"/>
  <c r="BL21" i="4"/>
  <c r="BK21" i="4"/>
  <c r="AE35" i="4"/>
  <c r="AG35" i="4"/>
  <c r="AF35" i="4"/>
  <c r="AI35" i="4"/>
  <c r="O12" i="14"/>
  <c r="O16" i="14"/>
  <c r="BO7" i="4"/>
  <c r="BN11" i="4"/>
  <c r="BM11" i="4"/>
  <c r="BL11" i="4"/>
  <c r="BK11" i="4"/>
  <c r="AJ13" i="4"/>
  <c r="BO13" i="4"/>
  <c r="AY14" i="4"/>
  <c r="AX14" i="4"/>
  <c r="AW14" i="4"/>
  <c r="AW22" i="4" s="1"/>
  <c r="AU14" i="4"/>
  <c r="BO15" i="4"/>
  <c r="AY16" i="4"/>
  <c r="AX16" i="4"/>
  <c r="AW16" i="4"/>
  <c r="AU16" i="4"/>
  <c r="BO17" i="4"/>
  <c r="AY18" i="4"/>
  <c r="AX18" i="4"/>
  <c r="AW18" i="4"/>
  <c r="AU18" i="4"/>
  <c r="BO19" i="4"/>
  <c r="AY20" i="4"/>
  <c r="AX20" i="4"/>
  <c r="AW20" i="4"/>
  <c r="AU20" i="4"/>
  <c r="BO21" i="4"/>
  <c r="AH35" i="4"/>
  <c r="AI4" i="4"/>
  <c r="AH4" i="4"/>
  <c r="AB38" i="4"/>
  <c r="AG4" i="4"/>
  <c r="AE4" i="4"/>
  <c r="AS19" i="16"/>
  <c r="AF4" i="4"/>
  <c r="AY8" i="4"/>
  <c r="AX8" i="4"/>
  <c r="AW8" i="4"/>
  <c r="AU8" i="4"/>
  <c r="BP16" i="4"/>
  <c r="EK39" i="3"/>
  <c r="BN9" i="4"/>
  <c r="BN29" i="4" s="1"/>
  <c r="BM9" i="4"/>
  <c r="BL9" i="4"/>
  <c r="BK9" i="4"/>
  <c r="BP9" i="4" s="1"/>
  <c r="AJ11" i="4"/>
  <c r="AY12" i="4"/>
  <c r="AX12" i="4"/>
  <c r="AW12" i="4"/>
  <c r="AU12" i="4"/>
  <c r="AJ25" i="4"/>
  <c r="BP27" i="4"/>
  <c r="AJ32" i="4"/>
  <c r="BM4" i="4"/>
  <c r="BP4" i="4" s="1"/>
  <c r="AY5" i="4"/>
  <c r="BM6" i="4"/>
  <c r="BP6" i="4" s="1"/>
  <c r="AY7" i="4"/>
  <c r="BM8" i="4"/>
  <c r="BP8" i="4" s="1"/>
  <c r="AY9" i="4"/>
  <c r="BM10" i="4"/>
  <c r="BP10" i="4" s="1"/>
  <c r="AY11" i="4"/>
  <c r="BM12" i="4"/>
  <c r="AY13" i="4"/>
  <c r="BM14" i="4"/>
  <c r="BP14" i="4" s="1"/>
  <c r="AY15" i="4"/>
  <c r="BM16" i="4"/>
  <c r="AY17" i="4"/>
  <c r="BM18" i="4"/>
  <c r="BP18" i="4" s="1"/>
  <c r="AY19" i="4"/>
  <c r="BM20" i="4"/>
  <c r="BP20" i="4" s="1"/>
  <c r="AY21" i="4"/>
  <c r="BM22" i="4"/>
  <c r="BP22" i="4" s="1"/>
  <c r="BO24" i="4"/>
  <c r="BM27" i="4"/>
  <c r="AG30" i="4"/>
  <c r="AJ30" i="4" s="1"/>
  <c r="Y16" i="10"/>
  <c r="H61" i="10"/>
  <c r="FP18" i="13"/>
  <c r="O20" i="14"/>
  <c r="O29" i="14"/>
  <c r="FU141" i="15"/>
  <c r="AT5" i="14"/>
  <c r="AS5" i="14"/>
  <c r="AR5" i="14"/>
  <c r="AQ5" i="14"/>
  <c r="AP5" i="14"/>
  <c r="AP28" i="14" s="1"/>
  <c r="AT9" i="14"/>
  <c r="AS9" i="14"/>
  <c r="AR9" i="14"/>
  <c r="AQ9" i="14"/>
  <c r="AP9" i="14"/>
  <c r="AT13" i="14"/>
  <c r="AS13" i="14"/>
  <c r="AR13" i="14"/>
  <c r="AQ13" i="14"/>
  <c r="AP13" i="14"/>
  <c r="AT17" i="14"/>
  <c r="AS17" i="14"/>
  <c r="AR17" i="14"/>
  <c r="AQ17" i="14"/>
  <c r="AP17" i="14"/>
  <c r="AU17" i="14" s="1"/>
  <c r="AT24" i="14"/>
  <c r="AS24" i="14"/>
  <c r="AR24" i="14"/>
  <c r="AQ24" i="14"/>
  <c r="AP24" i="14"/>
  <c r="AU25" i="14"/>
  <c r="GN154" i="15"/>
  <c r="BD25" i="16"/>
  <c r="BD27" i="16" s="1"/>
  <c r="BO4" i="4"/>
  <c r="AF22" i="4"/>
  <c r="AJ22" i="4" s="1"/>
  <c r="BL23" i="4"/>
  <c r="BP23" i="4" s="1"/>
  <c r="BK25" i="4"/>
  <c r="AF26" i="4"/>
  <c r="AJ26" i="4" s="1"/>
  <c r="AE29" i="4"/>
  <c r="AJ29" i="4" s="1"/>
  <c r="AF31" i="4"/>
  <c r="AJ31" i="4" s="1"/>
  <c r="AF36" i="4"/>
  <c r="AJ36" i="4" s="1"/>
  <c r="AH36" i="4"/>
  <c r="AG36" i="4"/>
  <c r="AJ16" i="10"/>
  <c r="HF133" i="15"/>
  <c r="BL25" i="4"/>
  <c r="AF29" i="4"/>
  <c r="AW16" i="13"/>
  <c r="FH42" i="13"/>
  <c r="O18" i="14"/>
  <c r="AT21" i="14"/>
  <c r="AS21" i="14"/>
  <c r="AR21" i="14"/>
  <c r="AQ21" i="14"/>
  <c r="AP21" i="14"/>
  <c r="O25" i="14"/>
  <c r="P87" i="21"/>
  <c r="AU5" i="4"/>
  <c r="AU23" i="4" s="1"/>
  <c r="AU7" i="4"/>
  <c r="AU9" i="4"/>
  <c r="AU11" i="4"/>
  <c r="AU13" i="4"/>
  <c r="AU15" i="4"/>
  <c r="AU17" i="4"/>
  <c r="AU19" i="4"/>
  <c r="AU21" i="4"/>
  <c r="BK24" i="4"/>
  <c r="BP24" i="4" s="1"/>
  <c r="BM25" i="4"/>
  <c r="AG29" i="4"/>
  <c r="AH31" i="4"/>
  <c r="AI36" i="4"/>
  <c r="AJ15" i="10"/>
  <c r="AY16" i="13"/>
  <c r="AQ43" i="13"/>
  <c r="N35" i="14"/>
  <c r="M35" i="14"/>
  <c r="L35" i="14"/>
  <c r="K35" i="14"/>
  <c r="J35" i="14"/>
  <c r="DT6" i="15"/>
  <c r="DS6" i="15"/>
  <c r="AI74" i="16"/>
  <c r="CS43" i="13"/>
  <c r="N38" i="14"/>
  <c r="AT7" i="14"/>
  <c r="AS7" i="14"/>
  <c r="AS28" i="14" s="1"/>
  <c r="AR7" i="14"/>
  <c r="AQ7" i="14"/>
  <c r="AP7" i="14"/>
  <c r="AT11" i="14"/>
  <c r="AS11" i="14"/>
  <c r="AR11" i="14"/>
  <c r="AQ11" i="14"/>
  <c r="AP11" i="14"/>
  <c r="AT15" i="14"/>
  <c r="AS15" i="14"/>
  <c r="AR15" i="14"/>
  <c r="AQ15" i="14"/>
  <c r="AP15" i="14"/>
  <c r="AU15" i="14" s="1"/>
  <c r="AU18" i="14"/>
  <c r="AM28" i="14"/>
  <c r="EK74" i="15"/>
  <c r="EK75" i="15" s="1"/>
  <c r="AE34" i="4"/>
  <c r="AJ34" i="4" s="1"/>
  <c r="Z4" i="14"/>
  <c r="AQ4" i="14"/>
  <c r="L5" i="14"/>
  <c r="AQ6" i="14"/>
  <c r="AU6" i="14" s="1"/>
  <c r="L7" i="14"/>
  <c r="AQ8" i="14"/>
  <c r="AU8" i="14" s="1"/>
  <c r="L9" i="14"/>
  <c r="AQ10" i="14"/>
  <c r="AU10" i="14" s="1"/>
  <c r="L11" i="14"/>
  <c r="AQ12" i="14"/>
  <c r="AU12" i="14" s="1"/>
  <c r="L13" i="14"/>
  <c r="AQ14" i="14"/>
  <c r="AU14" i="14" s="1"/>
  <c r="L15" i="14"/>
  <c r="AQ16" i="14"/>
  <c r="AU16" i="14" s="1"/>
  <c r="L17" i="14"/>
  <c r="AQ18" i="14"/>
  <c r="L19" i="14"/>
  <c r="AQ20" i="14"/>
  <c r="AU20" i="14" s="1"/>
  <c r="L21" i="14"/>
  <c r="W22" i="14"/>
  <c r="AQ22" i="14"/>
  <c r="AU22" i="14" s="1"/>
  <c r="L23" i="14"/>
  <c r="N24" i="14"/>
  <c r="O24" i="14" s="1"/>
  <c r="J26" i="14"/>
  <c r="AQ26" i="14"/>
  <c r="AU26" i="14" s="1"/>
  <c r="L27" i="14"/>
  <c r="N28" i="14"/>
  <c r="O28" i="14" s="1"/>
  <c r="J30" i="14"/>
  <c r="O30" i="14" s="1"/>
  <c r="K31" i="14"/>
  <c r="L32" i="14"/>
  <c r="N34" i="14"/>
  <c r="O34" i="14" s="1"/>
  <c r="DS7" i="15"/>
  <c r="AT13" i="20"/>
  <c r="BA21" i="20"/>
  <c r="AA4" i="14"/>
  <c r="AA22" i="14" s="1"/>
  <c r="AR4" i="14"/>
  <c r="M5" i="14"/>
  <c r="AR6" i="14"/>
  <c r="M7" i="14"/>
  <c r="AR8" i="14"/>
  <c r="M9" i="14"/>
  <c r="AR10" i="14"/>
  <c r="M11" i="14"/>
  <c r="AR12" i="14"/>
  <c r="M13" i="14"/>
  <c r="AR14" i="14"/>
  <c r="M15" i="14"/>
  <c r="AR16" i="14"/>
  <c r="M17" i="14"/>
  <c r="AR18" i="14"/>
  <c r="M19" i="14"/>
  <c r="AR20" i="14"/>
  <c r="M21" i="14"/>
  <c r="AR22" i="14"/>
  <c r="M23" i="14"/>
  <c r="K26" i="14"/>
  <c r="K38" i="14" s="1"/>
  <c r="AR26" i="14"/>
  <c r="M27" i="14"/>
  <c r="K30" i="14"/>
  <c r="L31" i="14"/>
  <c r="O31" i="14" s="1"/>
  <c r="M32" i="14"/>
  <c r="BC16" i="20"/>
  <c r="AV20" i="20"/>
  <c r="AC4" i="14"/>
  <c r="AC22" i="14" s="1"/>
  <c r="AT4" i="14"/>
  <c r="AT6" i="14"/>
  <c r="AT8" i="14"/>
  <c r="AT10" i="14"/>
  <c r="AT12" i="14"/>
  <c r="AT14" i="14"/>
  <c r="AT16" i="14"/>
  <c r="M26" i="14"/>
  <c r="M30" i="14"/>
  <c r="DS10" i="15"/>
  <c r="BD26" i="16"/>
  <c r="AA29" i="21"/>
  <c r="AA30" i="21" s="1"/>
  <c r="W79" i="21"/>
  <c r="CX18" i="13"/>
  <c r="M4" i="14"/>
  <c r="O4" i="14" s="1"/>
  <c r="P28" i="16"/>
  <c r="P88" i="21" s="1"/>
  <c r="AK63" i="20"/>
  <c r="T24" i="21"/>
  <c r="AK64" i="20"/>
  <c r="J5" i="14"/>
  <c r="O5" i="14" s="1"/>
  <c r="J7" i="14"/>
  <c r="O7" i="14" s="1"/>
  <c r="J9" i="14"/>
  <c r="O9" i="14" s="1"/>
  <c r="J11" i="14"/>
  <c r="J13" i="14"/>
  <c r="J15" i="14"/>
  <c r="O15" i="14" s="1"/>
  <c r="J17" i="14"/>
  <c r="O17" i="14" s="1"/>
  <c r="J19" i="14"/>
  <c r="O19" i="14" s="1"/>
  <c r="J21" i="14"/>
  <c r="O21" i="14" s="1"/>
  <c r="J23" i="14"/>
  <c r="J27" i="14"/>
  <c r="O27" i="14" s="1"/>
  <c r="J32" i="14"/>
  <c r="BC18" i="20"/>
  <c r="AG40" i="4" l="1"/>
  <c r="AI40" i="4"/>
  <c r="AW24" i="4"/>
  <c r="BO30" i="4"/>
  <c r="L38" i="14"/>
  <c r="AW23" i="4"/>
  <c r="AQ28" i="14"/>
  <c r="AE40" i="4"/>
  <c r="AU9" i="14"/>
  <c r="BP19" i="4"/>
  <c r="AU19" i="14"/>
  <c r="AF40" i="4"/>
  <c r="AY22" i="4"/>
  <c r="AY23" i="4"/>
  <c r="AJ4" i="4"/>
  <c r="AE38" i="4"/>
  <c r="AE39" i="4"/>
  <c r="AV23" i="4"/>
  <c r="AV22" i="4"/>
  <c r="AV24" i="4" s="1"/>
  <c r="AX22" i="4"/>
  <c r="AX24" i="4" s="1"/>
  <c r="AX23" i="4"/>
  <c r="AT28" i="14"/>
  <c r="AE4" i="14"/>
  <c r="Z22" i="14"/>
  <c r="AU7" i="14"/>
  <c r="J38" i="14"/>
  <c r="BP25" i="4"/>
  <c r="AU24" i="14"/>
  <c r="AH38" i="4"/>
  <c r="AH40" i="4" s="1"/>
  <c r="AH39" i="4"/>
  <c r="BK28" i="4"/>
  <c r="AJ35" i="4"/>
  <c r="AU22" i="4"/>
  <c r="BK30" i="4"/>
  <c r="BP5" i="4"/>
  <c r="BN28" i="4"/>
  <c r="BN30" i="4" s="1"/>
  <c r="AR28" i="14"/>
  <c r="AG38" i="4"/>
  <c r="AG39" i="4"/>
  <c r="BK29" i="4"/>
  <c r="O13" i="14"/>
  <c r="O26" i="14"/>
  <c r="AI38" i="4"/>
  <c r="AI39" i="4"/>
  <c r="BP26" i="4"/>
  <c r="BL30" i="4"/>
  <c r="O32" i="14"/>
  <c r="O11" i="14"/>
  <c r="M38" i="14"/>
  <c r="AU21" i="14"/>
  <c r="AU13" i="14"/>
  <c r="BL29" i="4"/>
  <c r="BP11" i="4"/>
  <c r="BP21" i="4"/>
  <c r="AZ4" i="4"/>
  <c r="BM30" i="4"/>
  <c r="BO29" i="4"/>
  <c r="BO28" i="4"/>
  <c r="AU4" i="14"/>
  <c r="AY24" i="4"/>
  <c r="AF38" i="4"/>
  <c r="AF39" i="4"/>
  <c r="AU11" i="14"/>
  <c r="O23" i="14"/>
  <c r="O35" i="14"/>
  <c r="AU24" i="4"/>
  <c r="AU5" i="14"/>
  <c r="BM29" i="4"/>
  <c r="BM28" i="4"/>
  <c r="BP17" i="4"/>
  <c r="AJ24" i="4"/>
  <c r="BP7" i="4"/>
  <c r="AJ38" i="4" l="1"/>
  <c r="O38" i="14"/>
</calcChain>
</file>

<file path=xl/sharedStrings.xml><?xml version="1.0" encoding="utf-8"?>
<sst xmlns="http://schemas.openxmlformats.org/spreadsheetml/2006/main" count="16523" uniqueCount="1215">
  <si>
    <t>Traces for figure from:</t>
  </si>
  <si>
    <t>P7–8</t>
  </si>
  <si>
    <t>file</t>
  </si>
  <si>
    <t>CA3 PYs recorded</t>
  </si>
  <si>
    <t xml:space="preserve">INs recorded </t>
  </si>
  <si>
    <t>CA3-CA3 tested</t>
  </si>
  <si>
    <t>CA3-IN-CA3 tested</t>
  </si>
  <si>
    <t>Total connections tested</t>
  </si>
  <si>
    <t>connections found</t>
  </si>
  <si>
    <t>P18–25</t>
  </si>
  <si>
    <t>P45–50</t>
  </si>
  <si>
    <t>EPSP amplitude (mV)</t>
  </si>
  <si>
    <t>Connection probability CA3−CA3 P7−8</t>
  </si>
  <si>
    <t>Connection probability CA3−CA3 P18−25</t>
  </si>
  <si>
    <t>Connection probability CA3−CA3 P45−50</t>
  </si>
  <si>
    <t>ID</t>
  </si>
  <si>
    <t>P7−8</t>
  </si>
  <si>
    <t>P18−25</t>
  </si>
  <si>
    <t>P45−50</t>
  </si>
  <si>
    <t>Age</t>
  </si>
  <si>
    <t>cells w/axons</t>
  </si>
  <si>
    <t>Real # of connections tested</t>
  </si>
  <si>
    <t>OLD NUMBERS CA3-CA1 RECORDINGS</t>
  </si>
  <si>
    <t>291121 5 to 4</t>
  </si>
  <si>
    <t>260722 (6 to 2)</t>
  </si>
  <si>
    <t>0203222 (1 to 2)</t>
  </si>
  <si>
    <t>FILE</t>
  </si>
  <si>
    <t>CA3 recorded</t>
  </si>
  <si>
    <t>CA1 recorded</t>
  </si>
  <si>
    <t>connections tested CA3 to CA1</t>
  </si>
  <si>
    <t>connections tested CA3 to CA3</t>
  </si>
  <si>
    <t>connections tested CA1 to CA1</t>
  </si>
  <si>
    <t>Total</t>
  </si>
  <si>
    <t>291121 5 to 7</t>
  </si>
  <si>
    <t>260722 (6 to 3)</t>
  </si>
  <si>
    <t>0203222 (2 to 1)</t>
  </si>
  <si>
    <t>291121 4 to 2</t>
  </si>
  <si>
    <t>290722 (4 to 6)</t>
  </si>
  <si>
    <t>0203222 (4 to 1)</t>
  </si>
  <si>
    <t>1312212 4 to 5</t>
  </si>
  <si>
    <t>10822 (2 to 1)</t>
  </si>
  <si>
    <t>080322 (4 to 5)</t>
  </si>
  <si>
    <t>1312212 2 to 3</t>
  </si>
  <si>
    <t>30822 (6 to 7)</t>
  </si>
  <si>
    <t>080322 (5 to 8)</t>
  </si>
  <si>
    <t>201221 7 to 8</t>
  </si>
  <si>
    <t>30822 (2 to 3)</t>
  </si>
  <si>
    <t>100322 (6 to 1)</t>
  </si>
  <si>
    <t>221221 4 to 5</t>
  </si>
  <si>
    <t>908222 (8 to 7)</t>
  </si>
  <si>
    <t>100322 (6 to 7)</t>
  </si>
  <si>
    <t>221221 4 to 8</t>
  </si>
  <si>
    <t>170822 (1 to 7)</t>
  </si>
  <si>
    <t>240322 (4 to 5)</t>
  </si>
  <si>
    <t>231221 7 to 8</t>
  </si>
  <si>
    <t>190822 (7 to 4)</t>
  </si>
  <si>
    <t>060422 (4 to 8)</t>
  </si>
  <si>
    <t>260822 (7 to 1)</t>
  </si>
  <si>
    <t>110722 (4 to 6)</t>
  </si>
  <si>
    <t>1801222 8 to 1</t>
  </si>
  <si>
    <t>0109222 (1 to 2)</t>
  </si>
  <si>
    <t>120722 (2 to 3)</t>
  </si>
  <si>
    <t>1801222 6 to 8</t>
  </si>
  <si>
    <t>0109222 (4 to 8)</t>
  </si>
  <si>
    <t>110123 (2 to 8)</t>
  </si>
  <si>
    <t>2501222 3 to 8</t>
  </si>
  <si>
    <t>050723 (8 to 7)</t>
  </si>
  <si>
    <t>100223 (5 to 3)</t>
  </si>
  <si>
    <t>2501222 5 to 8</t>
  </si>
  <si>
    <t>0507232 (6 to 8)</t>
  </si>
  <si>
    <t>100223 (5 to 7)</t>
  </si>
  <si>
    <t>2501222 7 to 1</t>
  </si>
  <si>
    <t>221223 (7 to 8)</t>
  </si>
  <si>
    <t>250423 (1 to 6)</t>
  </si>
  <si>
    <t>2501222 8 to 2</t>
  </si>
  <si>
    <t>1302242 (2 to 7)</t>
  </si>
  <si>
    <t>250423 (1 to 7)</t>
  </si>
  <si>
    <t>260122 2 to 1</t>
  </si>
  <si>
    <t>190224 (4 to 8)</t>
  </si>
  <si>
    <t>260122 4 to 3</t>
  </si>
  <si>
    <t>280224 (7 to 2)</t>
  </si>
  <si>
    <t>2601222 3 to 8</t>
  </si>
  <si>
    <t>290224 (1 to 5)</t>
  </si>
  <si>
    <t>010222 3 to 7</t>
  </si>
  <si>
    <t>290224 (4 to 5)</t>
  </si>
  <si>
    <t>0102222 4 to3</t>
  </si>
  <si>
    <t>160522 3 to 4</t>
  </si>
  <si>
    <t>160522 5 to 8</t>
  </si>
  <si>
    <t>160522 8 to 3</t>
  </si>
  <si>
    <t>070223 2 to 5</t>
  </si>
  <si>
    <t>070223 2 to 6</t>
  </si>
  <si>
    <t>070223 6 to 5</t>
  </si>
  <si>
    <t>1502232 8 to 4</t>
  </si>
  <si>
    <t>160223 3 to 1</t>
  </si>
  <si>
    <t>160223 2 to 5</t>
  </si>
  <si>
    <t>1602232 3 to 1</t>
  </si>
  <si>
    <t>1602232 3 to 4</t>
  </si>
  <si>
    <t>1602232 4 to 6</t>
  </si>
  <si>
    <t>1602232 6 to 4</t>
  </si>
  <si>
    <t>170223 1 to 4</t>
  </si>
  <si>
    <t>170223 4 to 1</t>
  </si>
  <si>
    <t>200223 2 to 8</t>
  </si>
  <si>
    <t>200223 6 to 5</t>
  </si>
  <si>
    <t>2002232 2 to 8</t>
  </si>
  <si>
    <t>2002232 4 to 1</t>
  </si>
  <si>
    <t>2102232 7 to 1</t>
  </si>
  <si>
    <t>220223 1 to 7</t>
  </si>
  <si>
    <t>220223 1 to 3</t>
  </si>
  <si>
    <t>220223 4 to 8</t>
  </si>
  <si>
    <t>240223 4 to 5</t>
  </si>
  <si>
    <t>060423 6 to 8</t>
  </si>
  <si>
    <t>0604232 8 to 7</t>
  </si>
  <si>
    <t>120423 1 to 3</t>
  </si>
  <si>
    <t>130423 3 to 1</t>
  </si>
  <si>
    <t>1304232 4 to 3</t>
  </si>
  <si>
    <t>1804232 3 to 8</t>
  </si>
  <si>
    <t>1804232 6 to 8</t>
  </si>
  <si>
    <t>1904232 8 to 6</t>
  </si>
  <si>
    <t>1904232 8 to 2</t>
  </si>
  <si>
    <t>120623 4 to 1</t>
  </si>
  <si>
    <t>120623 3 to 5</t>
  </si>
  <si>
    <t>120623 8 to 7</t>
  </si>
  <si>
    <t>50923 7 to 1</t>
  </si>
  <si>
    <t>70923 7 to 3</t>
  </si>
  <si>
    <t>70923 3 to 2</t>
  </si>
  <si>
    <t>80923 8 to 7</t>
  </si>
  <si>
    <t>80923 8 to 1</t>
  </si>
  <si>
    <t>110923 1 to 5</t>
  </si>
  <si>
    <t>140323**</t>
  </si>
  <si>
    <t>Apparent connection probability</t>
  </si>
  <si>
    <t>Corrected connection probability from axon counting</t>
  </si>
  <si>
    <t>connections tested</t>
  </si>
  <si>
    <t>connection probability</t>
  </si>
  <si>
    <t>My old numbers from CA3–CA1 recordings (300721-231121)</t>
  </si>
  <si>
    <t>CA3–CA3 P18–25</t>
  </si>
  <si>
    <r>
      <rPr>
        <sz val="10"/>
        <rFont val="Arial"/>
        <family val="2"/>
        <charset val="1"/>
      </rPr>
      <t xml:space="preserve">ALL MY NUMBERS </t>
    </r>
    <r>
      <rPr>
        <b/>
        <sz val="10"/>
        <rFont val="Arial"/>
        <family val="2"/>
        <charset val="1"/>
      </rPr>
      <t>(Apparent connection probability)</t>
    </r>
  </si>
  <si>
    <t>Cumulative axonal length (μm) P7–8</t>
  </si>
  <si>
    <t>Cumulative axonal length (μm) P18–25</t>
  </si>
  <si>
    <t>Cumulative axonal length (μm) P45–50</t>
  </si>
  <si>
    <t>APICAL 80224</t>
  </si>
  <si>
    <t>APICAL 140624</t>
  </si>
  <si>
    <t>APICAL 120624</t>
  </si>
  <si>
    <t>BASAL 80224</t>
  </si>
  <si>
    <t>BASAL 140624</t>
  </si>
  <si>
    <t>BASAL 120624</t>
  </si>
  <si>
    <t>axon length (μm)</t>
  </si>
  <si>
    <t>No. of axonal branch points</t>
  </si>
  <si>
    <r>
      <rPr>
        <sz val="10"/>
        <rFont val="Arial"/>
        <family val="2"/>
        <charset val="1"/>
      </rPr>
      <t>Apical dendritic length (</t>
    </r>
    <r>
      <rPr>
        <sz val="10"/>
        <rFont val="Times New Roman"/>
        <family val="1"/>
        <charset val="1"/>
      </rPr>
      <t>μm)</t>
    </r>
  </si>
  <si>
    <t>Basal dendritic legth (μm)</t>
  </si>
  <si>
    <t>Mossy fiber tract length (μm)</t>
  </si>
  <si>
    <t>cell1</t>
  </si>
  <si>
    <t>cell2</t>
  </si>
  <si>
    <t>cell3</t>
  </si>
  <si>
    <t>cell4</t>
  </si>
  <si>
    <t>cell5</t>
  </si>
  <si>
    <t>cell6</t>
  </si>
  <si>
    <t>cell7</t>
  </si>
  <si>
    <t>Dendrite diameter (µm)</t>
  </si>
  <si>
    <t>1602232 #3</t>
  </si>
  <si>
    <t>050723 #1</t>
  </si>
  <si>
    <t>3001232 #1</t>
  </si>
  <si>
    <t>1602232 #2</t>
  </si>
  <si>
    <t>Dendritic length</t>
  </si>
  <si>
    <t># of spines</t>
  </si>
  <si>
    <t>D1</t>
  </si>
  <si>
    <t>D2</t>
  </si>
  <si>
    <t>D3</t>
  </si>
  <si>
    <t>Recording</t>
  </si>
  <si>
    <t>1602232 #5</t>
  </si>
  <si>
    <t>050723 #2</t>
  </si>
  <si>
    <t>260523 #1</t>
  </si>
  <si>
    <t>Cell #1</t>
  </si>
  <si>
    <t>1602232 #6</t>
  </si>
  <si>
    <t>050723 #5</t>
  </si>
  <si>
    <t>260523 #2</t>
  </si>
  <si>
    <t>050723 #3</t>
  </si>
  <si>
    <t>Cell #2</t>
  </si>
  <si>
    <t>1602232 #8</t>
  </si>
  <si>
    <t>050723 #7</t>
  </si>
  <si>
    <t>010623 #1</t>
  </si>
  <si>
    <t>Cell #3</t>
  </si>
  <si>
    <t>170223 #2</t>
  </si>
  <si>
    <t>050723 #8</t>
  </si>
  <si>
    <t>010623 #5</t>
  </si>
  <si>
    <t>050723 #6</t>
  </si>
  <si>
    <t>010623 #2</t>
  </si>
  <si>
    <t>SPINE DENSITY</t>
  </si>
  <si>
    <t>Cell #4</t>
  </si>
  <si>
    <t>170223 #3</t>
  </si>
  <si>
    <t>0507232 #3</t>
  </si>
  <si>
    <t>010623 #6</t>
  </si>
  <si>
    <t>010623 #4</t>
  </si>
  <si>
    <t>Cell #5</t>
  </si>
  <si>
    <t>170223 #4</t>
  </si>
  <si>
    <t>0507232 #4</t>
  </si>
  <si>
    <t>010623 #8</t>
  </si>
  <si>
    <t>Cell #6</t>
  </si>
  <si>
    <t>170223 #7</t>
  </si>
  <si>
    <t>0507232 #5</t>
  </si>
  <si>
    <t>310723 #3</t>
  </si>
  <si>
    <t>Cell #7</t>
  </si>
  <si>
    <t>170223 #8</t>
  </si>
  <si>
    <t>0507232 #6</t>
  </si>
  <si>
    <t>030823 #3</t>
  </si>
  <si>
    <t>010623 #7</t>
  </si>
  <si>
    <t>120423 #1</t>
  </si>
  <si>
    <t>0507232 #7</t>
  </si>
  <si>
    <t>030823 #6</t>
  </si>
  <si>
    <t>120423 #3</t>
  </si>
  <si>
    <t>0507232 #8</t>
  </si>
  <si>
    <t>030823 #7</t>
  </si>
  <si>
    <t>APICAL 130624</t>
  </si>
  <si>
    <t>BASAL 130624</t>
  </si>
  <si>
    <t>120423 #4</t>
  </si>
  <si>
    <t>1107232 #2</t>
  </si>
  <si>
    <t>030823 #8</t>
  </si>
  <si>
    <t>120423 #5</t>
  </si>
  <si>
    <t>1107232 #5</t>
  </si>
  <si>
    <t>131223 #3</t>
  </si>
  <si>
    <t>120423 #6</t>
  </si>
  <si>
    <t>200723 #1</t>
  </si>
  <si>
    <t>131223 #8</t>
  </si>
  <si>
    <t>1107232 #1</t>
  </si>
  <si>
    <t>120623 #1</t>
  </si>
  <si>
    <t>200723 #2</t>
  </si>
  <si>
    <t>141223 #1</t>
  </si>
  <si>
    <t xml:space="preserve">141223 #1 </t>
  </si>
  <si>
    <t>120623 #3</t>
  </si>
  <si>
    <t>190224 #1</t>
  </si>
  <si>
    <t>141223 # 8</t>
  </si>
  <si>
    <t>APICAL 270224</t>
  </si>
  <si>
    <t>BASAL 270224</t>
  </si>
  <si>
    <t>120623 #4</t>
  </si>
  <si>
    <t>270224 #1</t>
  </si>
  <si>
    <t>160124 #2</t>
  </si>
  <si>
    <t>1107232 #6</t>
  </si>
  <si>
    <t>120623 #6</t>
  </si>
  <si>
    <t>270224 #3</t>
  </si>
  <si>
    <t>160124 #6</t>
  </si>
  <si>
    <t>1107232 #7</t>
  </si>
  <si>
    <t>120623 #7</t>
  </si>
  <si>
    <t>270224 #5</t>
  </si>
  <si>
    <t>160124 #8</t>
  </si>
  <si>
    <t>120623 #5</t>
  </si>
  <si>
    <t>1107232 #8</t>
  </si>
  <si>
    <t>141223 #3</t>
  </si>
  <si>
    <t>120623 #8</t>
  </si>
  <si>
    <t>270224 #7</t>
  </si>
  <si>
    <t>060324 #1</t>
  </si>
  <si>
    <t>141223 #6</t>
  </si>
  <si>
    <t>070923 #1</t>
  </si>
  <si>
    <t>270224#8</t>
  </si>
  <si>
    <t>060324 #2</t>
  </si>
  <si>
    <t>141223 #7</t>
  </si>
  <si>
    <t>BASAL 280324</t>
  </si>
  <si>
    <t>070923 #2</t>
  </si>
  <si>
    <t>Average</t>
  </si>
  <si>
    <t>060324 #3</t>
  </si>
  <si>
    <t>070923 #3</t>
  </si>
  <si>
    <t>St. dev</t>
  </si>
  <si>
    <t>150324 #1</t>
  </si>
  <si>
    <t>APICAL 280324</t>
  </si>
  <si>
    <t>070923 #5</t>
  </si>
  <si>
    <t>St. error</t>
  </si>
  <si>
    <t>150324 #2</t>
  </si>
  <si>
    <t>070923 #7</t>
  </si>
  <si>
    <t>150324 #3</t>
  </si>
  <si>
    <t>160124 #7</t>
  </si>
  <si>
    <t>070923 #8</t>
  </si>
  <si>
    <t>150324 #4</t>
  </si>
  <si>
    <t>270224 #6</t>
  </si>
  <si>
    <t>110923 #3</t>
  </si>
  <si>
    <t>150324 #5</t>
  </si>
  <si>
    <t>110923 #5</t>
  </si>
  <si>
    <t>150324 #6</t>
  </si>
  <si>
    <t>080923 #1</t>
  </si>
  <si>
    <t>150324 #8</t>
  </si>
  <si>
    <t>APICAL 0602242</t>
  </si>
  <si>
    <t>APICAL 280224</t>
  </si>
  <si>
    <t>BASAL 0602242</t>
  </si>
  <si>
    <t>BASAL 280224</t>
  </si>
  <si>
    <t>SD</t>
  </si>
  <si>
    <t>080923 #2</t>
  </si>
  <si>
    <t>060324 #4</t>
  </si>
  <si>
    <t>SE</t>
  </si>
  <si>
    <t>080923 #4</t>
  </si>
  <si>
    <t>BASAL 1106242</t>
  </si>
  <si>
    <t>080923 #6</t>
  </si>
  <si>
    <t>cell8</t>
  </si>
  <si>
    <t>080923 #7</t>
  </si>
  <si>
    <t>080923 #3</t>
  </si>
  <si>
    <t>080923 #8</t>
  </si>
  <si>
    <t>APICAL 1106242</t>
  </si>
  <si>
    <t>3001242 #2</t>
  </si>
  <si>
    <t>080923 #5</t>
  </si>
  <si>
    <t xml:space="preserve">AXONS WITH LESS THAN 1500 μM </t>
  </si>
  <si>
    <t>150324 #7</t>
  </si>
  <si>
    <t>APICAL 0202242</t>
  </si>
  <si>
    <t>BASAL 0202242</t>
  </si>
  <si>
    <t>BASAL 270324</t>
  </si>
  <si>
    <t>APICAL 200224</t>
  </si>
  <si>
    <t>BASAL 200224</t>
  </si>
  <si>
    <t>APICAL 270324</t>
  </si>
  <si>
    <t>APICAL 3101242</t>
  </si>
  <si>
    <t>APICAL 290224</t>
  </si>
  <si>
    <t>BASAL 3101242</t>
  </si>
  <si>
    <t>BASAL 290224</t>
  </si>
  <si>
    <t>APICAL</t>
  </si>
  <si>
    <t>BASAL</t>
  </si>
  <si>
    <t>DENDRITIC LENGTH</t>
  </si>
  <si>
    <t>APICAL 3001242</t>
  </si>
  <si>
    <t>BASAL 3001242</t>
  </si>
  <si>
    <t>Absolute values</t>
  </si>
  <si>
    <t>Percentage</t>
  </si>
  <si>
    <t>CELL ID</t>
  </si>
  <si>
    <t>SP Axon</t>
  </si>
  <si>
    <t>SO Axon</t>
  </si>
  <si>
    <t>SR Axon</t>
  </si>
  <si>
    <t>SPCA1 Axon</t>
  </si>
  <si>
    <t>DG/Hilus Axon</t>
  </si>
  <si>
    <t>P7–8 Motif count whole data set</t>
  </si>
  <si>
    <t>Conn % CA3–CA3</t>
  </si>
  <si>
    <t>P18–25 Motif count whole data set</t>
  </si>
  <si>
    <t>P45–50 Motif count whole data set</t>
  </si>
  <si>
    <t>reciprocal</t>
  </si>
  <si>
    <t>divergence</t>
  </si>
  <si>
    <t>convergence</t>
  </si>
  <si>
    <t>chain</t>
  </si>
  <si>
    <t>P7–8 Motif count corrected data set</t>
  </si>
  <si>
    <t>P18–25 Motif count corrected data set</t>
  </si>
  <si>
    <t>P45–50 Motif count corrected data set</t>
  </si>
  <si>
    <t>Overlap</t>
  </si>
  <si>
    <t>Patchiness</t>
  </si>
  <si>
    <t>P7-8</t>
  </si>
  <si>
    <t>P18-25</t>
  </si>
  <si>
    <t>P45-50</t>
  </si>
  <si>
    <t>1st ESPC amplitude (pA)</t>
  </si>
  <si>
    <t>EPSP potency (mV)</t>
  </si>
  <si>
    <t>EPSP amplitude (mV) w/failures</t>
  </si>
  <si>
    <t>EPSP potency</t>
  </si>
  <si>
    <t>EPSP potency  (mV)</t>
  </si>
  <si>
    <t>Membrane resistance MΩ</t>
  </si>
  <si>
    <t>291121 #1</t>
  </si>
  <si>
    <t>250722 #1</t>
  </si>
  <si>
    <t>0203222 #1</t>
  </si>
  <si>
    <t>291121 #2</t>
  </si>
  <si>
    <t>250722 #5</t>
  </si>
  <si>
    <t>0203222 #2</t>
  </si>
  <si>
    <t>291121 #4</t>
  </si>
  <si>
    <t>250722 #7</t>
  </si>
  <si>
    <t>0203222 #4</t>
  </si>
  <si>
    <t>291121 #5</t>
  </si>
  <si>
    <t>250722 #8</t>
  </si>
  <si>
    <t>0203222 #5</t>
  </si>
  <si>
    <t>291121 #6</t>
  </si>
  <si>
    <t>2507222 #1</t>
  </si>
  <si>
    <t>0203222 #6</t>
  </si>
  <si>
    <t>70324 (3 to 6)</t>
  </si>
  <si>
    <t>291121 #7</t>
  </si>
  <si>
    <t>2507222 #2</t>
  </si>
  <si>
    <t>0203222 #8</t>
  </si>
  <si>
    <t>150324 (4 to 3)</t>
  </si>
  <si>
    <t>301121 #1</t>
  </si>
  <si>
    <t>2507222 #3</t>
  </si>
  <si>
    <t>080322 #1</t>
  </si>
  <si>
    <t>190324 (3 to 2)</t>
  </si>
  <si>
    <t>301121 #5</t>
  </si>
  <si>
    <t>2507222 #4</t>
  </si>
  <si>
    <t>080322 #2</t>
  </si>
  <si>
    <t>190324 (6 to 4)</t>
  </si>
  <si>
    <t>301121 #7</t>
  </si>
  <si>
    <t>2507222 #5</t>
  </si>
  <si>
    <t>080322 #3</t>
  </si>
  <si>
    <t>250324 (7 to 6)</t>
  </si>
  <si>
    <t>301121 #8</t>
  </si>
  <si>
    <t>2507222 #6</t>
  </si>
  <si>
    <t>080322 #4</t>
  </si>
  <si>
    <t>250324 (3 to 6)</t>
  </si>
  <si>
    <t>011221 #1</t>
  </si>
  <si>
    <t>260722 #1</t>
  </si>
  <si>
    <t>080322 #5</t>
  </si>
  <si>
    <t>220223 3 to 1</t>
  </si>
  <si>
    <t>011221 #2</t>
  </si>
  <si>
    <t>260722 #2</t>
  </si>
  <si>
    <t>080322 #6</t>
  </si>
  <si>
    <t>011221 #3</t>
  </si>
  <si>
    <t>260722 #3</t>
  </si>
  <si>
    <t>080322 #7</t>
  </si>
  <si>
    <t>011221 #4</t>
  </si>
  <si>
    <t>260722 #6</t>
  </si>
  <si>
    <t>080322 #8</t>
  </si>
  <si>
    <t>011221 #5</t>
  </si>
  <si>
    <t>260722 #7</t>
  </si>
  <si>
    <t>0803222 #1</t>
  </si>
  <si>
    <t>021221 #2</t>
  </si>
  <si>
    <t>260722 #8</t>
  </si>
  <si>
    <t>0803222 #4</t>
  </si>
  <si>
    <t>MEAN</t>
  </si>
  <si>
    <t>021221 #3</t>
  </si>
  <si>
    <t>2607222 #1</t>
  </si>
  <si>
    <t>0803222 #5</t>
  </si>
  <si>
    <t>021221 #4</t>
  </si>
  <si>
    <t>2607222 #2</t>
  </si>
  <si>
    <t>0803222 #6</t>
  </si>
  <si>
    <t>021221 #5</t>
  </si>
  <si>
    <t>2607222 #3</t>
  </si>
  <si>
    <t>0803222 #7</t>
  </si>
  <si>
    <t>021221 #6</t>
  </si>
  <si>
    <t>2607222 #4</t>
  </si>
  <si>
    <t>0803222 #8</t>
  </si>
  <si>
    <t>210324 (5 to 3)</t>
  </si>
  <si>
    <t>021221 #7</t>
  </si>
  <si>
    <t>2607222 #6</t>
  </si>
  <si>
    <t>100322 #1</t>
  </si>
  <si>
    <t>021221 #8</t>
  </si>
  <si>
    <t>2607222 #8</t>
  </si>
  <si>
    <t>100322 #2</t>
  </si>
  <si>
    <t>0612212 #1</t>
  </si>
  <si>
    <t>270722 #1</t>
  </si>
  <si>
    <t>100322 #3</t>
  </si>
  <si>
    <t>1306242 (8 to 6)</t>
  </si>
  <si>
    <t>0612212 #2</t>
  </si>
  <si>
    <t>270722 #2</t>
  </si>
  <si>
    <t>100322 #4</t>
  </si>
  <si>
    <t>1306242 (6 to 8)</t>
  </si>
  <si>
    <t>0612212 #3</t>
  </si>
  <si>
    <t>270722 #4</t>
  </si>
  <si>
    <t>100322 #5</t>
  </si>
  <si>
    <t>0612212 #4</t>
  </si>
  <si>
    <t>270722 #5</t>
  </si>
  <si>
    <t>100322 #6</t>
  </si>
  <si>
    <t>0612212 #5</t>
  </si>
  <si>
    <t>270722 #6</t>
  </si>
  <si>
    <t>100322 #7</t>
  </si>
  <si>
    <t>0612212 #6</t>
  </si>
  <si>
    <t>270722 #7</t>
  </si>
  <si>
    <t>100322 #8</t>
  </si>
  <si>
    <t>0612212 #7</t>
  </si>
  <si>
    <t>270722 #8</t>
  </si>
  <si>
    <t>140322 #2</t>
  </si>
  <si>
    <t>0612212 #8</t>
  </si>
  <si>
    <t>2707222 #1</t>
  </si>
  <si>
    <t>140322 #4</t>
  </si>
  <si>
    <t>0712212 #1</t>
  </si>
  <si>
    <t>2707222 #2</t>
  </si>
  <si>
    <t>140322 #5</t>
  </si>
  <si>
    <t>0712212 #3</t>
  </si>
  <si>
    <t>2707222 #3</t>
  </si>
  <si>
    <t>140322 #6</t>
  </si>
  <si>
    <t>0712212 #5</t>
  </si>
  <si>
    <t>2707222 #4</t>
  </si>
  <si>
    <t>140322 #7</t>
  </si>
  <si>
    <t>0712212 #7</t>
  </si>
  <si>
    <t>2707222 #5</t>
  </si>
  <si>
    <t>140322 #8</t>
  </si>
  <si>
    <t>0712212 #8</t>
  </si>
  <si>
    <t>2707222 #6</t>
  </si>
  <si>
    <t>220322 #1</t>
  </si>
  <si>
    <t>0912212 #1</t>
  </si>
  <si>
    <t>2707222 #8</t>
  </si>
  <si>
    <t>220322 #2</t>
  </si>
  <si>
    <t>0912212 #2</t>
  </si>
  <si>
    <t>280722 #1</t>
  </si>
  <si>
    <t>220322 #3</t>
  </si>
  <si>
    <t>0912212 #4</t>
  </si>
  <si>
    <t>280722 #3</t>
  </si>
  <si>
    <t>220322 #4</t>
  </si>
  <si>
    <t>0912212 #5</t>
  </si>
  <si>
    <t>280722 #5</t>
  </si>
  <si>
    <t>220322 #5</t>
  </si>
  <si>
    <t>0912212 #6</t>
  </si>
  <si>
    <t>280722 #6</t>
  </si>
  <si>
    <t>220322 #6</t>
  </si>
  <si>
    <t>0912212 #7</t>
  </si>
  <si>
    <t>280722 #7</t>
  </si>
  <si>
    <t>220322 #8</t>
  </si>
  <si>
    <t>1312212 #1</t>
  </si>
  <si>
    <t>280722 #8</t>
  </si>
  <si>
    <t>2303222 #1</t>
  </si>
  <si>
    <t>1312212 #2</t>
  </si>
  <si>
    <t>290722 #1</t>
  </si>
  <si>
    <t>2303222 #2</t>
  </si>
  <si>
    <t>1312212 #3</t>
  </si>
  <si>
    <t>290722 #2</t>
  </si>
  <si>
    <t>2303222 #4</t>
  </si>
  <si>
    <t>1312212 #4</t>
  </si>
  <si>
    <t>290722 #4</t>
  </si>
  <si>
    <t>2303222 #8</t>
  </si>
  <si>
    <t>1312212 #5</t>
  </si>
  <si>
    <t>290722 #5</t>
  </si>
  <si>
    <t>240322 #1</t>
  </si>
  <si>
    <t>1312212 #6</t>
  </si>
  <si>
    <t>290722 #6</t>
  </si>
  <si>
    <t>240322 #4</t>
  </si>
  <si>
    <t>1312212 #7</t>
  </si>
  <si>
    <t>290722 #7</t>
  </si>
  <si>
    <t>240322 #5</t>
  </si>
  <si>
    <t>201221 #3</t>
  </si>
  <si>
    <t>290722 #8</t>
  </si>
  <si>
    <t>240322 #6</t>
  </si>
  <si>
    <t>201221 #5</t>
  </si>
  <si>
    <t>010822 #1</t>
  </si>
  <si>
    <t>240322 #7</t>
  </si>
  <si>
    <t>201221 #7</t>
  </si>
  <si>
    <t>010822 #2</t>
  </si>
  <si>
    <t>240322 #8</t>
  </si>
  <si>
    <t>201221 #8</t>
  </si>
  <si>
    <t>010822 #5</t>
  </si>
  <si>
    <t>2004222 #1</t>
  </si>
  <si>
    <t>211221 #1</t>
  </si>
  <si>
    <t>010822 #6</t>
  </si>
  <si>
    <t>2004222 #2</t>
  </si>
  <si>
    <t>211221 #2</t>
  </si>
  <si>
    <t>010822 #8</t>
  </si>
  <si>
    <t>2004222 #5</t>
  </si>
  <si>
    <t>211221 #3</t>
  </si>
  <si>
    <t>020822 #2</t>
  </si>
  <si>
    <t>2004222 #6</t>
  </si>
  <si>
    <t>211221 #4</t>
  </si>
  <si>
    <t>020822 #3</t>
  </si>
  <si>
    <t>2004222 #7</t>
  </si>
  <si>
    <t>211221 #5</t>
  </si>
  <si>
    <t>020822 #4</t>
  </si>
  <si>
    <t>2004222 #8</t>
  </si>
  <si>
    <t>110923 3 to 5</t>
  </si>
  <si>
    <t>211221 #6</t>
  </si>
  <si>
    <t>020822 #5</t>
  </si>
  <si>
    <t>210422 #1</t>
  </si>
  <si>
    <t>1109232 3 to 5</t>
  </si>
  <si>
    <t>211221 #7</t>
  </si>
  <si>
    <t>020822 #6</t>
  </si>
  <si>
    <t>210422 #2</t>
  </si>
  <si>
    <t>1109232 5 to1</t>
  </si>
  <si>
    <t>211221 #8</t>
  </si>
  <si>
    <t>020822 #7</t>
  </si>
  <si>
    <t>210422 #3</t>
  </si>
  <si>
    <t>1109232 6 to 7</t>
  </si>
  <si>
    <t>221221 #1</t>
  </si>
  <si>
    <t>020822 #8</t>
  </si>
  <si>
    <t>210422 #4</t>
  </si>
  <si>
    <t>140923 2 to 7</t>
  </si>
  <si>
    <t>221221 #2</t>
  </si>
  <si>
    <t>0208222 #1</t>
  </si>
  <si>
    <t>210422 #7</t>
  </si>
  <si>
    <t>140923 6 to 7</t>
  </si>
  <si>
    <t>221221 #3</t>
  </si>
  <si>
    <t>0208222 #3</t>
  </si>
  <si>
    <t>210422 #8</t>
  </si>
  <si>
    <t>3001242 1 to 3</t>
  </si>
  <si>
    <t>221221 #4</t>
  </si>
  <si>
    <t>0208222 #4</t>
  </si>
  <si>
    <t>2104222 #1</t>
  </si>
  <si>
    <t>3001242 1 to 4</t>
  </si>
  <si>
    <t>221221 #5</t>
  </si>
  <si>
    <t>0208222 #5</t>
  </si>
  <si>
    <t>2104222 #3</t>
  </si>
  <si>
    <t>3001242 4 to 7</t>
  </si>
  <si>
    <t>221221 #6</t>
  </si>
  <si>
    <t>030822 #1</t>
  </si>
  <si>
    <t>2104222 #4</t>
  </si>
  <si>
    <t>310124 4 to 8</t>
  </si>
  <si>
    <t>221221 #7</t>
  </si>
  <si>
    <t>030822 #2</t>
  </si>
  <si>
    <t>2104222 #7</t>
  </si>
  <si>
    <t>0502242 7 to 5</t>
  </si>
  <si>
    <t>221221 #8</t>
  </si>
  <si>
    <t>030822#3</t>
  </si>
  <si>
    <t>2104222 #8</t>
  </si>
  <si>
    <t>0502242 7 to 2</t>
  </si>
  <si>
    <t>231221 #3</t>
  </si>
  <si>
    <t>030822 #4</t>
  </si>
  <si>
    <t>260422 #1</t>
  </si>
  <si>
    <t>0602242 4 to 1</t>
  </si>
  <si>
    <t>231221 #4</t>
  </si>
  <si>
    <t>030822 #5</t>
  </si>
  <si>
    <t>260422 #2</t>
  </si>
  <si>
    <t>231221 #5</t>
  </si>
  <si>
    <t>030822 #6</t>
  </si>
  <si>
    <t>260422 #3</t>
  </si>
  <si>
    <t>231221 #7</t>
  </si>
  <si>
    <t>030822 #7</t>
  </si>
  <si>
    <t>260422 #4</t>
  </si>
  <si>
    <t>231221 #8</t>
  </si>
  <si>
    <t>030822 #8</t>
  </si>
  <si>
    <t>260422 #5</t>
  </si>
  <si>
    <t>1801222 #1</t>
  </si>
  <si>
    <t>0308222 #1</t>
  </si>
  <si>
    <t>260422 #6</t>
  </si>
  <si>
    <t>1801222 #2</t>
  </si>
  <si>
    <t>0308222 #2</t>
  </si>
  <si>
    <t>260422 #7</t>
  </si>
  <si>
    <t>1801222 #3</t>
  </si>
  <si>
    <t>0308222 #3</t>
  </si>
  <si>
    <t>260422 #8</t>
  </si>
  <si>
    <t>1801222 #5</t>
  </si>
  <si>
    <t>0308222 #4</t>
  </si>
  <si>
    <t>280422 #1</t>
  </si>
  <si>
    <t>1801222 #7</t>
  </si>
  <si>
    <t>0308222 #5</t>
  </si>
  <si>
    <t>280422 #4</t>
  </si>
  <si>
    <t>1801222#8</t>
  </si>
  <si>
    <t>0308222 #6</t>
  </si>
  <si>
    <t>280422 #8</t>
  </si>
  <si>
    <t>2501222 #1</t>
  </si>
  <si>
    <t>0308222 #7</t>
  </si>
  <si>
    <t>2804222 #1</t>
  </si>
  <si>
    <t>2501222 #2</t>
  </si>
  <si>
    <t>0308222 #8</t>
  </si>
  <si>
    <t>2804222 #3</t>
  </si>
  <si>
    <t>2501222 #3</t>
  </si>
  <si>
    <t>0908222 #1</t>
  </si>
  <si>
    <t>2804222 #4</t>
  </si>
  <si>
    <t>2501222 #4</t>
  </si>
  <si>
    <t>0908222 #3</t>
  </si>
  <si>
    <t>2804222 #5</t>
  </si>
  <si>
    <t>2501222 #5</t>
  </si>
  <si>
    <t>0908222 #4</t>
  </si>
  <si>
    <t>2804222 #6</t>
  </si>
  <si>
    <t>2501222 #6</t>
  </si>
  <si>
    <t>0908222 #5</t>
  </si>
  <si>
    <t>2804222 #7</t>
  </si>
  <si>
    <t>2501222 #7</t>
  </si>
  <si>
    <t>0908222 #6</t>
  </si>
  <si>
    <t>2804222 #8</t>
  </si>
  <si>
    <t>2501222 #8</t>
  </si>
  <si>
    <t>0908222 #7</t>
  </si>
  <si>
    <t>030522 #1</t>
  </si>
  <si>
    <t>260122 #1</t>
  </si>
  <si>
    <t>0908222 #8</t>
  </si>
  <si>
    <t>030522 #4</t>
  </si>
  <si>
    <t>260122 #2</t>
  </si>
  <si>
    <t>170822 #1</t>
  </si>
  <si>
    <t>030522 #5</t>
  </si>
  <si>
    <t>260122 #3</t>
  </si>
  <si>
    <t>170822 #2</t>
  </si>
  <si>
    <t>030522 #6</t>
  </si>
  <si>
    <t>260122 #4</t>
  </si>
  <si>
    <t>170822 #3</t>
  </si>
  <si>
    <t>030522 #8</t>
  </si>
  <si>
    <t>260122 #7</t>
  </si>
  <si>
    <t>170822 #4</t>
  </si>
  <si>
    <t>2601222 #1</t>
  </si>
  <si>
    <t>170822 #5</t>
  </si>
  <si>
    <t>2601222 #2</t>
  </si>
  <si>
    <t>170822 #6</t>
  </si>
  <si>
    <t>2601222 #3</t>
  </si>
  <si>
    <t>170822 #7</t>
  </si>
  <si>
    <t>2601222 #5</t>
  </si>
  <si>
    <t>170822 #8</t>
  </si>
  <si>
    <t>2601222 #7</t>
  </si>
  <si>
    <t>190822 #1</t>
  </si>
  <si>
    <t>010222 #3</t>
  </si>
  <si>
    <t>190822 #2</t>
  </si>
  <si>
    <t>010222 #6</t>
  </si>
  <si>
    <t>190822 #3</t>
  </si>
  <si>
    <t>010222 #7</t>
  </si>
  <si>
    <t>190822 #4</t>
  </si>
  <si>
    <t>0102222 #1</t>
  </si>
  <si>
    <t>190822 #5</t>
  </si>
  <si>
    <t>0102222 #3</t>
  </si>
  <si>
    <t>190822 #7</t>
  </si>
  <si>
    <t>0102222 #4</t>
  </si>
  <si>
    <t>190822 #8</t>
  </si>
  <si>
    <t>0102222 #5</t>
  </si>
  <si>
    <t>2608222 #1</t>
  </si>
  <si>
    <t>0102222 #6</t>
  </si>
  <si>
    <t>2608222 #2</t>
  </si>
  <si>
    <t>0102222 #8</t>
  </si>
  <si>
    <t>2608222 #5</t>
  </si>
  <si>
    <t>020222 #1</t>
  </si>
  <si>
    <t>2608222 #6</t>
  </si>
  <si>
    <t>020222 #2</t>
  </si>
  <si>
    <t>2608222 #7</t>
  </si>
  <si>
    <t>020222 #3</t>
  </si>
  <si>
    <t>2608222 #8</t>
  </si>
  <si>
    <t>020222 #4</t>
  </si>
  <si>
    <t>310822 #1</t>
  </si>
  <si>
    <t>020222 #8</t>
  </si>
  <si>
    <t>310822 #2</t>
  </si>
  <si>
    <t>160522 #1</t>
  </si>
  <si>
    <t>310822 #3</t>
  </si>
  <si>
    <t>160522 #3</t>
  </si>
  <si>
    <t>310822 #4</t>
  </si>
  <si>
    <t>160522 #4</t>
  </si>
  <si>
    <t>310822 #6</t>
  </si>
  <si>
    <t>160522 #5</t>
  </si>
  <si>
    <t>310822 #7</t>
  </si>
  <si>
    <t>160522 #8</t>
  </si>
  <si>
    <t>310822 #8</t>
  </si>
  <si>
    <t>0109222 #1</t>
  </si>
  <si>
    <t>0109222 #2</t>
  </si>
  <si>
    <t>0109222 #3</t>
  </si>
  <si>
    <t>0109222 #4</t>
  </si>
  <si>
    <t>0109222 #5</t>
  </si>
  <si>
    <t>0109222 #7</t>
  </si>
  <si>
    <t>0109222 #8</t>
  </si>
  <si>
    <t>Resting Vm</t>
  </si>
  <si>
    <t>Absolute AP threshold (mV)</t>
  </si>
  <si>
    <t>Relative AP threshold (mV)</t>
  </si>
  <si>
    <t>0604232 #1</t>
  </si>
  <si>
    <t>Relative threshold</t>
  </si>
  <si>
    <t>DETONATING SYNAPSES</t>
  </si>
  <si>
    <t>0604232 #3</t>
  </si>
  <si>
    <t>0604232 #4</t>
  </si>
  <si>
    <t>0604232 #5</t>
  </si>
  <si>
    <t>0604232 #6</t>
  </si>
  <si>
    <t>0604232 #7</t>
  </si>
  <si>
    <t>0604232 #8</t>
  </si>
  <si>
    <t>120423 #2</t>
  </si>
  <si>
    <t>120423 #7</t>
  </si>
  <si>
    <t>130423 #1</t>
  </si>
  <si>
    <t>011221 #7</t>
  </si>
  <si>
    <t>130423 #3</t>
  </si>
  <si>
    <t>130423 #4</t>
  </si>
  <si>
    <t>1304232 #1</t>
  </si>
  <si>
    <t>1304232 #2</t>
  </si>
  <si>
    <t>1304232 #3</t>
  </si>
  <si>
    <t>1304232 #4</t>
  </si>
  <si>
    <t>1304232 #6</t>
  </si>
  <si>
    <t>1304232 #8</t>
  </si>
  <si>
    <t>180423 #1</t>
  </si>
  <si>
    <t>180423 #2</t>
  </si>
  <si>
    <t>180423 #3</t>
  </si>
  <si>
    <t>180423 #4</t>
  </si>
  <si>
    <t>180423 #5</t>
  </si>
  <si>
    <t>180423 #6</t>
  </si>
  <si>
    <t>180423 #8</t>
  </si>
  <si>
    <t>1804232 #1</t>
  </si>
  <si>
    <t>1804232 #2</t>
  </si>
  <si>
    <t>1804232 #3</t>
  </si>
  <si>
    <t>1804232 #4</t>
  </si>
  <si>
    <t>1804232 #6</t>
  </si>
  <si>
    <t>1804232 #7</t>
  </si>
  <si>
    <t>1804232 #8</t>
  </si>
  <si>
    <t>190423 #1</t>
  </si>
  <si>
    <t>190423 #3</t>
  </si>
  <si>
    <t>190423 #5</t>
  </si>
  <si>
    <t>190423 #6</t>
  </si>
  <si>
    <t>190423 #7</t>
  </si>
  <si>
    <t>190423 #8</t>
  </si>
  <si>
    <t>201221 #1</t>
  </si>
  <si>
    <t>231221 #6</t>
  </si>
  <si>
    <t>1801222 #4</t>
  </si>
  <si>
    <t>1801222 #6</t>
  </si>
  <si>
    <t xml:space="preserve">MEAN </t>
  </si>
  <si>
    <t>2601222 #8</t>
  </si>
  <si>
    <t>Recordings where connections were found</t>
  </si>
  <si>
    <t>SYNAPSES P7–8</t>
  </si>
  <si>
    <t>5 to 4</t>
  </si>
  <si>
    <t>5 (CA3), 4 (CA3)</t>
  </si>
  <si>
    <t>5 to 7</t>
  </si>
  <si>
    <t>5 (CA3), 7 (CA3)</t>
  </si>
  <si>
    <t>4 to 2</t>
  </si>
  <si>
    <t>4 (CA3), 2 (CA3)</t>
  </si>
  <si>
    <t>4 to 3</t>
  </si>
  <si>
    <t>4 (CA3), 3 (CA3)</t>
  </si>
  <si>
    <t>8 to 7</t>
  </si>
  <si>
    <t>8 (CA3), 7 (CA3)</t>
  </si>
  <si>
    <t>SYNAPSES P18–25</t>
  </si>
  <si>
    <t>SYNAPSES P45–50</t>
  </si>
  <si>
    <t>1 to 7</t>
  </si>
  <si>
    <t>1 (CA3), 7 (CA3)</t>
  </si>
  <si>
    <t>1 to 2</t>
  </si>
  <si>
    <t>1 (CA3), 2 (CA3)</t>
  </si>
  <si>
    <t>1 to 5</t>
  </si>
  <si>
    <t>1 (CA3), 5 (CA3)</t>
  </si>
  <si>
    <t>2 to 1</t>
  </si>
  <si>
    <t>2 (CA3), 1 (CA3)</t>
  </si>
  <si>
    <t>4 to 5</t>
  </si>
  <si>
    <t>4 (CA3), 5 (CA3)</t>
  </si>
  <si>
    <t>4 to 1</t>
  </si>
  <si>
    <t>4 (CA3), 1 (CA3)</t>
  </si>
  <si>
    <t>2 to 3</t>
  </si>
  <si>
    <t>2 (CA3), 3 (CA3)</t>
  </si>
  <si>
    <t>5 to 3</t>
  </si>
  <si>
    <t>5 (CA3), 3 (CA3)</t>
  </si>
  <si>
    <t>1 to 3</t>
  </si>
  <si>
    <t>1 (CA3), 3 (CA3)</t>
  </si>
  <si>
    <t>7 to 8</t>
  </si>
  <si>
    <t>7 (CA3), 8 (CA3)</t>
  </si>
  <si>
    <t>5 to 8</t>
  </si>
  <si>
    <t>5 (CA3), 8 (CA3)</t>
  </si>
  <si>
    <t>8 to 2</t>
  </si>
  <si>
    <t>8 (CA3), 2 (CA3)</t>
  </si>
  <si>
    <t>extremely bad Rs from post-synaptic cell, not worth quantifying</t>
  </si>
  <si>
    <t>6 to 1</t>
  </si>
  <si>
    <t>6 (CA3), 1 (CA3)</t>
  </si>
  <si>
    <t>2 to 8</t>
  </si>
  <si>
    <t>2 (CA3), 8 (CA3)</t>
  </si>
  <si>
    <t>6 to 7</t>
  </si>
  <si>
    <t>6 (CA3), 7 (CA3)</t>
  </si>
  <si>
    <t>6 to 2</t>
  </si>
  <si>
    <t>6 (CA3), 2 (CA3)</t>
  </si>
  <si>
    <t>4 to 8</t>
  </si>
  <si>
    <t>4 (CA3), 8 (CA3)</t>
  </si>
  <si>
    <t>6 to 3</t>
  </si>
  <si>
    <t>6 (CA3), 3 (CA3)</t>
  </si>
  <si>
    <t>4 to 6</t>
  </si>
  <si>
    <t>4 (CA3), 6 (CA3)</t>
  </si>
  <si>
    <t>2 to 4</t>
  </si>
  <si>
    <t>2 (CA3), 4 (CA3)</t>
  </si>
  <si>
    <t>8 to 4</t>
  </si>
  <si>
    <t>8 (CA3), 4 (CA3)</t>
  </si>
  <si>
    <t>6 to 8</t>
  </si>
  <si>
    <t>6 (CA3), 8 (CA3)</t>
  </si>
  <si>
    <t>8 to 1</t>
  </si>
  <si>
    <t>8 (CA3), 1 (CA3)</t>
  </si>
  <si>
    <t>7 to 5</t>
  </si>
  <si>
    <t>7 (CA3), 5 (CA3)</t>
  </si>
  <si>
    <t>3 to 8</t>
  </si>
  <si>
    <t>3 (CA3), 8 (CA3)</t>
  </si>
  <si>
    <t>7 to 4</t>
  </si>
  <si>
    <t>7 (CA3), 4 (CA3)</t>
  </si>
  <si>
    <t>7 to 1</t>
  </si>
  <si>
    <t>7 (CA3), 1 (CA3)</t>
  </si>
  <si>
    <t>1 to 6</t>
  </si>
  <si>
    <t>1 (CA3), 6 (CA3)</t>
  </si>
  <si>
    <t>3 to 6</t>
  </si>
  <si>
    <t>3 (CA3), 6 (CA3)</t>
  </si>
  <si>
    <t>3 to 2</t>
  </si>
  <si>
    <t>3 (CA3), 2 (CA3)</t>
  </si>
  <si>
    <t>6 to 4</t>
  </si>
  <si>
    <t>6 (CA3), 4 (CA3)</t>
  </si>
  <si>
    <t>3 to 7</t>
  </si>
  <si>
    <t>3 (CA3), 7 (CA3)</t>
  </si>
  <si>
    <t>2 to 7</t>
  </si>
  <si>
    <t>2 (CA3), 7 (CA3)</t>
  </si>
  <si>
    <t>7 to 6</t>
  </si>
  <si>
    <t>7 (CA3), 6 (CA3)</t>
  </si>
  <si>
    <t>3 to 4</t>
  </si>
  <si>
    <t>3 (CA3), 4 (CA3)</t>
  </si>
  <si>
    <t>8 to 6</t>
  </si>
  <si>
    <t>8 (CA3), 6 (CA3)</t>
  </si>
  <si>
    <t>7 to 2</t>
  </si>
  <si>
    <t>7 (CA3), 2 (CA3)</t>
  </si>
  <si>
    <t>8 to 3</t>
  </si>
  <si>
    <t>8 (CA3), 3 (CA3)</t>
  </si>
  <si>
    <t>2 to 5</t>
  </si>
  <si>
    <t>2 (CA3), 5 (CA3)</t>
  </si>
  <si>
    <t>2 to 6</t>
  </si>
  <si>
    <t>2 (CA3), 6 (CA3)</t>
  </si>
  <si>
    <t>6 to 5</t>
  </si>
  <si>
    <t>6 (CA3), 5 (CA3)</t>
  </si>
  <si>
    <t>LTP</t>
  </si>
  <si>
    <t>3 to 1</t>
  </si>
  <si>
    <t>3 (CA3), 1 (CA3)</t>
  </si>
  <si>
    <t>1 to 4</t>
  </si>
  <si>
    <t>1 (CA3), 4 (CA3)</t>
  </si>
  <si>
    <r>
      <rPr>
        <sz val="10"/>
        <rFont val="Arial"/>
        <family val="2"/>
        <charset val="1"/>
      </rPr>
      <t xml:space="preserve">STDP </t>
    </r>
    <r>
      <rPr>
        <b/>
        <sz val="10"/>
        <rFont val="Arial"/>
        <family val="2"/>
        <charset val="1"/>
      </rPr>
      <t>ctrl</t>
    </r>
  </si>
  <si>
    <t>STDP</t>
  </si>
  <si>
    <t>3 (CA3), 8(CA3)</t>
  </si>
  <si>
    <t>6 (CA3), 8(CA3)</t>
  </si>
  <si>
    <t>3 to 5</t>
  </si>
  <si>
    <t>3 (CA3), 5 (CA3)</t>
  </si>
  <si>
    <t>7 to 3</t>
  </si>
  <si>
    <t>7 (CA3), 3 (CA3)</t>
  </si>
  <si>
    <t>5 to1</t>
  </si>
  <si>
    <t>5 (CA3), 1 (CA3)</t>
  </si>
  <si>
    <t>4 to 7</t>
  </si>
  <si>
    <t>4 (CA3), 7 (CA3)</t>
  </si>
  <si>
    <t>CA3–CA3 P7–8 Series Resistance below 20 MΩ</t>
  </si>
  <si>
    <t>CA3–CA3 P18–25 Series Resistance below 20 MΩ</t>
  </si>
  <si>
    <t>CA3–CA3 P45–50 Series Resistance below 20 MΩ</t>
  </si>
  <si>
    <t>EPSC amplitude/potency (pA)</t>
  </si>
  <si>
    <t>rise time (ms)</t>
  </si>
  <si>
    <t>decay (tau)</t>
  </si>
  <si>
    <t>Latency (ms)</t>
  </si>
  <si>
    <t>Failure</t>
  </si>
  <si>
    <t>PPR w/failure</t>
  </si>
  <si>
    <r>
      <rPr>
        <sz val="10"/>
        <rFont val="Arial"/>
        <family val="2"/>
        <charset val="1"/>
      </rPr>
      <t>EPSC</t>
    </r>
    <r>
      <rPr>
        <vertAlign val="subscript"/>
        <sz val="10"/>
        <rFont val="Arial"/>
        <family val="2"/>
        <charset val="1"/>
      </rPr>
      <t>5</t>
    </r>
    <r>
      <rPr>
        <sz val="10"/>
        <rFont val="Arial"/>
        <family val="2"/>
        <charset val="1"/>
      </rPr>
      <t>/EPSC</t>
    </r>
    <r>
      <rPr>
        <vertAlign val="subscript"/>
        <sz val="10"/>
        <rFont val="Arial"/>
        <family val="2"/>
        <charset val="1"/>
      </rPr>
      <t>1 w/failure</t>
    </r>
  </si>
  <si>
    <t>308222 (7 to 5)</t>
  </si>
  <si>
    <t>308222 (5 to 7)</t>
  </si>
  <si>
    <t>221223 (8 to 7)</t>
  </si>
  <si>
    <t>280224 (7 to 4)</t>
  </si>
  <si>
    <t>Supplementary Fig 3, Z stack and reconstruction taken from the following recording:</t>
  </si>
  <si>
    <t>ID’d PYs</t>
  </si>
  <si>
    <t>staining</t>
  </si>
  <si>
    <t>fluorescence</t>
  </si>
  <si>
    <t>Input resistance MΩ</t>
  </si>
  <si>
    <t>Resting Vm (mV)</t>
  </si>
  <si>
    <t>Threshold for AP</t>
  </si>
  <si>
    <t>Resting potential (mV)</t>
  </si>
  <si>
    <t>Threshold for AP generation (mV)</t>
  </si>
  <si>
    <t>Vm (mV)</t>
  </si>
  <si>
    <t>Resting mV</t>
  </si>
  <si>
    <t>Vm</t>
  </si>
  <si>
    <t>Relative Threshold</t>
  </si>
  <si>
    <t>I injected</t>
  </si>
  <si>
    <t>0507232 #1</t>
  </si>
  <si>
    <t>0507232 #2</t>
  </si>
  <si>
    <t>1801222 #8</t>
  </si>
  <si>
    <t>190324 #1</t>
  </si>
  <si>
    <t>190324 #3</t>
  </si>
  <si>
    <t>190324 #5</t>
  </si>
  <si>
    <t>190324 #6</t>
  </si>
  <si>
    <t>190324 #7</t>
  </si>
  <si>
    <t>190324 #8</t>
  </si>
  <si>
    <t>AVERAGE</t>
  </si>
  <si>
    <t>P18−21 recorded</t>
  </si>
  <si>
    <t>P18−21 corrected</t>
  </si>
  <si>
    <t>131223 #1</t>
  </si>
  <si>
    <t>131223 #2</t>
  </si>
  <si>
    <t>131223 #6</t>
  </si>
  <si>
    <t>050723 (1 to 7)</t>
  </si>
  <si>
    <t>P7 recorded</t>
  </si>
  <si>
    <t>P7 corrected</t>
  </si>
  <si>
    <t>P45−47 recorded</t>
  </si>
  <si>
    <t>P45−47 corrected</t>
  </si>
  <si>
    <t>250722 #3</t>
  </si>
  <si>
    <t>P22−25 recorded</t>
  </si>
  <si>
    <t>290224 #1</t>
  </si>
  <si>
    <t>290224 #3</t>
  </si>
  <si>
    <t>290224 #5</t>
  </si>
  <si>
    <t>130224 #1</t>
  </si>
  <si>
    <t>130224 #3</t>
  </si>
  <si>
    <t>130224 #5</t>
  </si>
  <si>
    <t>130224 #6</t>
  </si>
  <si>
    <t>130224 #7</t>
  </si>
  <si>
    <t>130224 #8</t>
  </si>
  <si>
    <t>190223 #1</t>
  </si>
  <si>
    <t>190223 #3</t>
  </si>
  <si>
    <t>190223 #4</t>
  </si>
  <si>
    <t>190223 #5</t>
  </si>
  <si>
    <t>190223 #6</t>
  </si>
  <si>
    <t>190223 #8</t>
  </si>
  <si>
    <t>P8 recorded</t>
  </si>
  <si>
    <t>P8 corrected</t>
  </si>
  <si>
    <t>200224 #2</t>
  </si>
  <si>
    <t>200224 #3</t>
  </si>
  <si>
    <t>200224 #4</t>
  </si>
  <si>
    <t>200224 #5</t>
  </si>
  <si>
    <t>P48−50 recorded</t>
  </si>
  <si>
    <t>P48−50 corrected</t>
  </si>
  <si>
    <t>280224 #1</t>
  </si>
  <si>
    <t>280224 #2</t>
  </si>
  <si>
    <t>280224 #3</t>
  </si>
  <si>
    <t>280224 #4</t>
  </si>
  <si>
    <t>280224 #5</t>
  </si>
  <si>
    <t>280224 #6</t>
  </si>
  <si>
    <t>280224 #7</t>
  </si>
  <si>
    <t>280224 #8</t>
  </si>
  <si>
    <t>1302242 #7</t>
  </si>
  <si>
    <t>190224 #8</t>
  </si>
  <si>
    <t>290224 #2</t>
  </si>
  <si>
    <t>310124 4  to 7</t>
  </si>
  <si>
    <t>310124 6 to 8</t>
  </si>
  <si>
    <t>310124 8 to 6</t>
  </si>
  <si>
    <t>310124 8 to 2</t>
  </si>
  <si>
    <t>Scholl P7–8</t>
  </si>
  <si>
    <t>Scholl P18–25</t>
  </si>
  <si>
    <t>Scholl P45–50</t>
  </si>
  <si>
    <r>
      <rPr>
        <sz val="10"/>
        <rFont val="Arial"/>
        <family val="2"/>
        <charset val="1"/>
      </rPr>
      <t>intersomatic distance (</t>
    </r>
    <r>
      <rPr>
        <sz val="10"/>
        <rFont val="Times New Roman"/>
        <family val="1"/>
        <charset val="1"/>
      </rPr>
      <t>μm)</t>
    </r>
  </si>
  <si>
    <t>Synapse latency (ms)</t>
  </si>
  <si>
    <t>Intersomatic distance (μm)</t>
  </si>
  <si>
    <t>CA3-CA3 JITTER</t>
  </si>
  <si>
    <t>GC-GC PLOY</t>
  </si>
  <si>
    <t>distance (μm)</t>
  </si>
  <si>
    <t>Radius</t>
  </si>
  <si>
    <t>Intersections</t>
  </si>
  <si>
    <t>1-2</t>
  </si>
  <si>
    <t>1-3</t>
  </si>
  <si>
    <t>1-4</t>
  </si>
  <si>
    <t>1-5</t>
  </si>
  <si>
    <t>1-6</t>
  </si>
  <si>
    <t>1-7</t>
  </si>
  <si>
    <t>280422 (8 to 4)</t>
  </si>
  <si>
    <t>1-8</t>
  </si>
  <si>
    <t>2-3</t>
  </si>
  <si>
    <t>2-4</t>
  </si>
  <si>
    <t>CA3a</t>
  </si>
  <si>
    <t>connections tested CA3a</t>
  </si>
  <si>
    <r>
      <rPr>
        <sz val="10"/>
        <rFont val="Arial"/>
        <family val="2"/>
        <charset val="1"/>
      </rPr>
      <t xml:space="preserve">connection </t>
    </r>
    <r>
      <rPr>
        <i/>
        <sz val="10"/>
        <rFont val="Arial"/>
        <family val="2"/>
        <charset val="1"/>
      </rPr>
      <t>P</t>
    </r>
  </si>
  <si>
    <t>2-5</t>
  </si>
  <si>
    <t>2-6</t>
  </si>
  <si>
    <t>CA3a/b</t>
  </si>
  <si>
    <t>CA3b</t>
  </si>
  <si>
    <t>connections tested CA3b</t>
  </si>
  <si>
    <t>2-7</t>
  </si>
  <si>
    <t>connections tested CA3a/b</t>
  </si>
  <si>
    <t>2-8</t>
  </si>
  <si>
    <t>CA3c</t>
  </si>
  <si>
    <t>connections tested CA3c</t>
  </si>
  <si>
    <t>3-4</t>
  </si>
  <si>
    <t>3-5</t>
  </si>
  <si>
    <t>3-6</t>
  </si>
  <si>
    <t>3-7</t>
  </si>
  <si>
    <t>TOTAL CONNECTIONS</t>
  </si>
  <si>
    <t>3-8</t>
  </si>
  <si>
    <t>4-5</t>
  </si>
  <si>
    <t>4-6</t>
  </si>
  <si>
    <t>4-7</t>
  </si>
  <si>
    <t>4-8</t>
  </si>
  <si>
    <t>5-6</t>
  </si>
  <si>
    <t>5-7</t>
  </si>
  <si>
    <t>5-8</t>
  </si>
  <si>
    <t>6-7</t>
  </si>
  <si>
    <t>6-8</t>
  </si>
  <si>
    <t>7-8</t>
  </si>
  <si>
    <t>CA3 length</t>
  </si>
  <si>
    <t>CA3a # synapses found</t>
  </si>
  <si>
    <t>CA3b # synapses found</t>
  </si>
  <si>
    <t>CA3c # synapses found</t>
  </si>
  <si>
    <t>CA3a # synapses tested</t>
  </si>
  <si>
    <t>CA3b # synapses tested</t>
  </si>
  <si>
    <t>CA3c # synapses tested</t>
  </si>
  <si>
    <t>ISD non-connected</t>
  </si>
  <si>
    <t>ISD Connected</t>
  </si>
  <si>
    <t>75 μm bin</t>
  </si>
  <si>
    <t>average</t>
  </si>
  <si>
    <t>stdev</t>
  </si>
  <si>
    <t>IS distance</t>
  </si>
  <si>
    <t>Connections tested</t>
  </si>
  <si>
    <t>found</t>
  </si>
  <si>
    <t>conn prob</t>
  </si>
  <si>
    <t>conn prob_corrected_approx</t>
  </si>
  <si>
    <t>0-75</t>
  </si>
  <si>
    <t>75-150</t>
  </si>
  <si>
    <t>150-225</t>
  </si>
  <si>
    <t>225-300</t>
  </si>
  <si>
    <t>300-375</t>
  </si>
  <si>
    <t>Apparent membrane time constant (msec)</t>
  </si>
  <si>
    <t>AP amplitude (mV)</t>
  </si>
  <si>
    <t>Width of AP at half-max amplitude (msec)</t>
  </si>
  <si>
    <t>width of AP at half-max amplitude (msec)</t>
  </si>
  <si>
    <t>2507222 #7</t>
  </si>
  <si>
    <t>260722 #4</t>
  </si>
  <si>
    <t>260722 #5</t>
  </si>
  <si>
    <t>Max Rise Slope (mV/ms)</t>
  </si>
  <si>
    <t>SAG POTENTIAL</t>
  </si>
  <si>
    <t>P7−8 ALL</t>
  </si>
  <si>
    <t>REBOUND SPIKE</t>
  </si>
  <si>
    <t>P7―8</t>
  </si>
  <si>
    <t>63% of measured value</t>
  </si>
  <si>
    <t>P18―25</t>
  </si>
  <si>
    <t>P45―50</t>
  </si>
  <si>
    <t>PN #1</t>
  </si>
  <si>
    <t>PN #2</t>
  </si>
  <si>
    <t>PN #3</t>
  </si>
  <si>
    <t>PN #4</t>
  </si>
  <si>
    <t>PN #5</t>
  </si>
  <si>
    <t>PN #6</t>
  </si>
  <si>
    <t>PN #7</t>
  </si>
  <si>
    <t>PN #8</t>
  </si>
  <si>
    <t>TOTAL</t>
  </si>
  <si>
    <t>ACTIVATION VOLTAGE</t>
  </si>
  <si>
    <t>SAG</t>
  </si>
  <si>
    <t>P18−25 ALL</t>
  </si>
  <si>
    <t>P45−50 ALL</t>
  </si>
  <si>
    <t>connected</t>
  </si>
  <si>
    <t>Non-connected</t>
  </si>
  <si>
    <t xml:space="preserve">connected </t>
  </si>
  <si>
    <t>2507222 #8</t>
  </si>
  <si>
    <t>ACTIV VOLTAGE</t>
  </si>
  <si>
    <t>NO</t>
  </si>
  <si>
    <t>NOT REACHED</t>
  </si>
  <si>
    <t>BAD CELL</t>
  </si>
  <si>
    <r>
      <rPr>
        <b/>
        <i/>
        <sz val="10"/>
        <rFont val="Arial"/>
        <family val="2"/>
        <charset val="1"/>
      </rPr>
      <t>n</t>
    </r>
    <r>
      <rPr>
        <b/>
        <sz val="10"/>
        <rFont val="Arial"/>
        <family val="2"/>
        <charset val="1"/>
      </rPr>
      <t>=121</t>
    </r>
  </si>
  <si>
    <t>unhealthy cells</t>
  </si>
  <si>
    <t>270722 #3</t>
  </si>
  <si>
    <t>2707222 #7</t>
  </si>
  <si>
    <t>2607222 #5</t>
  </si>
  <si>
    <t>2607222 #7</t>
  </si>
  <si>
    <r>
      <rPr>
        <b/>
        <i/>
        <sz val="10"/>
        <rFont val="Arial"/>
        <family val="2"/>
        <charset val="1"/>
      </rPr>
      <t>n</t>
    </r>
    <r>
      <rPr>
        <b/>
        <sz val="10"/>
        <rFont val="Arial"/>
        <family val="2"/>
        <charset val="1"/>
      </rPr>
      <t>=124</t>
    </r>
  </si>
  <si>
    <t>010822 #3</t>
  </si>
  <si>
    <r>
      <rPr>
        <b/>
        <i/>
        <sz val="10"/>
        <rFont val="Arial"/>
        <family val="2"/>
        <charset val="1"/>
      </rPr>
      <t>n</t>
    </r>
    <r>
      <rPr>
        <b/>
        <sz val="10"/>
        <rFont val="Arial"/>
        <family val="2"/>
        <charset val="1"/>
      </rPr>
      <t>=95</t>
    </r>
  </si>
  <si>
    <t>PERCENTAGE OF TOTAL</t>
  </si>
  <si>
    <t>140324**</t>
  </si>
  <si>
    <t>0208222 #7</t>
  </si>
  <si>
    <t>0208222 #8</t>
  </si>
  <si>
    <t>0305222 #1</t>
  </si>
  <si>
    <t>0305222 #3</t>
  </si>
  <si>
    <t>0305222 #4</t>
  </si>
  <si>
    <t>0305222 #6</t>
  </si>
  <si>
    <t>0305222 #8</t>
  </si>
  <si>
    <t>070622 #1</t>
  </si>
  <si>
    <t>070622 #2</t>
  </si>
  <si>
    <t>070622 #3</t>
  </si>
  <si>
    <t>070622 #4</t>
  </si>
  <si>
    <t>070622 #5</t>
  </si>
  <si>
    <t>070622 #6</t>
  </si>
  <si>
    <t>070622 #7</t>
  </si>
  <si>
    <t>070622 #8</t>
  </si>
  <si>
    <t>0305222 #5</t>
  </si>
  <si>
    <t>190324 #2</t>
  </si>
  <si>
    <t>190324 #4</t>
  </si>
  <si>
    <t>0706222 #2</t>
  </si>
  <si>
    <t>0706222 #3</t>
  </si>
  <si>
    <t>0706222 #4</t>
  </si>
  <si>
    <t>0706222 #5</t>
  </si>
  <si>
    <t>0706222 #6</t>
  </si>
  <si>
    <t>0706222 #7</t>
  </si>
  <si>
    <t>0706222 #8</t>
  </si>
  <si>
    <t>110722 #1</t>
  </si>
  <si>
    <t>110722 #2</t>
  </si>
  <si>
    <t>110722 #5</t>
  </si>
  <si>
    <t>110722 #6</t>
  </si>
  <si>
    <t>110722 #7</t>
  </si>
  <si>
    <t>110722 #8</t>
  </si>
  <si>
    <t>200324 #1</t>
  </si>
  <si>
    <t>200324 #2</t>
  </si>
  <si>
    <t>200324 #3</t>
  </si>
  <si>
    <t>200324 #4</t>
  </si>
  <si>
    <t>200324 #5</t>
  </si>
  <si>
    <t>200324 #7</t>
  </si>
  <si>
    <t>200324 #8</t>
  </si>
  <si>
    <t>210324 #1</t>
  </si>
  <si>
    <t>210324 #2</t>
  </si>
  <si>
    <t>210324 #3</t>
  </si>
  <si>
    <t>210324 #4</t>
  </si>
  <si>
    <t>210324 #5</t>
  </si>
  <si>
    <t>210324 #6</t>
  </si>
  <si>
    <t>210324 #7</t>
  </si>
  <si>
    <t>210324 #8</t>
  </si>
  <si>
    <t>250324 #1</t>
  </si>
  <si>
    <t>250324 #2</t>
  </si>
  <si>
    <t>120722 #2</t>
  </si>
  <si>
    <t>250324 #4</t>
  </si>
  <si>
    <t>120722 #3</t>
  </si>
  <si>
    <t>250324 #5</t>
  </si>
  <si>
    <t>120722 #4</t>
  </si>
  <si>
    <t>250324 #6</t>
  </si>
  <si>
    <t>120722 #5</t>
  </si>
  <si>
    <t>250324 #7</t>
  </si>
  <si>
    <t>1602232 #1</t>
  </si>
  <si>
    <t>250324 #8</t>
  </si>
  <si>
    <t>120722 #6</t>
  </si>
  <si>
    <t>120722 #8</t>
  </si>
  <si>
    <t>1602232 #4</t>
  </si>
  <si>
    <t>SORT DESC</t>
  </si>
  <si>
    <t>1602232 #7</t>
  </si>
  <si>
    <t>200223 #1</t>
  </si>
  <si>
    <t>200223 #2</t>
  </si>
  <si>
    <t>200223 #3</t>
  </si>
  <si>
    <t>200223 #4</t>
  </si>
  <si>
    <t>200223 #5</t>
  </si>
  <si>
    <t>200223 #6</t>
  </si>
  <si>
    <t>200223 #7</t>
  </si>
  <si>
    <t>200223 #8</t>
  </si>
  <si>
    <t>190224 #3</t>
  </si>
  <si>
    <t>190224 #4</t>
  </si>
  <si>
    <t>190224 #5</t>
  </si>
  <si>
    <t>190224 #6</t>
  </si>
  <si>
    <t>190224 #7</t>
  </si>
  <si>
    <t>Pre-synaptic cell 3</t>
  </si>
  <si>
    <t>Pre-synaptic cell 6</t>
  </si>
  <si>
    <t>Coincident input</t>
  </si>
  <si>
    <t>EPSP decay (tau)</t>
  </si>
  <si>
    <t>EPSP decay</t>
  </si>
  <si>
    <t>EPSPs</t>
  </si>
  <si>
    <t>PPR</t>
  </si>
  <si>
    <r>
      <rPr>
        <b/>
        <sz val="10"/>
        <rFont val="Arial"/>
        <family val="2"/>
        <charset val="1"/>
      </rPr>
      <t>EPSP</t>
    </r>
    <r>
      <rPr>
        <b/>
        <vertAlign val="subscript"/>
        <sz val="10"/>
        <rFont val="Arial"/>
        <family val="2"/>
        <charset val="1"/>
      </rPr>
      <t>5</t>
    </r>
    <r>
      <rPr>
        <b/>
        <sz val="10"/>
        <rFont val="Arial"/>
        <family val="2"/>
        <charset val="1"/>
      </rPr>
      <t>/EPSP</t>
    </r>
    <r>
      <rPr>
        <b/>
        <vertAlign val="subscript"/>
        <sz val="10"/>
        <rFont val="Arial"/>
        <family val="2"/>
        <charset val="1"/>
      </rPr>
      <t>1</t>
    </r>
  </si>
  <si>
    <r>
      <rPr>
        <sz val="10"/>
        <rFont val="Arial"/>
        <family val="2"/>
        <charset val="1"/>
      </rPr>
      <t>1</t>
    </r>
    <r>
      <rPr>
        <vertAlign val="superscript"/>
        <sz val="10"/>
        <rFont val="Arial"/>
        <family val="2"/>
        <charset val="1"/>
      </rPr>
      <t>st</t>
    </r>
    <r>
      <rPr>
        <sz val="10"/>
        <rFont val="Arial"/>
        <family val="2"/>
        <charset val="1"/>
      </rPr>
      <t xml:space="preserve"> </t>
    </r>
  </si>
  <si>
    <r>
      <rPr>
        <sz val="10"/>
        <rFont val="Arial"/>
        <family val="2"/>
        <charset val="1"/>
      </rPr>
      <t>2</t>
    </r>
    <r>
      <rPr>
        <vertAlign val="superscript"/>
        <sz val="10"/>
        <rFont val="Arial"/>
        <family val="2"/>
        <charset val="1"/>
      </rPr>
      <t>nd</t>
    </r>
  </si>
  <si>
    <r>
      <rPr>
        <sz val="10"/>
        <rFont val="Arial"/>
        <family val="2"/>
        <charset val="1"/>
      </rPr>
      <t>3</t>
    </r>
    <r>
      <rPr>
        <vertAlign val="superscript"/>
        <sz val="10"/>
        <rFont val="Arial"/>
        <family val="2"/>
        <charset val="1"/>
      </rPr>
      <t>rd</t>
    </r>
  </si>
  <si>
    <r>
      <rPr>
        <sz val="10"/>
        <rFont val="Arial"/>
        <family val="2"/>
        <charset val="1"/>
      </rPr>
      <t>4</t>
    </r>
    <r>
      <rPr>
        <vertAlign val="superscript"/>
        <sz val="10"/>
        <rFont val="Arial"/>
        <family val="2"/>
        <charset val="1"/>
      </rPr>
      <t>th</t>
    </r>
  </si>
  <si>
    <r>
      <rPr>
        <sz val="10"/>
        <rFont val="Arial"/>
        <family val="2"/>
        <charset val="1"/>
      </rPr>
      <t>5</t>
    </r>
    <r>
      <rPr>
        <vertAlign val="superscript"/>
        <sz val="10"/>
        <rFont val="Arial"/>
        <family val="2"/>
        <charset val="1"/>
      </rPr>
      <t>th</t>
    </r>
  </si>
  <si>
    <r>
      <rPr>
        <sz val="10"/>
        <rFont val="Arial"/>
        <family val="2"/>
        <charset val="1"/>
      </rPr>
      <t>1</t>
    </r>
    <r>
      <rPr>
        <vertAlign val="superscript"/>
        <sz val="10"/>
        <rFont val="Arial"/>
        <family val="2"/>
        <charset val="1"/>
      </rPr>
      <t xml:space="preserve">st </t>
    </r>
    <r>
      <rPr>
        <sz val="10"/>
        <rFont val="Arial"/>
        <family val="2"/>
        <charset val="1"/>
      </rPr>
      <t>Stimulus</t>
    </r>
  </si>
  <si>
    <r>
      <rPr>
        <sz val="10"/>
        <rFont val="Arial"/>
        <family val="2"/>
        <charset val="1"/>
      </rPr>
      <t>2</t>
    </r>
    <r>
      <rPr>
        <vertAlign val="superscript"/>
        <sz val="10"/>
        <rFont val="Arial"/>
        <family val="2"/>
        <charset val="1"/>
      </rPr>
      <t xml:space="preserve">nd </t>
    </r>
    <r>
      <rPr>
        <sz val="10"/>
        <rFont val="Arial"/>
        <family val="2"/>
        <charset val="1"/>
      </rPr>
      <t>Stimulus</t>
    </r>
  </si>
  <si>
    <r>
      <rPr>
        <sz val="10"/>
        <rFont val="Arial"/>
        <family val="2"/>
        <charset val="1"/>
      </rPr>
      <t>3</t>
    </r>
    <r>
      <rPr>
        <vertAlign val="superscript"/>
        <sz val="10"/>
        <rFont val="Arial"/>
        <family val="2"/>
        <charset val="1"/>
      </rPr>
      <t xml:space="preserve">rd </t>
    </r>
    <r>
      <rPr>
        <sz val="10"/>
        <rFont val="Arial"/>
        <family val="2"/>
        <charset val="1"/>
      </rPr>
      <t>Stimulus</t>
    </r>
  </si>
  <si>
    <r>
      <rPr>
        <sz val="10"/>
        <rFont val="Arial"/>
        <family val="2"/>
        <charset val="1"/>
      </rPr>
      <t>4</t>
    </r>
    <r>
      <rPr>
        <vertAlign val="superscript"/>
        <sz val="10"/>
        <rFont val="Arial"/>
        <family val="2"/>
        <charset val="1"/>
      </rPr>
      <t xml:space="preserve">th </t>
    </r>
    <r>
      <rPr>
        <sz val="10"/>
        <rFont val="Arial"/>
        <family val="2"/>
        <charset val="1"/>
      </rPr>
      <t>Stimulus</t>
    </r>
  </si>
  <si>
    <r>
      <rPr>
        <sz val="10"/>
        <rFont val="Arial"/>
        <family val="2"/>
        <charset val="1"/>
      </rPr>
      <t>5</t>
    </r>
    <r>
      <rPr>
        <vertAlign val="superscript"/>
        <sz val="10"/>
        <rFont val="Arial"/>
        <family val="2"/>
        <charset val="1"/>
      </rPr>
      <t xml:space="preserve">th </t>
    </r>
    <r>
      <rPr>
        <sz val="10"/>
        <rFont val="Arial"/>
        <family val="2"/>
        <charset val="1"/>
      </rPr>
      <t>Stimulus</t>
    </r>
  </si>
  <si>
    <t>Arithmetic sum</t>
  </si>
  <si>
    <t>Exper. Value as a percentage of arithmetic sum</t>
  </si>
  <si>
    <t>Pre-synaptic cell 4</t>
  </si>
  <si>
    <t>Pre-synaptic cell 8</t>
  </si>
  <si>
    <t>1603242 (6 to 8)</t>
  </si>
  <si>
    <t>1603242 (8 to 6)</t>
  </si>
  <si>
    <t>Pre-synaptic cell 1</t>
  </si>
  <si>
    <t>Coincident input2</t>
  </si>
  <si>
    <t>Pre-synaptic cell 2</t>
  </si>
  <si>
    <t>Pre-synaptic cell 7</t>
  </si>
  <si>
    <t>Supplementary Figure 10a</t>
  </si>
  <si>
    <t>Supplementary Figure 10b</t>
  </si>
  <si>
    <t>Memory capacity</t>
  </si>
  <si>
    <t>Connectivity</t>
  </si>
  <si>
    <t>Synapses per cell</t>
  </si>
  <si>
    <t>Supplementary Figure 10e</t>
  </si>
  <si>
    <t>Mean pattern similarity (psi-mean)</t>
  </si>
  <si>
    <t>N/A</t>
  </si>
  <si>
    <t xml:space="preserve"> Active and passive membrane properties of CA3 PNs over postnatal development. 
</t>
  </si>
  <si>
    <t>Relative  AP threshold (mV)</t>
  </si>
  <si>
    <t>dV/dtmax (mV ms−1)</t>
  </si>
  <si>
    <t xml:space="preserve">Voltage-clamp analysis of CA3–CA3 synapses over postnatal development. 
</t>
  </si>
  <si>
    <r>
      <rPr>
        <b/>
        <sz val="10"/>
        <rFont val="Arial"/>
        <family val="2"/>
        <charset val="1"/>
      </rPr>
      <t>1</t>
    </r>
    <r>
      <rPr>
        <b/>
        <vertAlign val="superscript"/>
        <sz val="10"/>
        <rFont val="Arial"/>
        <family val="2"/>
        <charset val="1"/>
      </rPr>
      <t>st</t>
    </r>
    <r>
      <rPr>
        <b/>
        <sz val="10"/>
        <rFont val="Arial"/>
        <family val="2"/>
        <charset val="1"/>
      </rPr>
      <t xml:space="preserve"> EPSC amplitude (pA)</t>
    </r>
  </si>
  <si>
    <r>
      <rPr>
        <b/>
        <sz val="10"/>
        <rFont val="Arial"/>
        <family val="2"/>
        <charset val="1"/>
      </rPr>
      <t>1</t>
    </r>
    <r>
      <rPr>
        <b/>
        <vertAlign val="superscript"/>
        <sz val="10"/>
        <rFont val="Arial"/>
        <family val="2"/>
        <charset val="1"/>
      </rPr>
      <t>st</t>
    </r>
    <r>
      <rPr>
        <b/>
        <sz val="10"/>
        <rFont val="Arial"/>
        <family val="2"/>
        <charset val="1"/>
      </rPr>
      <t xml:space="preserve"> EPSC potency (pA)</t>
    </r>
  </si>
  <si>
    <t>1st EPSC 20–80% rise time (ms)</t>
  </si>
  <si>
    <t>1st EPSC latency (ms)</t>
  </si>
  <si>
    <t>1st EPSC decay time constant (ms)</t>
  </si>
  <si>
    <t>Proportion of failures</t>
  </si>
  <si>
    <t>EPSC5 / EPSC1</t>
  </si>
  <si>
    <t>Series resistance (MΩ)</t>
  </si>
  <si>
    <t>EPSC amplitude</t>
  </si>
  <si>
    <t>Rs (MΩ)</t>
  </si>
  <si>
    <r>
      <rPr>
        <b/>
        <sz val="10"/>
        <rFont val="Arial"/>
        <family val="2"/>
        <charset val="1"/>
      </rPr>
      <t>1</t>
    </r>
    <r>
      <rPr>
        <b/>
        <vertAlign val="superscript"/>
        <sz val="10"/>
        <rFont val="Arial"/>
        <family val="2"/>
        <charset val="1"/>
      </rPr>
      <t>st</t>
    </r>
    <r>
      <rPr>
        <b/>
        <sz val="10"/>
        <rFont val="Arial"/>
        <family val="2"/>
        <charset val="1"/>
      </rPr>
      <t xml:space="preserve"> EPSP amplitude (mV)</t>
    </r>
  </si>
  <si>
    <r>
      <rPr>
        <b/>
        <sz val="10"/>
        <rFont val="Arial"/>
        <family val="2"/>
        <charset val="1"/>
      </rPr>
      <t>1</t>
    </r>
    <r>
      <rPr>
        <b/>
        <vertAlign val="superscript"/>
        <sz val="10"/>
        <rFont val="Arial"/>
        <family val="2"/>
        <charset val="1"/>
      </rPr>
      <t>st</t>
    </r>
    <r>
      <rPr>
        <b/>
        <sz val="10"/>
        <rFont val="Arial"/>
        <family val="2"/>
        <charset val="1"/>
      </rPr>
      <t xml:space="preserve"> EPSP potency (mV)</t>
    </r>
  </si>
  <si>
    <t>1st EPSP decay time constant (ms)</t>
  </si>
  <si>
    <t>EPSP5 / EPSP1</t>
  </si>
  <si>
    <t>Relative AP threshold / EPSP</t>
  </si>
  <si>
    <t xml:space="preserve">Morphological measurements of CA3 PNs throughout development.
</t>
  </si>
  <si>
    <t>Cumulative axonal length (mm)</t>
  </si>
  <si>
    <t>Number of axonal branch points</t>
  </si>
  <si>
    <t xml:space="preserve">Apical dendritic length (μm) </t>
  </si>
  <si>
    <t xml:space="preserve">Basal dendritic length (μm) </t>
  </si>
  <si>
    <t>Spine density SR (μm-1)</t>
  </si>
  <si>
    <t>Spine density SO (μm-1)</t>
  </si>
  <si>
    <t>Dendrite diameter (μm)</t>
  </si>
  <si>
    <t xml:space="preserve">Axonal target space SR (cm3) </t>
  </si>
  <si>
    <t>AVG Length of CA3</t>
  </si>
  <si>
    <t>AVG Length of SR</t>
  </si>
  <si>
    <t>Slice thickness</t>
  </si>
  <si>
    <r>
      <rPr>
        <sz val="10"/>
        <rFont val="Arial"/>
        <family val="2"/>
        <charset val="1"/>
      </rPr>
      <t>Volume μm</t>
    </r>
    <r>
      <rPr>
        <vertAlign val="superscript"/>
        <sz val="10"/>
        <rFont val="Arial"/>
        <family val="2"/>
        <charset val="1"/>
      </rPr>
      <t>3</t>
    </r>
  </si>
  <si>
    <t>cm³</t>
  </si>
  <si>
    <t xml:space="preserve">Axonal target space SO (cm3) </t>
  </si>
  <si>
    <t>AVG Length of SO</t>
  </si>
  <si>
    <t>Current-clamp analysis of CA3–CA3 synapses over postnatal
development.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</si>
</sst>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"/>
    <numFmt numFmtId="166" formatCode="#,##0.0"/>
  </numFmts>
  <fonts count="15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Times New Roman"/>
      <family val="1"/>
      <charset val="1"/>
    </font>
    <font>
      <sz val="10"/>
      <color rgb="FFFF3333"/>
      <name val="Arial"/>
      <family val="2"/>
      <charset val="1"/>
    </font>
    <font>
      <vertAlign val="subscript"/>
      <sz val="1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name val="Arial"/>
      <family val="2"/>
      <charset val="1"/>
    </font>
    <font>
      <sz val="10"/>
      <color rgb="FFFFCC00"/>
      <name val="Arial"/>
      <family val="2"/>
      <charset val="1"/>
    </font>
    <font>
      <sz val="10"/>
      <color rgb="FF6666FF"/>
      <name val="Arial"/>
      <family val="2"/>
      <charset val="1"/>
    </font>
    <font>
      <b/>
      <i/>
      <sz val="10"/>
      <name val="Arial"/>
      <family val="2"/>
      <charset val="1"/>
    </font>
    <font>
      <sz val="10"/>
      <color rgb="FF800000"/>
      <name val="Arial"/>
      <family val="2"/>
      <charset val="1"/>
    </font>
    <font>
      <b/>
      <vertAlign val="subscript"/>
      <sz val="10"/>
      <name val="Arial"/>
      <family val="2"/>
      <charset val="1"/>
    </font>
    <font>
      <vertAlign val="superscript"/>
      <sz val="10"/>
      <name val="Arial"/>
      <family val="2"/>
      <charset val="1"/>
    </font>
    <font>
      <b/>
      <vertAlign val="superscript"/>
      <sz val="10"/>
      <name val="Arial"/>
      <family val="2"/>
      <charset val="1"/>
    </font>
    <font>
      <b/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990000"/>
        <bgColor rgb="FF800000"/>
      </patternFill>
    </fill>
    <fill>
      <patternFill patternType="solid">
        <fgColor rgb="FFFF3333"/>
        <bgColor rgb="FFFF0000"/>
      </patternFill>
    </fill>
    <fill>
      <patternFill patternType="solid">
        <fgColor rgb="FF009933"/>
        <bgColor rgb="FF009231"/>
      </patternFill>
    </fill>
    <fill>
      <patternFill patternType="solid">
        <fgColor rgb="FF0000FF"/>
        <bgColor rgb="FF0000CC"/>
      </patternFill>
    </fill>
    <fill>
      <patternFill patternType="solid">
        <fgColor rgb="FFFF33FF"/>
        <bgColor rgb="FFFF00FF"/>
      </patternFill>
    </fill>
    <fill>
      <patternFill patternType="solid">
        <fgColor rgb="FF3333FF"/>
        <bgColor rgb="FF0000FF"/>
      </patternFill>
    </fill>
    <fill>
      <patternFill patternType="solid">
        <fgColor rgb="FF000000"/>
        <bgColor rgb="FF193300"/>
      </patternFill>
    </fill>
    <fill>
      <patternFill patternType="solid">
        <fgColor rgb="FF009231"/>
        <bgColor rgb="FF009933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9999"/>
        <bgColor rgb="FFFF8080"/>
      </patternFill>
    </fill>
    <fill>
      <patternFill patternType="solid">
        <fgColor rgb="FF3399FF"/>
        <bgColor rgb="FF00CCFF"/>
      </patternFill>
    </fill>
    <fill>
      <patternFill patternType="solid">
        <fgColor rgb="FFFF0000"/>
        <bgColor rgb="FFCC0000"/>
      </patternFill>
    </fill>
    <fill>
      <patternFill patternType="solid">
        <fgColor rgb="FF66FF00"/>
        <bgColor rgb="FF66CC00"/>
      </patternFill>
    </fill>
    <fill>
      <patternFill patternType="solid">
        <fgColor rgb="FF6666FF"/>
        <bgColor rgb="FF666699"/>
      </patternFill>
    </fill>
    <fill>
      <patternFill patternType="solid">
        <fgColor rgb="FF66CC00"/>
        <bgColor rgb="FF66FF00"/>
      </patternFill>
    </fill>
    <fill>
      <patternFill patternType="solid">
        <fgColor rgb="FF9999FF"/>
        <bgColor rgb="FFCC99FF"/>
      </patternFill>
    </fill>
    <fill>
      <patternFill patternType="solid">
        <fgColor rgb="FF669900"/>
        <bgColor rgb="FF669933"/>
      </patternFill>
    </fill>
    <fill>
      <patternFill patternType="solid">
        <fgColor rgb="FF193300"/>
        <bgColor rgb="FF333333"/>
      </patternFill>
    </fill>
    <fill>
      <patternFill patternType="solid">
        <fgColor rgb="FF336600"/>
        <bgColor rgb="FF193300"/>
      </patternFill>
    </fill>
    <fill>
      <patternFill patternType="solid">
        <fgColor rgb="FF0000CC"/>
        <bgColor rgb="FF0000FF"/>
      </patternFill>
    </fill>
    <fill>
      <patternFill patternType="solid">
        <fgColor rgb="FF669933"/>
        <bgColor rgb="FF669900"/>
      </patternFill>
    </fill>
    <fill>
      <patternFill patternType="solid">
        <fgColor rgb="FF99CC66"/>
        <bgColor rgb="FF66CC00"/>
      </patternFill>
    </fill>
    <fill>
      <patternFill patternType="solid">
        <fgColor rgb="FFFF950E"/>
        <bgColor rgb="FFFF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0" fillId="3" borderId="0" xfId="0" applyFill="1"/>
    <xf numFmtId="0" fontId="1" fillId="5" borderId="0" xfId="0" applyFont="1" applyFill="1" applyBorder="1" applyAlignment="1">
      <alignment horizontal="center"/>
    </xf>
    <xf numFmtId="0" fontId="0" fillId="2" borderId="0" xfId="0" applyFont="1" applyFill="1"/>
    <xf numFmtId="0" fontId="0" fillId="4" borderId="0" xfId="0" applyFont="1" applyFill="1"/>
    <xf numFmtId="0" fontId="0" fillId="5" borderId="0" xfId="0" applyFont="1" applyFill="1"/>
    <xf numFmtId="0" fontId="0" fillId="0" borderId="0" xfId="0" applyFont="1" applyBorder="1" applyAlignment="1">
      <alignment horizontal="center"/>
    </xf>
    <xf numFmtId="0" fontId="0" fillId="0" borderId="0" xfId="0" applyFont="1"/>
    <xf numFmtId="0" fontId="0" fillId="0" borderId="0" xfId="0" applyAlignment="1">
      <alignment horizontal="right"/>
    </xf>
    <xf numFmtId="0" fontId="0" fillId="3" borderId="0" xfId="0" applyFont="1" applyFill="1"/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2" borderId="0" xfId="0" applyFont="1" applyFill="1"/>
    <xf numFmtId="0" fontId="1" fillId="4" borderId="0" xfId="0" applyFont="1" applyFill="1"/>
    <xf numFmtId="0" fontId="1" fillId="5" borderId="0" xfId="0" applyFont="1" applyFill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1" fillId="3" borderId="0" xfId="0" applyFont="1" applyFill="1"/>
    <xf numFmtId="164" fontId="0" fillId="0" borderId="0" xfId="0" applyNumberFormat="1"/>
    <xf numFmtId="0" fontId="3" fillId="0" borderId="0" xfId="0" applyFont="1"/>
    <xf numFmtId="0" fontId="1" fillId="9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10" borderId="0" xfId="0" applyFont="1" applyFill="1" applyAlignment="1">
      <alignment horizontal="center"/>
    </xf>
    <xf numFmtId="0" fontId="0" fillId="14" borderId="0" xfId="0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wrapText="1"/>
    </xf>
    <xf numFmtId="0" fontId="14" fillId="0" borderId="0" xfId="0" applyFont="1"/>
    <xf numFmtId="0" fontId="1" fillId="2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/>
    <xf numFmtId="0" fontId="1" fillId="4" borderId="0" xfId="0" applyFont="1" applyFill="1" applyBorder="1"/>
    <xf numFmtId="0" fontId="1" fillId="5" borderId="0" xfId="0" applyFont="1" applyFill="1" applyBorder="1"/>
    <xf numFmtId="0" fontId="1" fillId="6" borderId="0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5" borderId="0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11" borderId="0" xfId="0" applyFont="1" applyFill="1" applyBorder="1" applyAlignment="1">
      <alignment horizontal="center"/>
    </xf>
    <xf numFmtId="0" fontId="0" fillId="12" borderId="0" xfId="0" applyFont="1" applyFill="1" applyBorder="1" applyAlignment="1">
      <alignment horizontal="center"/>
    </xf>
    <xf numFmtId="0" fontId="1" fillId="13" borderId="0" xfId="0" applyFont="1" applyFill="1" applyBorder="1" applyAlignment="1">
      <alignment horizontal="center"/>
    </xf>
    <xf numFmtId="0" fontId="1" fillId="15" borderId="0" xfId="0" applyFont="1" applyFill="1" applyBorder="1" applyAlignment="1">
      <alignment horizontal="center"/>
    </xf>
    <xf numFmtId="0" fontId="1" fillId="16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" fillId="17" borderId="0" xfId="0" applyFont="1" applyFill="1" applyBorder="1" applyAlignment="1">
      <alignment horizontal="center"/>
    </xf>
    <xf numFmtId="0" fontId="1" fillId="18" borderId="0" xfId="0" applyFont="1" applyFill="1" applyBorder="1" applyAlignment="1">
      <alignment horizontal="center"/>
    </xf>
    <xf numFmtId="0" fontId="1" fillId="19" borderId="0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0" fontId="1" fillId="20" borderId="0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1" fillId="21" borderId="0" xfId="0" applyFont="1" applyFill="1" applyBorder="1" applyAlignment="1">
      <alignment horizontal="center"/>
    </xf>
    <xf numFmtId="0" fontId="1" fillId="22" borderId="0" xfId="0" applyFont="1" applyFill="1" applyBorder="1" applyAlignment="1">
      <alignment horizontal="center"/>
    </xf>
    <xf numFmtId="0" fontId="1" fillId="23" borderId="0" xfId="0" applyFont="1" applyFill="1" applyBorder="1" applyAlignment="1">
      <alignment horizontal="center"/>
    </xf>
    <xf numFmtId="0" fontId="1" fillId="24" borderId="0" xfId="0" applyFont="1" applyFill="1" applyBorder="1" applyAlignment="1">
      <alignment horizontal="center"/>
    </xf>
    <xf numFmtId="0" fontId="1" fillId="25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66FF00"/>
      <rgbColor rgb="FF0000FF"/>
      <rgbColor rgb="FFFFFF00"/>
      <rgbColor rgb="FFFF33FF"/>
      <rgbColor rgb="FF00FFFF"/>
      <rgbColor rgb="FF800000"/>
      <rgbColor rgb="FF009231"/>
      <rgbColor rgb="FF000080"/>
      <rgbColor rgb="FF669900"/>
      <rgbColor rgb="FF800080"/>
      <rgbColor rgb="FF009933"/>
      <rgbColor rgb="FF99CC66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990000"/>
      <rgbColor rgb="FF008080"/>
      <rgbColor rgb="FF0000CC"/>
      <rgbColor rgb="FF00CCFF"/>
      <rgbColor rgb="FFCCFFFF"/>
      <rgbColor rgb="FFCCFFCC"/>
      <rgbColor rgb="FFFFFF99"/>
      <rgbColor rgb="FF99CCFF"/>
      <rgbColor rgb="FFFF9999"/>
      <rgbColor rgb="FFCC99FF"/>
      <rgbColor rgb="FFFFCC99"/>
      <rgbColor rgb="FF6666FF"/>
      <rgbColor rgb="FF3399FF"/>
      <rgbColor rgb="FF66CC00"/>
      <rgbColor rgb="FFFFCC00"/>
      <rgbColor rgb="FFFF950E"/>
      <rgbColor rgb="FFFF3333"/>
      <rgbColor rgb="FF666699"/>
      <rgbColor rgb="FF969696"/>
      <rgbColor rgb="FF003366"/>
      <rgbColor rgb="FF669933"/>
      <rgbColor rgb="FF193300"/>
      <rgbColor rgb="FF336600"/>
      <rgbColor rgb="FFCC0000"/>
      <rgbColor rgb="FF993366"/>
      <rgbColor rgb="FF3333FF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="120" zoomScaleNormal="120" workbookViewId="0">
      <selection activeCell="E39" sqref="E39"/>
    </sheetView>
  </sheetViews>
  <sheetFormatPr defaultRowHeight="12.75" x14ac:dyDescent="0.35"/>
  <cols>
    <col min="2" max="2" width="16.46484375"/>
    <col min="3" max="3" width="14.46484375"/>
    <col min="4" max="4" width="15.53125"/>
    <col min="6" max="6" width="13.33203125"/>
  </cols>
  <sheetData>
    <row r="1" spans="1:7" ht="13.15" x14ac:dyDescent="0.4">
      <c r="A1" s="1" t="s">
        <v>0</v>
      </c>
    </row>
    <row r="3" spans="1:7" ht="13.15" x14ac:dyDescent="0.4">
      <c r="A3" s="39" t="s">
        <v>1</v>
      </c>
      <c r="B3" s="39"/>
      <c r="C3" s="39"/>
      <c r="D3" s="39"/>
      <c r="E3" s="39"/>
      <c r="F3" s="39"/>
      <c r="G3" s="39"/>
    </row>
    <row r="4" spans="1:7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</row>
    <row r="5" spans="1:7" x14ac:dyDescent="0.35">
      <c r="A5" s="2">
        <v>140923</v>
      </c>
      <c r="B5" s="2">
        <v>8</v>
      </c>
      <c r="C5" s="2">
        <v>0</v>
      </c>
      <c r="D5" s="2">
        <v>56</v>
      </c>
      <c r="E5" s="2">
        <v>0</v>
      </c>
      <c r="F5" s="2">
        <v>56</v>
      </c>
      <c r="G5" s="2">
        <v>2</v>
      </c>
    </row>
    <row r="10" spans="1:7" ht="13.15" x14ac:dyDescent="0.4">
      <c r="A10" s="40" t="s">
        <v>9</v>
      </c>
      <c r="B10" s="40"/>
      <c r="C10" s="40"/>
      <c r="D10" s="40"/>
      <c r="E10" s="40"/>
      <c r="F10" s="40"/>
      <c r="G10" s="40"/>
    </row>
    <row r="11" spans="1:7" x14ac:dyDescent="0.35">
      <c r="A11" t="s">
        <v>2</v>
      </c>
      <c r="B11" t="s">
        <v>3</v>
      </c>
      <c r="C11" t="s">
        <v>4</v>
      </c>
      <c r="D11" t="s">
        <v>5</v>
      </c>
      <c r="E11" t="s">
        <v>6</v>
      </c>
      <c r="F11" t="s">
        <v>7</v>
      </c>
      <c r="G11" t="s">
        <v>8</v>
      </c>
    </row>
    <row r="12" spans="1:7" x14ac:dyDescent="0.35">
      <c r="A12" s="2">
        <v>280224</v>
      </c>
      <c r="B12" s="2">
        <v>8</v>
      </c>
      <c r="C12" s="2">
        <v>0</v>
      </c>
      <c r="D12" s="2">
        <v>56</v>
      </c>
      <c r="E12" s="2">
        <v>0</v>
      </c>
      <c r="F12" s="2">
        <v>56</v>
      </c>
      <c r="G12" s="2">
        <v>2</v>
      </c>
    </row>
    <row r="18" spans="1:7" ht="13.15" x14ac:dyDescent="0.4">
      <c r="A18" s="41" t="s">
        <v>10</v>
      </c>
      <c r="B18" s="41"/>
      <c r="C18" s="41"/>
      <c r="D18" s="41"/>
      <c r="E18" s="41"/>
      <c r="F18" s="41"/>
      <c r="G18" s="41"/>
    </row>
    <row r="19" spans="1:7" x14ac:dyDescent="0.35">
      <c r="A19" t="s">
        <v>2</v>
      </c>
      <c r="B19" t="s">
        <v>3</v>
      </c>
      <c r="C19" t="s">
        <v>4</v>
      </c>
      <c r="D19" t="s">
        <v>5</v>
      </c>
      <c r="E19" t="s">
        <v>6</v>
      </c>
      <c r="F19" t="s">
        <v>7</v>
      </c>
      <c r="G19" t="s">
        <v>8</v>
      </c>
    </row>
    <row r="20" spans="1:7" x14ac:dyDescent="0.35">
      <c r="A20" s="2">
        <v>150324</v>
      </c>
      <c r="B20" s="2">
        <v>8</v>
      </c>
      <c r="C20" s="2">
        <v>0</v>
      </c>
      <c r="D20" s="2">
        <v>56</v>
      </c>
      <c r="E20" s="2">
        <v>0</v>
      </c>
      <c r="F20" s="2">
        <v>56</v>
      </c>
      <c r="G20" s="2">
        <v>1</v>
      </c>
    </row>
  </sheetData>
  <mergeCells count="3">
    <mergeCell ref="A3:G3"/>
    <mergeCell ref="A10:G10"/>
    <mergeCell ref="A18:G18"/>
  </mergeCells>
  <pageMargins left="0.78749999999999998" right="0.78749999999999998" top="1.0249999999999999" bottom="1.0249999999999999" header="0.78749999999999998" footer="0.78749999999999998"/>
  <pageSetup orientation="landscape" useFirstPageNumber="1" horizontalDpi="1200" verticalDpi="1200" r:id="rId1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zoomScale="120" zoomScaleNormal="120" workbookViewId="0"/>
  </sheetViews>
  <sheetFormatPr defaultRowHeight="12.75" x14ac:dyDescent="0.35"/>
  <sheetData>
    <row r="1" spans="1:12" ht="13.15" x14ac:dyDescent="0.4">
      <c r="A1" s="1" t="s">
        <v>874</v>
      </c>
    </row>
    <row r="3" spans="1:12" ht="13.15" x14ac:dyDescent="0.4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19</v>
      </c>
      <c r="I3" t="s">
        <v>875</v>
      </c>
      <c r="J3" t="s">
        <v>20</v>
      </c>
      <c r="K3" t="s">
        <v>876</v>
      </c>
      <c r="L3" s="1" t="s">
        <v>21</v>
      </c>
    </row>
    <row r="4" spans="1:12" x14ac:dyDescent="0.35">
      <c r="A4" s="2">
        <v>80923</v>
      </c>
      <c r="B4" s="2">
        <v>8</v>
      </c>
      <c r="C4" s="2">
        <v>0</v>
      </c>
      <c r="D4" s="2">
        <v>56</v>
      </c>
      <c r="E4" s="2">
        <v>0</v>
      </c>
      <c r="F4" s="2">
        <v>56</v>
      </c>
      <c r="G4" s="2">
        <v>2</v>
      </c>
      <c r="H4" s="2">
        <v>7</v>
      </c>
      <c r="I4" s="2">
        <v>8</v>
      </c>
      <c r="J4" s="2">
        <v>6</v>
      </c>
      <c r="K4" s="2" t="s">
        <v>877</v>
      </c>
      <c r="L4" s="2">
        <v>42</v>
      </c>
    </row>
  </sheetData>
  <pageMargins left="0.78749999999999998" right="0.78749999999999998" top="1.0249999999999999" bottom="1.0249999999999999" header="0.78749999999999998" footer="0.78749999999999998"/>
  <pageSetup firstPageNumber="0" orientation="portrait" horizontalDpi="1200" verticalDpi="1200" r:id="rId1"/>
  <headerFooter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B171"/>
  <sheetViews>
    <sheetView zoomScale="120" zoomScaleNormal="120" workbookViewId="0">
      <selection activeCell="JP1" sqref="JP1"/>
    </sheetView>
  </sheetViews>
  <sheetFormatPr defaultRowHeight="12.75" x14ac:dyDescent="0.35"/>
  <sheetData>
    <row r="1" spans="1:257" ht="13.15" x14ac:dyDescent="0.4">
      <c r="A1" s="39" t="s">
        <v>1</v>
      </c>
      <c r="B1" s="39"/>
      <c r="C1" s="39"/>
      <c r="D1" s="39"/>
      <c r="E1" s="39"/>
      <c r="F1" s="39"/>
      <c r="G1" s="39"/>
      <c r="H1" s="39"/>
      <c r="J1" s="39" t="s">
        <v>1</v>
      </c>
      <c r="K1" s="39"/>
      <c r="L1" s="39"/>
      <c r="M1" s="39"/>
      <c r="N1" s="39"/>
      <c r="P1" s="39" t="s">
        <v>1</v>
      </c>
      <c r="Q1" s="39"/>
      <c r="R1" s="39"/>
      <c r="T1" s="39" t="s">
        <v>1</v>
      </c>
      <c r="U1" s="39"/>
      <c r="V1" s="39"/>
      <c r="X1" s="39" t="s">
        <v>1</v>
      </c>
      <c r="Y1" s="39"/>
      <c r="Z1" s="39"/>
      <c r="AA1" s="39"/>
      <c r="AB1" s="39"/>
      <c r="CW1" s="40" t="s">
        <v>9</v>
      </c>
      <c r="CX1" s="40"/>
      <c r="CY1" s="40"/>
      <c r="CZ1" s="40"/>
      <c r="DA1" s="40"/>
      <c r="DB1" s="40"/>
      <c r="DC1" s="40"/>
      <c r="DD1" s="40"/>
      <c r="DF1" s="40" t="s">
        <v>9</v>
      </c>
      <c r="DG1" s="40"/>
      <c r="DH1" s="40"/>
      <c r="DI1" s="40"/>
      <c r="DJ1" s="40"/>
      <c r="DK1" s="40"/>
      <c r="DL1" s="40"/>
      <c r="DM1" s="40"/>
      <c r="DO1" s="40" t="s">
        <v>9</v>
      </c>
      <c r="DP1" s="40"/>
      <c r="DQ1" s="40"/>
      <c r="DR1" s="40"/>
      <c r="DS1" s="40"/>
      <c r="DV1" s="40" t="s">
        <v>9</v>
      </c>
      <c r="DW1" s="40"/>
      <c r="DX1" s="40"/>
      <c r="DY1" s="40"/>
      <c r="DZ1" s="40"/>
      <c r="EA1" s="40"/>
      <c r="EB1" s="40"/>
      <c r="EE1" s="40" t="s">
        <v>9</v>
      </c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GK1" s="41" t="s">
        <v>18</v>
      </c>
      <c r="GL1" s="41"/>
      <c r="GM1" s="41"/>
      <c r="GN1" s="41"/>
      <c r="GO1" s="41"/>
      <c r="GP1" s="41"/>
      <c r="GQ1" s="41"/>
      <c r="GR1" s="41"/>
      <c r="GT1" s="41" t="s">
        <v>18</v>
      </c>
      <c r="GU1" s="41"/>
      <c r="GV1" s="41"/>
      <c r="GW1" s="41"/>
      <c r="GX1" s="41"/>
      <c r="GY1" s="41"/>
      <c r="GZ1" s="41"/>
      <c r="HA1" s="41"/>
      <c r="HC1" s="41" t="s">
        <v>18</v>
      </c>
      <c r="HD1" s="41"/>
      <c r="HE1" s="41"/>
      <c r="HF1" s="41"/>
      <c r="HG1" s="41"/>
      <c r="HH1" s="41"/>
      <c r="HI1" s="41"/>
      <c r="HJ1" s="41"/>
      <c r="HL1" s="41" t="s">
        <v>18</v>
      </c>
      <c r="HM1" s="41"/>
      <c r="HN1" s="41"/>
      <c r="HO1" s="41"/>
      <c r="HP1" s="41"/>
      <c r="HQ1" s="41"/>
      <c r="HS1" s="41" t="s">
        <v>18</v>
      </c>
      <c r="HT1" s="41"/>
      <c r="HU1" s="41"/>
      <c r="HV1" s="41"/>
      <c r="HW1" s="41"/>
      <c r="HX1" s="41"/>
      <c r="HY1" s="41"/>
      <c r="HZ1" s="41"/>
    </row>
    <row r="2" spans="1:257" ht="15" x14ac:dyDescent="0.5">
      <c r="A2" s="1" t="s">
        <v>2</v>
      </c>
      <c r="B2" s="1" t="s">
        <v>5</v>
      </c>
      <c r="C2" s="1" t="s">
        <v>7</v>
      </c>
      <c r="D2" s="1" t="s">
        <v>8</v>
      </c>
      <c r="E2" s="1" t="s">
        <v>20</v>
      </c>
      <c r="F2" s="1" t="s">
        <v>21</v>
      </c>
      <c r="G2" s="1" t="s">
        <v>8</v>
      </c>
      <c r="H2" s="1" t="s">
        <v>19</v>
      </c>
      <c r="J2" t="s">
        <v>19</v>
      </c>
      <c r="K2" t="s">
        <v>339</v>
      </c>
      <c r="M2" t="s">
        <v>19</v>
      </c>
      <c r="N2" t="s">
        <v>869</v>
      </c>
      <c r="P2" t="s">
        <v>15</v>
      </c>
      <c r="Q2" t="s">
        <v>878</v>
      </c>
      <c r="R2" t="s">
        <v>19</v>
      </c>
      <c r="T2" t="s">
        <v>15</v>
      </c>
      <c r="U2" s="17" t="s">
        <v>879</v>
      </c>
      <c r="V2" t="s">
        <v>19</v>
      </c>
      <c r="X2" s="1" t="s">
        <v>880</v>
      </c>
      <c r="Y2" s="1" t="s">
        <v>19</v>
      </c>
      <c r="AA2" s="1" t="s">
        <v>700</v>
      </c>
      <c r="AB2" s="1" t="s">
        <v>19</v>
      </c>
      <c r="CW2" s="1" t="s">
        <v>2</v>
      </c>
      <c r="CX2" s="1" t="s">
        <v>5</v>
      </c>
      <c r="CY2" s="1" t="s">
        <v>7</v>
      </c>
      <c r="CZ2" s="1" t="s">
        <v>8</v>
      </c>
      <c r="DA2" s="1" t="s">
        <v>20</v>
      </c>
      <c r="DB2" s="1" t="s">
        <v>21</v>
      </c>
      <c r="DC2" s="1" t="s">
        <v>8</v>
      </c>
      <c r="DD2" s="1" t="s">
        <v>19</v>
      </c>
      <c r="DF2" t="s">
        <v>19</v>
      </c>
      <c r="DG2" t="s">
        <v>869</v>
      </c>
      <c r="DI2" t="s">
        <v>19</v>
      </c>
      <c r="DJ2" t="s">
        <v>878</v>
      </c>
      <c r="DL2" t="s">
        <v>19</v>
      </c>
      <c r="DM2" t="s">
        <v>339</v>
      </c>
      <c r="DO2" t="s">
        <v>15</v>
      </c>
      <c r="DP2" s="1" t="s">
        <v>19</v>
      </c>
      <c r="DQ2" s="1" t="s">
        <v>878</v>
      </c>
      <c r="DR2" s="1" t="s">
        <v>19</v>
      </c>
      <c r="DS2" s="1" t="s">
        <v>878</v>
      </c>
      <c r="DV2" t="s">
        <v>15</v>
      </c>
      <c r="DW2" s="17" t="s">
        <v>881</v>
      </c>
      <c r="DX2" s="1" t="s">
        <v>19</v>
      </c>
      <c r="DZ2" t="s">
        <v>15</v>
      </c>
      <c r="EA2" s="1" t="s">
        <v>19</v>
      </c>
      <c r="EB2" s="17" t="s">
        <v>881</v>
      </c>
      <c r="EE2" t="s">
        <v>15</v>
      </c>
      <c r="EF2" s="17" t="s">
        <v>882</v>
      </c>
      <c r="EI2" t="s">
        <v>15</v>
      </c>
      <c r="EJ2" s="17" t="s">
        <v>882</v>
      </c>
      <c r="EK2" t="s">
        <v>19</v>
      </c>
      <c r="EN2" t="s">
        <v>883</v>
      </c>
      <c r="EQ2" t="s">
        <v>700</v>
      </c>
      <c r="ET2" s="53">
        <v>18</v>
      </c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  <c r="FF2" s="53"/>
      <c r="GK2" s="1" t="s">
        <v>2</v>
      </c>
      <c r="GL2" s="1" t="s">
        <v>5</v>
      </c>
      <c r="GM2" s="1" t="s">
        <v>7</v>
      </c>
      <c r="GN2" s="1" t="s">
        <v>8</v>
      </c>
      <c r="GO2" s="1" t="s">
        <v>20</v>
      </c>
      <c r="GP2" s="1" t="s">
        <v>21</v>
      </c>
      <c r="GQ2" s="1" t="s">
        <v>8</v>
      </c>
      <c r="GR2" s="1" t="s">
        <v>19</v>
      </c>
      <c r="GT2" t="s">
        <v>15</v>
      </c>
      <c r="GU2" t="s">
        <v>339</v>
      </c>
      <c r="GV2" t="s">
        <v>869</v>
      </c>
      <c r="GW2" t="s">
        <v>19</v>
      </c>
      <c r="GX2" t="s">
        <v>19</v>
      </c>
      <c r="GY2" t="s">
        <v>339</v>
      </c>
      <c r="GZ2" t="s">
        <v>19</v>
      </c>
      <c r="HA2" t="s">
        <v>869</v>
      </c>
      <c r="HC2" t="s">
        <v>15</v>
      </c>
      <c r="HD2" s="17" t="s">
        <v>878</v>
      </c>
      <c r="HE2" t="s">
        <v>19</v>
      </c>
      <c r="HH2" t="s">
        <v>15</v>
      </c>
      <c r="HI2" t="s">
        <v>19</v>
      </c>
      <c r="HJ2" s="17" t="s">
        <v>878</v>
      </c>
      <c r="HL2" t="s">
        <v>15</v>
      </c>
      <c r="HM2" s="17" t="s">
        <v>884</v>
      </c>
      <c r="HN2" t="s">
        <v>19</v>
      </c>
      <c r="HP2" t="s">
        <v>19</v>
      </c>
      <c r="HQ2" s="17" t="s">
        <v>884</v>
      </c>
      <c r="HS2" t="s">
        <v>15</v>
      </c>
      <c r="HT2" t="s">
        <v>885</v>
      </c>
      <c r="HU2" t="s">
        <v>886</v>
      </c>
      <c r="HV2" t="s">
        <v>19</v>
      </c>
      <c r="HW2" s="30" t="s">
        <v>882</v>
      </c>
      <c r="HX2" s="1" t="s">
        <v>19</v>
      </c>
      <c r="HY2" s="1" t="s">
        <v>886</v>
      </c>
      <c r="HZ2" s="1" t="s">
        <v>19</v>
      </c>
    </row>
    <row r="3" spans="1:257" ht="13.15" x14ac:dyDescent="0.4">
      <c r="A3">
        <v>301121</v>
      </c>
      <c r="B3">
        <v>12</v>
      </c>
      <c r="C3">
        <v>12</v>
      </c>
      <c r="H3">
        <v>7</v>
      </c>
      <c r="J3">
        <v>7</v>
      </c>
      <c r="K3">
        <v>1.68</v>
      </c>
      <c r="M3">
        <v>7</v>
      </c>
      <c r="N3">
        <v>0.27</v>
      </c>
      <c r="P3" t="s">
        <v>362</v>
      </c>
      <c r="Q3">
        <v>415.17</v>
      </c>
      <c r="R3">
        <v>7</v>
      </c>
      <c r="T3" t="s">
        <v>342</v>
      </c>
      <c r="U3">
        <v>-45.08</v>
      </c>
      <c r="V3">
        <v>7</v>
      </c>
      <c r="X3">
        <v>-35.35</v>
      </c>
      <c r="Y3">
        <v>7</v>
      </c>
      <c r="AA3">
        <v>9.73</v>
      </c>
      <c r="AB3">
        <v>7</v>
      </c>
      <c r="AE3" s="54">
        <v>7</v>
      </c>
      <c r="AF3" s="54">
        <v>7</v>
      </c>
      <c r="AG3" s="54">
        <v>7</v>
      </c>
      <c r="AH3" s="54">
        <v>7</v>
      </c>
      <c r="AI3" s="54">
        <v>7</v>
      </c>
      <c r="AJ3" s="54">
        <v>7</v>
      </c>
      <c r="AK3" s="54">
        <v>7</v>
      </c>
      <c r="AL3" s="54">
        <v>7</v>
      </c>
      <c r="AM3" s="54">
        <v>7</v>
      </c>
      <c r="AN3" s="54">
        <v>7</v>
      </c>
      <c r="AO3" s="54">
        <v>7</v>
      </c>
      <c r="AP3" s="54">
        <v>7</v>
      </c>
      <c r="AQ3" s="54">
        <v>7</v>
      </c>
      <c r="AR3" s="54">
        <v>7</v>
      </c>
      <c r="AS3" s="54">
        <v>7</v>
      </c>
      <c r="AT3" s="54">
        <v>7</v>
      </c>
      <c r="AU3" s="54">
        <v>7</v>
      </c>
      <c r="AV3" s="54">
        <v>7</v>
      </c>
      <c r="AW3" s="54">
        <v>7</v>
      </c>
      <c r="AX3" s="54">
        <v>7</v>
      </c>
      <c r="AY3" s="54">
        <v>7</v>
      </c>
      <c r="AZ3" s="54">
        <v>7</v>
      </c>
      <c r="BA3" s="54">
        <v>7</v>
      </c>
      <c r="BB3" s="54">
        <v>7</v>
      </c>
      <c r="BC3" s="54">
        <v>7</v>
      </c>
      <c r="BD3" s="54">
        <v>7</v>
      </c>
      <c r="BE3" s="54">
        <v>7</v>
      </c>
      <c r="BF3" s="54">
        <v>7</v>
      </c>
      <c r="BG3" s="54">
        <v>7</v>
      </c>
      <c r="BH3" s="54">
        <v>7</v>
      </c>
      <c r="BI3" s="54">
        <v>7</v>
      </c>
      <c r="BJ3" s="54">
        <v>7</v>
      </c>
      <c r="BK3" s="54">
        <v>7</v>
      </c>
      <c r="BL3" s="54">
        <v>7</v>
      </c>
      <c r="BM3" s="54">
        <v>7</v>
      </c>
      <c r="BN3" s="54">
        <v>7</v>
      </c>
      <c r="BO3" s="54">
        <v>7</v>
      </c>
      <c r="BP3" s="54">
        <v>7</v>
      </c>
      <c r="BQ3" s="54">
        <v>7</v>
      </c>
      <c r="BR3" s="54">
        <v>7</v>
      </c>
      <c r="BS3" s="54">
        <v>7</v>
      </c>
      <c r="BT3" s="54">
        <v>7</v>
      </c>
      <c r="BU3" s="54">
        <v>7</v>
      </c>
      <c r="BV3" s="54">
        <v>7</v>
      </c>
      <c r="BW3" s="54">
        <v>7</v>
      </c>
      <c r="BX3" s="54">
        <v>7</v>
      </c>
      <c r="BY3" s="54">
        <v>7</v>
      </c>
      <c r="BZ3" s="54">
        <v>7</v>
      </c>
      <c r="CA3" s="54">
        <v>7</v>
      </c>
      <c r="CB3" s="54">
        <v>7</v>
      </c>
      <c r="CC3" s="54">
        <v>7</v>
      </c>
      <c r="CD3" s="54">
        <v>7</v>
      </c>
      <c r="CE3" s="54">
        <v>7</v>
      </c>
      <c r="CF3" s="54">
        <v>7</v>
      </c>
      <c r="CW3">
        <v>40822</v>
      </c>
      <c r="CX3">
        <v>20</v>
      </c>
      <c r="CY3">
        <v>20</v>
      </c>
      <c r="CZ3">
        <v>0</v>
      </c>
      <c r="DD3">
        <v>18</v>
      </c>
      <c r="DF3">
        <v>18</v>
      </c>
      <c r="DI3">
        <v>18</v>
      </c>
      <c r="DL3">
        <v>18</v>
      </c>
      <c r="DO3" t="s">
        <v>343</v>
      </c>
      <c r="DP3">
        <v>21</v>
      </c>
      <c r="DQ3">
        <v>188.25</v>
      </c>
      <c r="DR3">
        <v>18</v>
      </c>
      <c r="DS3">
        <v>353.96</v>
      </c>
      <c r="DV3" t="s">
        <v>343</v>
      </c>
      <c r="DW3">
        <v>-56.1</v>
      </c>
      <c r="DX3">
        <v>21</v>
      </c>
      <c r="DZ3" t="s">
        <v>159</v>
      </c>
      <c r="EA3">
        <v>18</v>
      </c>
      <c r="EB3">
        <v>-66</v>
      </c>
      <c r="EE3" t="s">
        <v>343</v>
      </c>
      <c r="EF3">
        <v>-43.494399999999999</v>
      </c>
      <c r="EG3">
        <v>21</v>
      </c>
      <c r="EI3" t="s">
        <v>159</v>
      </c>
      <c r="EJ3">
        <v>-46.81</v>
      </c>
      <c r="EK3">
        <v>18</v>
      </c>
      <c r="EM3" t="s">
        <v>159</v>
      </c>
      <c r="EN3">
        <v>-66</v>
      </c>
      <c r="EP3" t="s">
        <v>159</v>
      </c>
      <c r="EQ3">
        <f t="shared" ref="EQ3:EQ34" si="0">EJ3-EN3</f>
        <v>19.189999999999998</v>
      </c>
      <c r="ES3" t="s">
        <v>887</v>
      </c>
      <c r="ET3" t="s">
        <v>159</v>
      </c>
      <c r="EU3" t="s">
        <v>169</v>
      </c>
      <c r="EV3" t="s">
        <v>175</v>
      </c>
      <c r="EW3" t="s">
        <v>184</v>
      </c>
      <c r="EX3" t="s">
        <v>178</v>
      </c>
      <c r="EY3" t="s">
        <v>182</v>
      </c>
      <c r="EZ3" t="s">
        <v>888</v>
      </c>
      <c r="FA3" t="s">
        <v>889</v>
      </c>
      <c r="FB3" t="s">
        <v>189</v>
      </c>
      <c r="FC3" t="s">
        <v>198</v>
      </c>
      <c r="FD3" t="s">
        <v>202</v>
      </c>
      <c r="FE3" t="s">
        <v>206</v>
      </c>
      <c r="GK3">
        <v>140322</v>
      </c>
      <c r="GL3">
        <v>30</v>
      </c>
      <c r="GM3">
        <v>30</v>
      </c>
      <c r="GN3">
        <v>0</v>
      </c>
      <c r="GO3">
        <v>2</v>
      </c>
      <c r="GP3">
        <v>10</v>
      </c>
      <c r="GQ3">
        <v>0</v>
      </c>
      <c r="GR3">
        <v>45</v>
      </c>
      <c r="GT3" t="s">
        <v>41</v>
      </c>
      <c r="GU3">
        <v>0.92</v>
      </c>
      <c r="GW3">
        <v>50</v>
      </c>
      <c r="GX3">
        <v>45</v>
      </c>
      <c r="GY3">
        <v>0.43</v>
      </c>
      <c r="GZ3">
        <v>46</v>
      </c>
      <c r="HA3">
        <v>0.62</v>
      </c>
      <c r="HC3" t="s">
        <v>344</v>
      </c>
      <c r="HD3">
        <v>194.3</v>
      </c>
      <c r="HE3">
        <v>48</v>
      </c>
      <c r="HH3" t="s">
        <v>439</v>
      </c>
      <c r="HI3">
        <v>45</v>
      </c>
      <c r="HJ3">
        <v>176</v>
      </c>
      <c r="HL3" t="s">
        <v>344</v>
      </c>
      <c r="HM3">
        <v>-63.48</v>
      </c>
      <c r="HN3">
        <v>48</v>
      </c>
      <c r="HP3">
        <v>45</v>
      </c>
      <c r="HQ3">
        <v>-65.38</v>
      </c>
      <c r="HS3" t="s">
        <v>344</v>
      </c>
      <c r="HT3">
        <v>-63.48</v>
      </c>
      <c r="HU3">
        <f t="shared" ref="HU3:HU34" si="1">HP3-HT3</f>
        <v>108.47999999999999</v>
      </c>
      <c r="HV3">
        <v>48</v>
      </c>
      <c r="HW3">
        <v>-33.102400000000003</v>
      </c>
      <c r="HX3">
        <v>45</v>
      </c>
      <c r="HY3">
        <v>36.227600000000002</v>
      </c>
      <c r="HZ3">
        <v>45</v>
      </c>
      <c r="IC3" s="55">
        <v>45</v>
      </c>
      <c r="ID3" s="55">
        <v>45</v>
      </c>
      <c r="IE3" s="55">
        <v>45</v>
      </c>
      <c r="IF3" s="55">
        <v>45</v>
      </c>
      <c r="IG3" s="55">
        <v>45</v>
      </c>
      <c r="IH3" s="55">
        <v>45</v>
      </c>
      <c r="II3" s="55">
        <v>45</v>
      </c>
      <c r="IJ3" s="55">
        <v>45</v>
      </c>
      <c r="IK3" s="55">
        <v>45</v>
      </c>
      <c r="IL3" s="55">
        <v>45</v>
      </c>
      <c r="IM3" s="55">
        <v>45</v>
      </c>
      <c r="IN3" s="55">
        <v>45</v>
      </c>
      <c r="IO3" s="55">
        <v>45</v>
      </c>
      <c r="IP3" s="55">
        <v>45</v>
      </c>
      <c r="IQ3" s="55">
        <v>45</v>
      </c>
      <c r="IR3" s="55">
        <v>45</v>
      </c>
      <c r="IS3" s="55">
        <v>45</v>
      </c>
      <c r="IT3" s="55">
        <v>45</v>
      </c>
      <c r="IU3" s="55">
        <v>45</v>
      </c>
      <c r="IV3" s="55">
        <v>45</v>
      </c>
      <c r="IW3" s="55">
        <v>45</v>
      </c>
    </row>
    <row r="4" spans="1:257" ht="13.15" x14ac:dyDescent="0.4">
      <c r="A4">
        <v>11221</v>
      </c>
      <c r="B4">
        <v>30</v>
      </c>
      <c r="C4">
        <v>30</v>
      </c>
      <c r="H4">
        <v>7</v>
      </c>
      <c r="J4">
        <v>7</v>
      </c>
      <c r="K4">
        <v>0.59</v>
      </c>
      <c r="M4">
        <v>7</v>
      </c>
      <c r="N4">
        <v>0.33</v>
      </c>
      <c r="P4" t="s">
        <v>366</v>
      </c>
      <c r="Q4">
        <v>907.8</v>
      </c>
      <c r="R4">
        <v>7</v>
      </c>
      <c r="T4" t="s">
        <v>345</v>
      </c>
      <c r="U4">
        <v>-53.08</v>
      </c>
      <c r="V4">
        <v>7</v>
      </c>
      <c r="X4">
        <v>-38.450000000000003</v>
      </c>
      <c r="Y4">
        <v>7</v>
      </c>
      <c r="AA4">
        <v>14.63</v>
      </c>
      <c r="AB4">
        <v>7</v>
      </c>
      <c r="AD4" t="s">
        <v>887</v>
      </c>
      <c r="AE4" t="s">
        <v>362</v>
      </c>
      <c r="AF4" t="s">
        <v>366</v>
      </c>
      <c r="AG4" t="s">
        <v>370</v>
      </c>
      <c r="AH4" t="s">
        <v>374</v>
      </c>
      <c r="AI4" t="s">
        <v>378</v>
      </c>
      <c r="AJ4" t="s">
        <v>382</v>
      </c>
      <c r="AK4" t="s">
        <v>385</v>
      </c>
      <c r="AL4" t="s">
        <v>388</v>
      </c>
      <c r="AM4" t="s">
        <v>391</v>
      </c>
      <c r="AN4" t="s">
        <v>394</v>
      </c>
      <c r="AO4" t="s">
        <v>398</v>
      </c>
      <c r="AP4" t="s">
        <v>401</v>
      </c>
      <c r="AQ4" t="s">
        <v>404</v>
      </c>
      <c r="AR4" t="s">
        <v>407</v>
      </c>
      <c r="AS4" t="s">
        <v>411</v>
      </c>
      <c r="AT4" t="s">
        <v>414</v>
      </c>
      <c r="AU4" t="s">
        <v>509</v>
      </c>
      <c r="AV4" t="s">
        <v>512</v>
      </c>
      <c r="AW4" t="s">
        <v>515</v>
      </c>
      <c r="AX4" t="s">
        <v>518</v>
      </c>
      <c r="AY4" t="s">
        <v>521</v>
      </c>
      <c r="AZ4" t="s">
        <v>525</v>
      </c>
      <c r="BA4" t="s">
        <v>529</v>
      </c>
      <c r="BB4" t="s">
        <v>533</v>
      </c>
      <c r="BC4" t="s">
        <v>569</v>
      </c>
      <c r="BD4" t="s">
        <v>573</v>
      </c>
      <c r="BE4" t="s">
        <v>576</v>
      </c>
      <c r="BF4" t="s">
        <v>741</v>
      </c>
      <c r="BG4" t="s">
        <v>579</v>
      </c>
      <c r="BH4" t="s">
        <v>582</v>
      </c>
      <c r="BI4" t="s">
        <v>585</v>
      </c>
      <c r="BJ4" t="s">
        <v>588</v>
      </c>
      <c r="BK4" t="s">
        <v>591</v>
      </c>
      <c r="BL4" t="s">
        <v>742</v>
      </c>
      <c r="BM4" t="s">
        <v>594</v>
      </c>
      <c r="BN4" t="s">
        <v>743</v>
      </c>
      <c r="BO4" t="s">
        <v>597</v>
      </c>
      <c r="BP4" t="s">
        <v>890</v>
      </c>
      <c r="BQ4" t="s">
        <v>627</v>
      </c>
      <c r="BR4" t="s">
        <v>630</v>
      </c>
      <c r="BS4" t="s">
        <v>633</v>
      </c>
      <c r="BT4" t="s">
        <v>636</v>
      </c>
      <c r="BU4" t="s">
        <v>639</v>
      </c>
      <c r="BV4" t="s">
        <v>641</v>
      </c>
      <c r="BW4" t="s">
        <v>643</v>
      </c>
      <c r="BX4" t="s">
        <v>645</v>
      </c>
      <c r="BY4" t="s">
        <v>647</v>
      </c>
      <c r="BZ4" t="s">
        <v>649</v>
      </c>
      <c r="CA4" t="s">
        <v>745</v>
      </c>
      <c r="CB4" t="s">
        <v>669</v>
      </c>
      <c r="CC4" t="s">
        <v>671</v>
      </c>
      <c r="CD4" t="s">
        <v>673</v>
      </c>
      <c r="CE4" t="s">
        <v>675</v>
      </c>
      <c r="CF4" t="s">
        <v>677</v>
      </c>
      <c r="CW4" s="2">
        <v>50723</v>
      </c>
      <c r="CX4" s="2">
        <v>42</v>
      </c>
      <c r="CY4" s="2">
        <v>42</v>
      </c>
      <c r="CZ4" s="2">
        <v>2</v>
      </c>
      <c r="DA4">
        <v>5</v>
      </c>
      <c r="DB4">
        <v>30</v>
      </c>
      <c r="DC4">
        <v>2</v>
      </c>
      <c r="DD4">
        <v>18</v>
      </c>
      <c r="DF4">
        <v>18</v>
      </c>
      <c r="DI4">
        <v>18</v>
      </c>
      <c r="DL4">
        <v>18</v>
      </c>
      <c r="DO4" t="s">
        <v>346</v>
      </c>
      <c r="DP4">
        <v>21</v>
      </c>
      <c r="DQ4">
        <v>286.82</v>
      </c>
      <c r="DR4">
        <v>18</v>
      </c>
      <c r="DS4">
        <v>239.92</v>
      </c>
      <c r="DV4" t="s">
        <v>346</v>
      </c>
      <c r="DW4">
        <v>-61.63</v>
      </c>
      <c r="DX4">
        <v>21</v>
      </c>
      <c r="DZ4" t="s">
        <v>169</v>
      </c>
      <c r="EA4">
        <v>18</v>
      </c>
      <c r="EB4">
        <v>-58.12</v>
      </c>
      <c r="EE4" t="s">
        <v>346</v>
      </c>
      <c r="EF4">
        <v>-43.6798</v>
      </c>
      <c r="EG4">
        <v>21</v>
      </c>
      <c r="EI4" t="s">
        <v>169</v>
      </c>
      <c r="EJ4">
        <v>-46.98</v>
      </c>
      <c r="EK4">
        <v>18</v>
      </c>
      <c r="EM4" t="s">
        <v>169</v>
      </c>
      <c r="EN4">
        <v>-58.12</v>
      </c>
      <c r="EP4" t="s">
        <v>169</v>
      </c>
      <c r="EQ4">
        <f t="shared" si="0"/>
        <v>11.14</v>
      </c>
      <c r="ES4">
        <v>50</v>
      </c>
      <c r="ET4">
        <v>0</v>
      </c>
      <c r="EU4">
        <v>1.5</v>
      </c>
      <c r="EV4">
        <v>0.5</v>
      </c>
      <c r="EW4">
        <v>0</v>
      </c>
      <c r="EX4">
        <v>0</v>
      </c>
      <c r="EY4">
        <v>0</v>
      </c>
      <c r="EZ4">
        <v>1</v>
      </c>
      <c r="FA4">
        <v>1.5</v>
      </c>
      <c r="FB4">
        <v>0.5</v>
      </c>
      <c r="FC4">
        <v>2</v>
      </c>
      <c r="FD4">
        <v>0.5</v>
      </c>
      <c r="FE4">
        <v>0</v>
      </c>
      <c r="FF4" s="1">
        <f t="shared" ref="FF4:FF11" si="2">AVERAGE(ET4:FE4)</f>
        <v>0.625</v>
      </c>
      <c r="GK4">
        <v>150322</v>
      </c>
      <c r="GL4">
        <v>42</v>
      </c>
      <c r="GM4" s="8">
        <v>42</v>
      </c>
      <c r="GN4">
        <v>0</v>
      </c>
      <c r="GO4">
        <v>5</v>
      </c>
      <c r="GP4">
        <v>30</v>
      </c>
      <c r="GQ4">
        <v>0</v>
      </c>
      <c r="GR4">
        <v>45</v>
      </c>
      <c r="GT4" t="s">
        <v>44</v>
      </c>
      <c r="GU4">
        <v>0.39</v>
      </c>
      <c r="GV4">
        <v>0.5</v>
      </c>
      <c r="GW4">
        <v>50</v>
      </c>
      <c r="GX4">
        <v>45</v>
      </c>
      <c r="GY4">
        <v>1.52</v>
      </c>
      <c r="GZ4">
        <v>46</v>
      </c>
      <c r="HA4">
        <v>1.1000000000000001</v>
      </c>
      <c r="HC4" t="s">
        <v>347</v>
      </c>
      <c r="HD4">
        <v>253.7</v>
      </c>
      <c r="HE4">
        <v>48</v>
      </c>
      <c r="HH4" t="s">
        <v>442</v>
      </c>
      <c r="HI4">
        <v>45</v>
      </c>
      <c r="HJ4">
        <v>183.47</v>
      </c>
      <c r="HL4" t="s">
        <v>347</v>
      </c>
      <c r="HM4">
        <v>-63.9</v>
      </c>
      <c r="HN4">
        <v>48</v>
      </c>
      <c r="HP4">
        <v>45</v>
      </c>
      <c r="HQ4">
        <v>-62.51</v>
      </c>
      <c r="HS4" t="s">
        <v>347</v>
      </c>
      <c r="HT4">
        <v>-63.9</v>
      </c>
      <c r="HU4">
        <f t="shared" si="1"/>
        <v>108.9</v>
      </c>
      <c r="HV4">
        <v>48</v>
      </c>
      <c r="HW4">
        <v>-46.929900000000004</v>
      </c>
      <c r="HX4">
        <v>45</v>
      </c>
      <c r="HY4">
        <v>15.5801</v>
      </c>
      <c r="HZ4">
        <v>45</v>
      </c>
      <c r="IB4" t="s">
        <v>887</v>
      </c>
      <c r="IC4" t="s">
        <v>439</v>
      </c>
      <c r="ID4" t="s">
        <v>442</v>
      </c>
      <c r="IE4" t="s">
        <v>445</v>
      </c>
      <c r="IF4" t="s">
        <v>448</v>
      </c>
      <c r="IG4" t="s">
        <v>451</v>
      </c>
      <c r="IH4" t="s">
        <v>454</v>
      </c>
      <c r="II4" t="s">
        <v>457</v>
      </c>
      <c r="IJ4" t="s">
        <v>460</v>
      </c>
      <c r="IK4" t="s">
        <v>463</v>
      </c>
      <c r="IL4" t="s">
        <v>466</v>
      </c>
      <c r="IM4" t="s">
        <v>469</v>
      </c>
      <c r="IN4" t="s">
        <v>472</v>
      </c>
      <c r="IO4" t="s">
        <v>475</v>
      </c>
      <c r="IP4" t="s">
        <v>478</v>
      </c>
      <c r="IQ4" t="s">
        <v>481</v>
      </c>
      <c r="IR4" t="s">
        <v>484</v>
      </c>
      <c r="IS4" t="s">
        <v>487</v>
      </c>
      <c r="IT4" t="s">
        <v>478</v>
      </c>
      <c r="IU4" t="s">
        <v>481</v>
      </c>
      <c r="IV4" t="s">
        <v>484</v>
      </c>
      <c r="IW4" t="s">
        <v>487</v>
      </c>
    </row>
    <row r="5" spans="1:257" ht="13.15" x14ac:dyDescent="0.4">
      <c r="A5" s="2">
        <v>21221</v>
      </c>
      <c r="B5" s="2">
        <v>42</v>
      </c>
      <c r="C5" s="2">
        <v>42</v>
      </c>
      <c r="D5" s="32">
        <v>1</v>
      </c>
      <c r="E5" s="2"/>
      <c r="F5" s="2"/>
      <c r="G5" s="2"/>
      <c r="H5" s="2">
        <v>7</v>
      </c>
      <c r="J5">
        <v>7</v>
      </c>
      <c r="K5">
        <v>1.44</v>
      </c>
      <c r="M5">
        <v>7</v>
      </c>
      <c r="N5">
        <v>0.33</v>
      </c>
      <c r="P5" t="s">
        <v>370</v>
      </c>
      <c r="Q5">
        <v>672.1</v>
      </c>
      <c r="R5">
        <v>7</v>
      </c>
      <c r="T5" t="s">
        <v>348</v>
      </c>
      <c r="U5">
        <v>-42.01</v>
      </c>
      <c r="V5">
        <v>7</v>
      </c>
      <c r="X5">
        <v>-33.840000000000003</v>
      </c>
      <c r="Y5">
        <v>7</v>
      </c>
      <c r="AA5">
        <v>8.1699999999999893</v>
      </c>
      <c r="AB5">
        <v>7</v>
      </c>
      <c r="AD5">
        <v>50</v>
      </c>
      <c r="AE5">
        <v>5.5</v>
      </c>
      <c r="AF5">
        <v>10</v>
      </c>
      <c r="AG5">
        <v>8.5</v>
      </c>
      <c r="AH5">
        <v>4</v>
      </c>
      <c r="AI5">
        <v>0</v>
      </c>
      <c r="AJ5">
        <v>2</v>
      </c>
      <c r="AK5">
        <v>2</v>
      </c>
      <c r="AL5">
        <v>5</v>
      </c>
      <c r="AM5">
        <v>1.5</v>
      </c>
      <c r="AN5">
        <v>3.5</v>
      </c>
      <c r="AO5">
        <v>0.5</v>
      </c>
      <c r="AP5">
        <v>4.5</v>
      </c>
      <c r="AQ5">
        <v>5.5</v>
      </c>
      <c r="AR5">
        <v>5</v>
      </c>
      <c r="AS5">
        <v>1.5</v>
      </c>
      <c r="AT5">
        <v>6</v>
      </c>
      <c r="AU5">
        <v>3.5</v>
      </c>
      <c r="AV5">
        <v>0</v>
      </c>
      <c r="AW5">
        <v>8</v>
      </c>
      <c r="AX5">
        <v>10.5</v>
      </c>
      <c r="AY5">
        <v>3</v>
      </c>
      <c r="AZ5">
        <v>0</v>
      </c>
      <c r="BA5">
        <v>3</v>
      </c>
      <c r="BB5">
        <v>4</v>
      </c>
      <c r="BC5">
        <v>16.5</v>
      </c>
      <c r="BD5">
        <v>3.5</v>
      </c>
      <c r="BE5">
        <v>2.5</v>
      </c>
      <c r="BF5">
        <v>2</v>
      </c>
      <c r="BG5">
        <v>7</v>
      </c>
      <c r="BH5">
        <v>1.5</v>
      </c>
      <c r="BI5">
        <v>5</v>
      </c>
      <c r="BJ5">
        <v>17.5</v>
      </c>
      <c r="BK5">
        <v>0.5</v>
      </c>
      <c r="BL5">
        <v>9</v>
      </c>
      <c r="BM5">
        <v>9</v>
      </c>
      <c r="BN5">
        <v>14</v>
      </c>
      <c r="BO5">
        <v>2</v>
      </c>
      <c r="BP5">
        <v>7.5</v>
      </c>
      <c r="BQ5">
        <v>3</v>
      </c>
      <c r="BR5">
        <v>2</v>
      </c>
      <c r="BS5">
        <v>1</v>
      </c>
      <c r="BT5">
        <v>11.5</v>
      </c>
      <c r="BU5">
        <v>14.5</v>
      </c>
      <c r="BV5">
        <v>8</v>
      </c>
      <c r="BW5">
        <v>2.5</v>
      </c>
      <c r="BX5">
        <v>3.5</v>
      </c>
      <c r="BY5">
        <v>8</v>
      </c>
      <c r="BZ5">
        <v>12</v>
      </c>
      <c r="CA5">
        <v>5.5</v>
      </c>
      <c r="CB5">
        <v>2</v>
      </c>
      <c r="CC5">
        <v>2</v>
      </c>
      <c r="CD5">
        <v>6</v>
      </c>
      <c r="CE5">
        <v>2.5</v>
      </c>
      <c r="CF5">
        <v>3.4</v>
      </c>
      <c r="CG5" s="1">
        <f t="shared" ref="CG5:CG12" si="3">AVERAGE(AE5:CF5)</f>
        <v>5.2203703703703699</v>
      </c>
      <c r="CW5" s="2">
        <v>507232</v>
      </c>
      <c r="CX5" s="2">
        <v>56</v>
      </c>
      <c r="CY5" s="2">
        <v>56</v>
      </c>
      <c r="CZ5" s="2">
        <v>1</v>
      </c>
      <c r="DA5">
        <v>6</v>
      </c>
      <c r="DB5">
        <v>42</v>
      </c>
      <c r="DC5">
        <v>1</v>
      </c>
      <c r="DD5">
        <v>18</v>
      </c>
      <c r="DF5">
        <v>18</v>
      </c>
      <c r="DI5">
        <v>18</v>
      </c>
      <c r="DJ5">
        <v>309.14999999999998</v>
      </c>
      <c r="DL5">
        <v>18</v>
      </c>
      <c r="DM5">
        <v>1.42</v>
      </c>
      <c r="DO5" t="s">
        <v>349</v>
      </c>
      <c r="DP5">
        <v>21</v>
      </c>
      <c r="DQ5">
        <v>326.92</v>
      </c>
      <c r="DR5">
        <v>18</v>
      </c>
      <c r="DS5">
        <v>232.92</v>
      </c>
      <c r="DV5" t="s">
        <v>349</v>
      </c>
      <c r="DW5">
        <v>-63.1</v>
      </c>
      <c r="DX5">
        <v>21</v>
      </c>
      <c r="DZ5" t="s">
        <v>175</v>
      </c>
      <c r="EA5">
        <v>18</v>
      </c>
      <c r="EB5">
        <v>-62.5</v>
      </c>
      <c r="EE5" t="s">
        <v>349</v>
      </c>
      <c r="EF5">
        <v>-46.411099999999998</v>
      </c>
      <c r="EG5">
        <v>21</v>
      </c>
      <c r="EI5" t="s">
        <v>175</v>
      </c>
      <c r="EJ5">
        <v>-51.88</v>
      </c>
      <c r="EK5">
        <v>18</v>
      </c>
      <c r="EM5" t="s">
        <v>175</v>
      </c>
      <c r="EN5">
        <v>-62.5</v>
      </c>
      <c r="EP5" t="s">
        <v>175</v>
      </c>
      <c r="EQ5">
        <f t="shared" si="0"/>
        <v>10.619999999999997</v>
      </c>
      <c r="ES5">
        <v>100</v>
      </c>
      <c r="ET5">
        <v>0.5</v>
      </c>
      <c r="EU5">
        <v>3.5</v>
      </c>
      <c r="EV5">
        <v>2.5</v>
      </c>
      <c r="EW5">
        <v>0.5</v>
      </c>
      <c r="EX5">
        <v>4</v>
      </c>
      <c r="EY5">
        <v>1</v>
      </c>
      <c r="EZ5">
        <v>3</v>
      </c>
      <c r="FA5">
        <v>5</v>
      </c>
      <c r="FB5">
        <v>0</v>
      </c>
      <c r="FC5">
        <v>4</v>
      </c>
      <c r="FD5">
        <v>2.5</v>
      </c>
      <c r="FE5">
        <v>2</v>
      </c>
      <c r="FF5" s="1">
        <f t="shared" si="2"/>
        <v>2.375</v>
      </c>
      <c r="GK5">
        <v>1503222</v>
      </c>
      <c r="GL5">
        <v>42</v>
      </c>
      <c r="GM5">
        <v>56</v>
      </c>
      <c r="GN5">
        <v>0</v>
      </c>
      <c r="GO5">
        <v>3</v>
      </c>
      <c r="GP5">
        <v>18</v>
      </c>
      <c r="GQ5">
        <v>0</v>
      </c>
      <c r="GR5">
        <v>45</v>
      </c>
      <c r="GT5" t="s">
        <v>47</v>
      </c>
      <c r="GU5">
        <v>1.0900000000000001</v>
      </c>
      <c r="GW5">
        <v>49</v>
      </c>
      <c r="GX5">
        <v>45</v>
      </c>
      <c r="GY5">
        <v>0.56000000000000005</v>
      </c>
      <c r="GZ5">
        <v>46</v>
      </c>
      <c r="HA5">
        <f>22.09/37.22</f>
        <v>0.59349811929070395</v>
      </c>
      <c r="HC5" t="s">
        <v>350</v>
      </c>
      <c r="HD5">
        <v>164.97</v>
      </c>
      <c r="HE5">
        <v>48</v>
      </c>
      <c r="HH5" t="s">
        <v>445</v>
      </c>
      <c r="HI5">
        <v>45</v>
      </c>
      <c r="HJ5">
        <v>171.15</v>
      </c>
      <c r="HL5" t="s">
        <v>350</v>
      </c>
      <c r="HM5">
        <v>-52.27</v>
      </c>
      <c r="HN5">
        <v>48</v>
      </c>
      <c r="HP5">
        <v>45</v>
      </c>
      <c r="HQ5">
        <v>-58.75</v>
      </c>
      <c r="HS5" t="s">
        <v>350</v>
      </c>
      <c r="HT5">
        <v>-52.27</v>
      </c>
      <c r="HU5">
        <f t="shared" si="1"/>
        <v>97.27000000000001</v>
      </c>
      <c r="HV5">
        <v>48</v>
      </c>
      <c r="HW5">
        <v>-46.763599999999997</v>
      </c>
      <c r="HX5">
        <v>45</v>
      </c>
      <c r="HY5">
        <v>11.9864</v>
      </c>
      <c r="HZ5">
        <v>45</v>
      </c>
      <c r="IB5">
        <v>50</v>
      </c>
      <c r="IC5">
        <v>0</v>
      </c>
      <c r="ID5">
        <v>1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</row>
    <row r="6" spans="1:257" ht="13.15" x14ac:dyDescent="0.4">
      <c r="A6">
        <v>212212</v>
      </c>
      <c r="B6">
        <v>6</v>
      </c>
      <c r="C6">
        <v>12</v>
      </c>
      <c r="H6">
        <v>7</v>
      </c>
      <c r="J6">
        <v>7</v>
      </c>
      <c r="K6">
        <v>0.93</v>
      </c>
      <c r="M6">
        <v>7</v>
      </c>
      <c r="N6">
        <v>0.24</v>
      </c>
      <c r="P6" t="s">
        <v>374</v>
      </c>
      <c r="Q6">
        <v>301.60000000000002</v>
      </c>
      <c r="R6">
        <v>7</v>
      </c>
      <c r="T6" t="s">
        <v>351</v>
      </c>
      <c r="U6">
        <v>-52.29</v>
      </c>
      <c r="V6">
        <v>7</v>
      </c>
      <c r="X6">
        <v>-39.81</v>
      </c>
      <c r="Y6">
        <v>7</v>
      </c>
      <c r="AA6">
        <v>12.48</v>
      </c>
      <c r="AB6">
        <v>7</v>
      </c>
      <c r="AD6">
        <v>100</v>
      </c>
      <c r="AE6">
        <v>10</v>
      </c>
      <c r="AF6">
        <v>17</v>
      </c>
      <c r="AG6">
        <v>14</v>
      </c>
      <c r="AH6">
        <v>8.5</v>
      </c>
      <c r="AI6">
        <v>1</v>
      </c>
      <c r="AJ6">
        <v>3.5</v>
      </c>
      <c r="AK6">
        <v>4.5</v>
      </c>
      <c r="AL6">
        <v>12.5</v>
      </c>
      <c r="AM6">
        <v>4</v>
      </c>
      <c r="AN6">
        <v>6</v>
      </c>
      <c r="AO6">
        <v>0.5</v>
      </c>
      <c r="AP6">
        <v>9</v>
      </c>
      <c r="AQ6">
        <v>10</v>
      </c>
      <c r="AR6">
        <v>7.5</v>
      </c>
      <c r="AS6">
        <v>9.5</v>
      </c>
      <c r="AT6">
        <v>13.5</v>
      </c>
      <c r="AU6">
        <v>10</v>
      </c>
      <c r="AV6">
        <v>1</v>
      </c>
      <c r="AW6">
        <v>12</v>
      </c>
      <c r="AX6">
        <v>16</v>
      </c>
      <c r="AY6">
        <v>6.5</v>
      </c>
      <c r="AZ6">
        <v>1.5</v>
      </c>
      <c r="BA6">
        <v>5</v>
      </c>
      <c r="BB6">
        <v>8</v>
      </c>
      <c r="BC6">
        <v>22</v>
      </c>
      <c r="BD6">
        <v>5.5</v>
      </c>
      <c r="BE6">
        <v>4.5</v>
      </c>
      <c r="BF6">
        <v>5</v>
      </c>
      <c r="BG6">
        <v>19.5</v>
      </c>
      <c r="BH6">
        <v>4.5</v>
      </c>
      <c r="BI6">
        <v>11.5</v>
      </c>
      <c r="BJ6">
        <v>27.5</v>
      </c>
      <c r="BK6">
        <v>1</v>
      </c>
      <c r="BL6">
        <v>19.5</v>
      </c>
      <c r="BM6">
        <v>15</v>
      </c>
      <c r="BN6">
        <v>25</v>
      </c>
      <c r="BO6">
        <v>3.5</v>
      </c>
      <c r="BP6">
        <v>14</v>
      </c>
      <c r="BQ6">
        <v>7.5</v>
      </c>
      <c r="BR6">
        <v>5.5</v>
      </c>
      <c r="BS6">
        <v>4</v>
      </c>
      <c r="BT6">
        <v>21</v>
      </c>
      <c r="BU6">
        <v>18.5</v>
      </c>
      <c r="BV6">
        <v>13</v>
      </c>
      <c r="BW6">
        <v>8</v>
      </c>
      <c r="BX6">
        <v>8.5</v>
      </c>
      <c r="BY6">
        <v>15</v>
      </c>
      <c r="BZ6">
        <v>18.5</v>
      </c>
      <c r="CA6">
        <v>9</v>
      </c>
      <c r="CB6">
        <v>2.5</v>
      </c>
      <c r="CC6">
        <v>5</v>
      </c>
      <c r="CD6">
        <v>12</v>
      </c>
      <c r="CE6">
        <v>4.5</v>
      </c>
      <c r="CF6">
        <v>5.5</v>
      </c>
      <c r="CG6" s="1">
        <f t="shared" si="3"/>
        <v>9.7592592592592595</v>
      </c>
      <c r="CW6">
        <v>210224</v>
      </c>
      <c r="CX6">
        <v>56</v>
      </c>
      <c r="CY6">
        <v>56</v>
      </c>
      <c r="CZ6">
        <v>0</v>
      </c>
      <c r="DA6">
        <v>3</v>
      </c>
      <c r="DB6">
        <v>21</v>
      </c>
      <c r="DC6">
        <v>0</v>
      </c>
      <c r="DD6">
        <v>18</v>
      </c>
      <c r="DF6">
        <v>19</v>
      </c>
      <c r="DG6">
        <f>31.64/62.64</f>
        <v>0.50510855683269473</v>
      </c>
      <c r="DI6">
        <v>19</v>
      </c>
      <c r="DJ6">
        <v>303.8</v>
      </c>
      <c r="DL6">
        <v>19</v>
      </c>
      <c r="DM6">
        <v>1.73</v>
      </c>
      <c r="DO6" t="s">
        <v>352</v>
      </c>
      <c r="DP6">
        <v>21</v>
      </c>
      <c r="DQ6">
        <v>418</v>
      </c>
      <c r="DR6">
        <v>18</v>
      </c>
      <c r="DS6">
        <v>382</v>
      </c>
      <c r="DV6" t="s">
        <v>352</v>
      </c>
      <c r="DW6">
        <v>-65.44</v>
      </c>
      <c r="DX6">
        <v>21</v>
      </c>
      <c r="DZ6" t="s">
        <v>184</v>
      </c>
      <c r="EA6">
        <v>18</v>
      </c>
      <c r="EB6">
        <v>-76.2</v>
      </c>
      <c r="EE6" t="s">
        <v>352</v>
      </c>
      <c r="EF6">
        <v>-42.069000000000003</v>
      </c>
      <c r="EG6">
        <v>21</v>
      </c>
      <c r="EI6" t="s">
        <v>184</v>
      </c>
      <c r="EJ6">
        <v>-39.24</v>
      </c>
      <c r="EK6">
        <v>18</v>
      </c>
      <c r="EM6" t="s">
        <v>184</v>
      </c>
      <c r="EN6">
        <v>-76.2</v>
      </c>
      <c r="EP6" t="s">
        <v>184</v>
      </c>
      <c r="EQ6">
        <f t="shared" si="0"/>
        <v>36.96</v>
      </c>
      <c r="ES6">
        <v>150</v>
      </c>
      <c r="ET6">
        <v>1.5</v>
      </c>
      <c r="EU6">
        <v>4.5</v>
      </c>
      <c r="EV6">
        <v>4.5</v>
      </c>
      <c r="EW6">
        <v>1</v>
      </c>
      <c r="EX6">
        <v>5.5</v>
      </c>
      <c r="EY6">
        <v>1.5</v>
      </c>
      <c r="EZ6">
        <v>5</v>
      </c>
      <c r="FA6">
        <v>6</v>
      </c>
      <c r="FB6">
        <v>1.5</v>
      </c>
      <c r="FC6">
        <v>6</v>
      </c>
      <c r="FD6">
        <v>4</v>
      </c>
      <c r="FE6">
        <v>3</v>
      </c>
      <c r="FF6" s="1">
        <f t="shared" si="2"/>
        <v>3.6666666666666665</v>
      </c>
      <c r="GK6">
        <v>220322</v>
      </c>
      <c r="GL6">
        <v>56</v>
      </c>
      <c r="GM6">
        <v>56</v>
      </c>
      <c r="GN6">
        <v>0</v>
      </c>
      <c r="GR6">
        <v>45</v>
      </c>
      <c r="GT6" t="s">
        <v>50</v>
      </c>
      <c r="GU6">
        <v>0.93</v>
      </c>
      <c r="GW6">
        <v>49</v>
      </c>
      <c r="GX6">
        <v>46</v>
      </c>
      <c r="GY6">
        <v>1.87</v>
      </c>
      <c r="GZ6">
        <v>47</v>
      </c>
      <c r="HA6">
        <v>0.54</v>
      </c>
      <c r="HC6" t="s">
        <v>353</v>
      </c>
      <c r="HD6">
        <v>156.9</v>
      </c>
      <c r="HE6">
        <v>48</v>
      </c>
      <c r="HH6" t="s">
        <v>448</v>
      </c>
      <c r="HI6">
        <v>45</v>
      </c>
      <c r="HJ6">
        <v>240.27</v>
      </c>
      <c r="HL6" t="s">
        <v>353</v>
      </c>
      <c r="HM6">
        <v>-59.22</v>
      </c>
      <c r="HN6">
        <v>48</v>
      </c>
      <c r="HP6">
        <v>45</v>
      </c>
      <c r="HQ6">
        <v>-64.39</v>
      </c>
      <c r="HS6" t="s">
        <v>353</v>
      </c>
      <c r="HT6">
        <v>-59.22</v>
      </c>
      <c r="HU6">
        <f t="shared" si="1"/>
        <v>104.22</v>
      </c>
      <c r="HV6">
        <v>48</v>
      </c>
      <c r="HW6">
        <v>-37.174999999999997</v>
      </c>
      <c r="HX6">
        <v>45</v>
      </c>
      <c r="HY6">
        <v>27.215</v>
      </c>
      <c r="HZ6">
        <v>45</v>
      </c>
      <c r="IB6">
        <v>100</v>
      </c>
      <c r="IC6">
        <v>0</v>
      </c>
      <c r="ID6">
        <v>3.5</v>
      </c>
      <c r="IE6">
        <v>0</v>
      </c>
      <c r="IF6">
        <v>0.5</v>
      </c>
      <c r="IG6">
        <v>0</v>
      </c>
      <c r="IH6">
        <v>1</v>
      </c>
      <c r="II6">
        <v>0</v>
      </c>
      <c r="IJ6">
        <v>0</v>
      </c>
      <c r="IK6">
        <v>0</v>
      </c>
      <c r="IL6">
        <v>0.5</v>
      </c>
      <c r="IM6">
        <v>1</v>
      </c>
      <c r="IN6">
        <v>1</v>
      </c>
      <c r="IO6">
        <v>0</v>
      </c>
      <c r="IP6">
        <v>1</v>
      </c>
      <c r="IQ6">
        <v>0</v>
      </c>
      <c r="IR6">
        <v>0.5</v>
      </c>
      <c r="IS6">
        <v>0</v>
      </c>
      <c r="IT6">
        <v>1</v>
      </c>
      <c r="IU6">
        <v>0</v>
      </c>
      <c r="IV6">
        <v>0.5</v>
      </c>
      <c r="IW6">
        <v>0</v>
      </c>
    </row>
    <row r="7" spans="1:257" ht="13.15" x14ac:dyDescent="0.4">
      <c r="A7" s="2">
        <v>211221</v>
      </c>
      <c r="B7" s="2">
        <v>56</v>
      </c>
      <c r="C7" s="2">
        <v>56</v>
      </c>
      <c r="D7" s="2">
        <v>2</v>
      </c>
      <c r="E7" s="2"/>
      <c r="F7" s="2"/>
      <c r="G7" s="2"/>
      <c r="H7" s="2">
        <v>7</v>
      </c>
      <c r="J7">
        <v>7</v>
      </c>
      <c r="K7">
        <v>0.52</v>
      </c>
      <c r="M7">
        <v>7</v>
      </c>
      <c r="N7">
        <v>0.35</v>
      </c>
      <c r="P7" t="s">
        <v>378</v>
      </c>
      <c r="Q7">
        <v>498.2</v>
      </c>
      <c r="R7">
        <v>7</v>
      </c>
      <c r="T7" t="s">
        <v>354</v>
      </c>
      <c r="U7">
        <v>-58.42</v>
      </c>
      <c r="V7">
        <v>7</v>
      </c>
      <c r="X7">
        <v>-37.79</v>
      </c>
      <c r="Y7">
        <v>7</v>
      </c>
      <c r="AA7">
        <v>20.63</v>
      </c>
      <c r="AB7">
        <v>7</v>
      </c>
      <c r="AD7">
        <v>150</v>
      </c>
      <c r="AE7">
        <v>13</v>
      </c>
      <c r="AF7">
        <v>21.5</v>
      </c>
      <c r="AG7">
        <v>19</v>
      </c>
      <c r="AH7">
        <v>15</v>
      </c>
      <c r="AI7">
        <v>2.5</v>
      </c>
      <c r="AJ7">
        <v>6.5</v>
      </c>
      <c r="AK7">
        <v>7</v>
      </c>
      <c r="AL7">
        <v>17</v>
      </c>
      <c r="AM7">
        <v>5.5</v>
      </c>
      <c r="AN7">
        <v>10</v>
      </c>
      <c r="AO7">
        <v>3</v>
      </c>
      <c r="AP7">
        <v>12</v>
      </c>
      <c r="AQ7">
        <v>15</v>
      </c>
      <c r="AR7">
        <v>12</v>
      </c>
      <c r="AS7">
        <v>15.5</v>
      </c>
      <c r="AT7">
        <v>18.5</v>
      </c>
      <c r="AU7">
        <v>13</v>
      </c>
      <c r="AV7">
        <v>2</v>
      </c>
      <c r="AW7">
        <v>13.5</v>
      </c>
      <c r="AX7">
        <v>18</v>
      </c>
      <c r="AY7">
        <v>8</v>
      </c>
      <c r="AZ7">
        <v>3</v>
      </c>
      <c r="BA7">
        <v>7.5</v>
      </c>
      <c r="BB7">
        <v>14.5</v>
      </c>
      <c r="BC7">
        <v>15</v>
      </c>
      <c r="BD7">
        <v>9.5</v>
      </c>
      <c r="BE7">
        <v>9.5</v>
      </c>
      <c r="BF7">
        <v>7.5</v>
      </c>
      <c r="BG7">
        <v>26</v>
      </c>
      <c r="BH7">
        <v>6.5</v>
      </c>
      <c r="BI7">
        <v>15.5</v>
      </c>
      <c r="BJ7">
        <v>32.5</v>
      </c>
      <c r="BK7">
        <v>1.5</v>
      </c>
      <c r="BL7">
        <v>26.5</v>
      </c>
      <c r="BM7">
        <v>21.5</v>
      </c>
      <c r="BN7">
        <v>31</v>
      </c>
      <c r="BO7">
        <v>6</v>
      </c>
      <c r="BP7">
        <v>19</v>
      </c>
      <c r="BQ7">
        <v>13.5</v>
      </c>
      <c r="BR7">
        <v>13.5</v>
      </c>
      <c r="BS7">
        <v>7.5</v>
      </c>
      <c r="BT7">
        <v>26</v>
      </c>
      <c r="BU7">
        <v>22</v>
      </c>
      <c r="BV7">
        <v>18</v>
      </c>
      <c r="BW7">
        <v>10.5</v>
      </c>
      <c r="BX7">
        <v>12.5</v>
      </c>
      <c r="BY7">
        <v>23</v>
      </c>
      <c r="BZ7">
        <v>23.5</v>
      </c>
      <c r="CA7">
        <v>11.5</v>
      </c>
      <c r="CB7">
        <v>4</v>
      </c>
      <c r="CC7">
        <v>7</v>
      </c>
      <c r="CD7">
        <v>16.5</v>
      </c>
      <c r="CE7">
        <v>7</v>
      </c>
      <c r="CF7">
        <v>8</v>
      </c>
      <c r="CG7" s="1">
        <f t="shared" si="3"/>
        <v>13.407407407407407</v>
      </c>
      <c r="CW7">
        <v>280722</v>
      </c>
      <c r="CX7">
        <v>30</v>
      </c>
      <c r="CY7">
        <v>30</v>
      </c>
      <c r="CZ7">
        <v>0</v>
      </c>
      <c r="DD7">
        <v>19</v>
      </c>
      <c r="DF7">
        <v>19</v>
      </c>
      <c r="DG7">
        <f>32.98/40.77</f>
        <v>0.80892813343144454</v>
      </c>
      <c r="DI7">
        <v>19</v>
      </c>
      <c r="DJ7">
        <v>310.05</v>
      </c>
      <c r="DL7">
        <v>19</v>
      </c>
      <c r="DM7" s="9">
        <v>1.78</v>
      </c>
      <c r="DO7" t="s">
        <v>355</v>
      </c>
      <c r="DP7">
        <v>24</v>
      </c>
      <c r="DQ7">
        <v>350.37</v>
      </c>
      <c r="DR7">
        <v>18</v>
      </c>
      <c r="DS7">
        <v>310.55</v>
      </c>
      <c r="DV7" t="s">
        <v>355</v>
      </c>
      <c r="DW7">
        <v>-65.52</v>
      </c>
      <c r="DX7">
        <v>24</v>
      </c>
      <c r="DZ7" t="s">
        <v>178</v>
      </c>
      <c r="EA7">
        <v>18</v>
      </c>
      <c r="EB7">
        <v>-64.2</v>
      </c>
      <c r="EE7" t="s">
        <v>355</v>
      </c>
      <c r="EF7">
        <v>-57.691000000000003</v>
      </c>
      <c r="EG7">
        <v>24</v>
      </c>
      <c r="EI7" t="s">
        <v>178</v>
      </c>
      <c r="EJ7">
        <v>-36.76</v>
      </c>
      <c r="EK7">
        <v>18</v>
      </c>
      <c r="EM7" t="s">
        <v>178</v>
      </c>
      <c r="EN7">
        <v>-64.2</v>
      </c>
      <c r="EP7" t="s">
        <v>178</v>
      </c>
      <c r="EQ7">
        <f t="shared" si="0"/>
        <v>27.440000000000005</v>
      </c>
      <c r="ES7">
        <v>200</v>
      </c>
      <c r="ET7">
        <v>2.5</v>
      </c>
      <c r="EU7">
        <v>6.5</v>
      </c>
      <c r="EV7">
        <v>6</v>
      </c>
      <c r="EW7">
        <v>2.5</v>
      </c>
      <c r="EX7">
        <v>7.5</v>
      </c>
      <c r="EY7">
        <v>2</v>
      </c>
      <c r="EZ7">
        <v>7</v>
      </c>
      <c r="FA7">
        <v>8</v>
      </c>
      <c r="FB7">
        <v>2.5</v>
      </c>
      <c r="FC7">
        <v>8</v>
      </c>
      <c r="FD7">
        <v>5.5</v>
      </c>
      <c r="FE7">
        <v>5</v>
      </c>
      <c r="FF7" s="1">
        <f t="shared" si="2"/>
        <v>5.25</v>
      </c>
      <c r="GK7">
        <v>230322</v>
      </c>
      <c r="GL7">
        <v>30</v>
      </c>
      <c r="GM7">
        <v>30</v>
      </c>
      <c r="GN7">
        <v>0</v>
      </c>
      <c r="GR7">
        <v>45</v>
      </c>
      <c r="GT7" t="s">
        <v>53</v>
      </c>
      <c r="GU7">
        <v>1.87</v>
      </c>
      <c r="GV7">
        <v>0.62</v>
      </c>
      <c r="GW7">
        <v>46</v>
      </c>
      <c r="GX7">
        <v>46</v>
      </c>
      <c r="GY7">
        <v>0.43</v>
      </c>
      <c r="GZ7">
        <v>47</v>
      </c>
      <c r="HA7">
        <f>2.49/4.86</f>
        <v>0.51234567901234573</v>
      </c>
      <c r="HC7" t="s">
        <v>356</v>
      </c>
      <c r="HD7">
        <v>213.35</v>
      </c>
      <c r="HE7">
        <v>48</v>
      </c>
      <c r="HH7" t="s">
        <v>451</v>
      </c>
      <c r="HI7">
        <v>45</v>
      </c>
      <c r="HJ7">
        <v>236.2</v>
      </c>
      <c r="HL7" t="s">
        <v>356</v>
      </c>
      <c r="HM7">
        <v>-73.41</v>
      </c>
      <c r="HN7">
        <v>48</v>
      </c>
      <c r="HP7">
        <v>45</v>
      </c>
      <c r="HQ7">
        <v>-63.81</v>
      </c>
      <c r="HS7" t="s">
        <v>356</v>
      </c>
      <c r="HT7">
        <v>-73.41</v>
      </c>
      <c r="HU7">
        <f t="shared" si="1"/>
        <v>118.41</v>
      </c>
      <c r="HV7">
        <v>48</v>
      </c>
      <c r="HW7">
        <v>-42.277500000000003</v>
      </c>
      <c r="HX7">
        <v>45</v>
      </c>
      <c r="HY7">
        <v>21.532499999999999</v>
      </c>
      <c r="HZ7">
        <v>45</v>
      </c>
      <c r="IB7">
        <v>150</v>
      </c>
      <c r="IC7">
        <v>0</v>
      </c>
      <c r="ID7">
        <v>3.5</v>
      </c>
      <c r="IE7">
        <v>0</v>
      </c>
      <c r="IF7">
        <v>1</v>
      </c>
      <c r="IG7">
        <v>0</v>
      </c>
      <c r="IH7">
        <v>1.5</v>
      </c>
      <c r="II7">
        <v>0</v>
      </c>
      <c r="IJ7">
        <v>1.5</v>
      </c>
      <c r="IK7">
        <v>1</v>
      </c>
      <c r="IL7">
        <v>2.5</v>
      </c>
      <c r="IM7">
        <v>1.5</v>
      </c>
      <c r="IN7">
        <v>2</v>
      </c>
      <c r="IO7">
        <v>0.5</v>
      </c>
      <c r="IP7">
        <v>1.5</v>
      </c>
      <c r="IQ7">
        <v>1</v>
      </c>
      <c r="IR7">
        <v>1.5</v>
      </c>
      <c r="IS7">
        <v>1</v>
      </c>
      <c r="IT7">
        <v>1.5</v>
      </c>
      <c r="IU7">
        <v>1</v>
      </c>
      <c r="IV7">
        <v>1.5</v>
      </c>
      <c r="IW7">
        <v>1</v>
      </c>
    </row>
    <row r="8" spans="1:257" ht="13.15" x14ac:dyDescent="0.4">
      <c r="A8">
        <v>2112212</v>
      </c>
      <c r="B8">
        <v>42</v>
      </c>
      <c r="C8">
        <v>42</v>
      </c>
      <c r="H8">
        <v>7</v>
      </c>
      <c r="J8">
        <v>7</v>
      </c>
      <c r="K8">
        <v>1.1399999999999999</v>
      </c>
      <c r="M8">
        <v>7</v>
      </c>
      <c r="N8">
        <v>0.54</v>
      </c>
      <c r="P8" t="s">
        <v>382</v>
      </c>
      <c r="Q8">
        <v>630.29999999999995</v>
      </c>
      <c r="R8">
        <v>7</v>
      </c>
      <c r="T8" t="s">
        <v>358</v>
      </c>
      <c r="U8">
        <v>-61.61</v>
      </c>
      <c r="V8">
        <v>7</v>
      </c>
      <c r="X8">
        <v>-32.31</v>
      </c>
      <c r="Y8">
        <v>7</v>
      </c>
      <c r="AA8">
        <v>29.3</v>
      </c>
      <c r="AB8">
        <v>7</v>
      </c>
      <c r="AD8">
        <v>200</v>
      </c>
      <c r="AE8">
        <v>16.5</v>
      </c>
      <c r="AF8">
        <v>25.5</v>
      </c>
      <c r="AG8">
        <v>23.5</v>
      </c>
      <c r="AH8">
        <v>19</v>
      </c>
      <c r="AI8">
        <v>3</v>
      </c>
      <c r="AJ8">
        <v>9.5</v>
      </c>
      <c r="AK8">
        <v>8.5</v>
      </c>
      <c r="AL8">
        <v>22</v>
      </c>
      <c r="AM8">
        <v>7.5</v>
      </c>
      <c r="AN8">
        <v>12.5</v>
      </c>
      <c r="AO8">
        <v>4.5</v>
      </c>
      <c r="AP8">
        <v>16.5</v>
      </c>
      <c r="AQ8">
        <v>21.5</v>
      </c>
      <c r="AR8">
        <v>15.5</v>
      </c>
      <c r="AS8">
        <v>6.5</v>
      </c>
      <c r="AT8">
        <v>21.5</v>
      </c>
      <c r="AU8">
        <v>15</v>
      </c>
      <c r="AV8">
        <v>3</v>
      </c>
      <c r="AW8">
        <v>14</v>
      </c>
      <c r="AX8">
        <v>19.5</v>
      </c>
      <c r="AY8">
        <v>10</v>
      </c>
      <c r="AZ8">
        <v>4.5</v>
      </c>
      <c r="BA8">
        <v>8.5</v>
      </c>
      <c r="BB8">
        <v>16</v>
      </c>
      <c r="BC8">
        <v>4</v>
      </c>
      <c r="BD8">
        <v>11.5</v>
      </c>
      <c r="BE8">
        <v>13.5</v>
      </c>
      <c r="BF8">
        <v>8.5</v>
      </c>
      <c r="BG8">
        <v>29.5</v>
      </c>
      <c r="BH8">
        <v>8.5</v>
      </c>
      <c r="BI8">
        <v>18.5</v>
      </c>
      <c r="BJ8">
        <v>21.5</v>
      </c>
      <c r="BK8">
        <v>1.5</v>
      </c>
      <c r="BL8">
        <v>31.5</v>
      </c>
      <c r="BM8">
        <v>24.5</v>
      </c>
      <c r="BN8">
        <v>34</v>
      </c>
      <c r="BO8">
        <v>7.5</v>
      </c>
      <c r="BP8">
        <v>22</v>
      </c>
      <c r="BQ8">
        <v>17.5</v>
      </c>
      <c r="BR8">
        <v>14.5</v>
      </c>
      <c r="BS8">
        <v>11</v>
      </c>
      <c r="BT8">
        <v>28</v>
      </c>
      <c r="BU8">
        <v>18</v>
      </c>
      <c r="BV8">
        <v>22</v>
      </c>
      <c r="BW8">
        <f>27/2</f>
        <v>13.5</v>
      </c>
      <c r="BX8">
        <v>16</v>
      </c>
      <c r="BY8">
        <v>28.5</v>
      </c>
      <c r="BZ8">
        <v>28</v>
      </c>
      <c r="CA8">
        <v>13.5</v>
      </c>
      <c r="CB8">
        <v>5</v>
      </c>
      <c r="CC8">
        <v>11</v>
      </c>
      <c r="CD8">
        <v>20.5</v>
      </c>
      <c r="CE8">
        <v>8</v>
      </c>
      <c r="CF8">
        <v>9.5</v>
      </c>
      <c r="CG8" s="1">
        <f t="shared" si="3"/>
        <v>15.277777777777779</v>
      </c>
      <c r="CW8">
        <v>310822</v>
      </c>
      <c r="CX8">
        <v>56</v>
      </c>
      <c r="CY8">
        <v>56</v>
      </c>
      <c r="CZ8">
        <v>0</v>
      </c>
      <c r="DA8">
        <v>7</v>
      </c>
      <c r="DB8">
        <v>49</v>
      </c>
      <c r="DC8">
        <v>0</v>
      </c>
      <c r="DD8">
        <v>19</v>
      </c>
      <c r="DF8">
        <v>20</v>
      </c>
      <c r="DG8">
        <f>47.78/83.31</f>
        <v>0.57352058576401388</v>
      </c>
      <c r="DI8">
        <v>20</v>
      </c>
      <c r="DJ8">
        <v>421.9</v>
      </c>
      <c r="DL8">
        <v>20</v>
      </c>
      <c r="DM8">
        <v>4.8899999999999997</v>
      </c>
      <c r="DO8" t="s">
        <v>359</v>
      </c>
      <c r="DP8">
        <v>24</v>
      </c>
      <c r="DQ8">
        <v>196.47</v>
      </c>
      <c r="DR8">
        <v>18</v>
      </c>
      <c r="DS8">
        <v>444.9</v>
      </c>
      <c r="DV8" t="s">
        <v>359</v>
      </c>
      <c r="DW8">
        <v>-54.17</v>
      </c>
      <c r="DX8">
        <v>24</v>
      </c>
      <c r="DZ8" t="s">
        <v>182</v>
      </c>
      <c r="EA8">
        <v>18</v>
      </c>
      <c r="EB8">
        <v>-67.91</v>
      </c>
      <c r="EE8" t="s">
        <v>359</v>
      </c>
      <c r="EF8">
        <v>-44.439700000000002</v>
      </c>
      <c r="EG8">
        <v>24</v>
      </c>
      <c r="EI8" t="s">
        <v>182</v>
      </c>
      <c r="EJ8">
        <v>-45.04</v>
      </c>
      <c r="EK8">
        <v>18</v>
      </c>
      <c r="EM8" t="s">
        <v>182</v>
      </c>
      <c r="EN8">
        <v>-67.91</v>
      </c>
      <c r="EP8" t="s">
        <v>182</v>
      </c>
      <c r="EQ8">
        <f t="shared" si="0"/>
        <v>22.869999999999997</v>
      </c>
      <c r="ES8">
        <v>250</v>
      </c>
      <c r="ET8">
        <v>3.5</v>
      </c>
      <c r="EU8">
        <v>8</v>
      </c>
      <c r="EV8">
        <v>9</v>
      </c>
      <c r="EW8">
        <v>3.5</v>
      </c>
      <c r="EX8">
        <v>8</v>
      </c>
      <c r="EY8">
        <v>3</v>
      </c>
      <c r="EZ8">
        <v>9</v>
      </c>
      <c r="FA8">
        <v>9.5</v>
      </c>
      <c r="FB8">
        <v>3.5</v>
      </c>
      <c r="FC8">
        <v>10</v>
      </c>
      <c r="FD8">
        <v>6</v>
      </c>
      <c r="FE8">
        <v>6</v>
      </c>
      <c r="FF8" s="1">
        <f t="shared" si="2"/>
        <v>6.583333333333333</v>
      </c>
      <c r="GK8">
        <v>2303222</v>
      </c>
      <c r="GL8">
        <v>12</v>
      </c>
      <c r="GM8">
        <v>12</v>
      </c>
      <c r="GN8">
        <v>0</v>
      </c>
      <c r="GO8">
        <v>3</v>
      </c>
      <c r="GP8">
        <v>9</v>
      </c>
      <c r="GQ8">
        <v>0</v>
      </c>
      <c r="GR8">
        <v>45</v>
      </c>
      <c r="GT8" t="s">
        <v>56</v>
      </c>
      <c r="GU8">
        <v>1.06</v>
      </c>
      <c r="GV8">
        <v>0.54</v>
      </c>
      <c r="GW8">
        <v>47</v>
      </c>
      <c r="GX8">
        <v>46</v>
      </c>
      <c r="GY8" s="8">
        <v>1.18</v>
      </c>
      <c r="GZ8">
        <v>49</v>
      </c>
      <c r="HA8">
        <v>0.48</v>
      </c>
      <c r="HC8" t="s">
        <v>360</v>
      </c>
      <c r="HD8">
        <v>263.77</v>
      </c>
      <c r="HE8">
        <v>48</v>
      </c>
      <c r="HH8" t="s">
        <v>454</v>
      </c>
      <c r="HI8">
        <v>45</v>
      </c>
      <c r="HJ8">
        <v>245.5</v>
      </c>
      <c r="HL8" t="s">
        <v>360</v>
      </c>
      <c r="HM8">
        <v>-70.41</v>
      </c>
      <c r="HN8">
        <v>48</v>
      </c>
      <c r="HP8">
        <v>45</v>
      </c>
      <c r="HQ8">
        <v>-54.31</v>
      </c>
      <c r="HS8" t="s">
        <v>360</v>
      </c>
      <c r="HT8">
        <v>-70.41</v>
      </c>
      <c r="HU8">
        <f t="shared" si="1"/>
        <v>115.41</v>
      </c>
      <c r="HV8">
        <v>48</v>
      </c>
      <c r="HW8">
        <v>-44.753999999999998</v>
      </c>
      <c r="HX8">
        <v>45</v>
      </c>
      <c r="HY8">
        <v>9.5559999999999992</v>
      </c>
      <c r="HZ8">
        <v>45</v>
      </c>
      <c r="IB8">
        <v>200</v>
      </c>
      <c r="IC8">
        <v>0</v>
      </c>
      <c r="ID8">
        <v>5</v>
      </c>
      <c r="IE8">
        <v>0</v>
      </c>
      <c r="IF8">
        <v>1.5</v>
      </c>
      <c r="IG8">
        <v>1</v>
      </c>
      <c r="IH8">
        <v>3</v>
      </c>
      <c r="II8">
        <v>1</v>
      </c>
      <c r="IJ8">
        <v>5</v>
      </c>
      <c r="IK8">
        <v>1.5</v>
      </c>
      <c r="IL8">
        <v>4.5</v>
      </c>
      <c r="IM8">
        <v>3</v>
      </c>
      <c r="IN8">
        <v>3.5</v>
      </c>
      <c r="IO8">
        <v>1</v>
      </c>
      <c r="IP8">
        <v>1.5</v>
      </c>
      <c r="IQ8">
        <v>1.5</v>
      </c>
      <c r="IR8">
        <v>1.5</v>
      </c>
      <c r="IS8">
        <v>1.5</v>
      </c>
      <c r="IT8">
        <v>1.5</v>
      </c>
      <c r="IU8">
        <v>1.5</v>
      </c>
      <c r="IV8">
        <v>1.5</v>
      </c>
      <c r="IW8">
        <v>1.5</v>
      </c>
    </row>
    <row r="9" spans="1:257" ht="13.15" x14ac:dyDescent="0.4">
      <c r="A9" s="2">
        <v>231221</v>
      </c>
      <c r="B9" s="2">
        <v>30</v>
      </c>
      <c r="C9" s="2">
        <v>30</v>
      </c>
      <c r="D9" s="2">
        <v>1</v>
      </c>
      <c r="E9" s="2">
        <v>5</v>
      </c>
      <c r="F9" s="2">
        <v>25</v>
      </c>
      <c r="G9" s="2">
        <v>1</v>
      </c>
      <c r="H9" s="2">
        <v>7</v>
      </c>
      <c r="J9">
        <v>7</v>
      </c>
      <c r="K9">
        <v>4.5599999999999996</v>
      </c>
      <c r="M9">
        <v>7</v>
      </c>
      <c r="N9">
        <v>0.44</v>
      </c>
      <c r="P9" t="s">
        <v>385</v>
      </c>
      <c r="Q9">
        <v>381.8</v>
      </c>
      <c r="R9">
        <v>7</v>
      </c>
      <c r="T9" t="s">
        <v>362</v>
      </c>
      <c r="U9">
        <v>-58.91</v>
      </c>
      <c r="V9">
        <v>7</v>
      </c>
      <c r="X9">
        <v>-38.700000000000003</v>
      </c>
      <c r="Y9">
        <v>7</v>
      </c>
      <c r="AA9">
        <v>20.21</v>
      </c>
      <c r="AB9">
        <v>7</v>
      </c>
      <c r="AD9">
        <v>250</v>
      </c>
      <c r="AE9">
        <v>6</v>
      </c>
      <c r="AF9">
        <v>28</v>
      </c>
      <c r="AG9">
        <v>26</v>
      </c>
      <c r="AH9">
        <v>21.5</v>
      </c>
      <c r="AI9">
        <v>4.5</v>
      </c>
      <c r="AJ9">
        <v>12</v>
      </c>
      <c r="AK9">
        <v>11.5</v>
      </c>
      <c r="AL9">
        <v>23</v>
      </c>
      <c r="AM9">
        <v>10</v>
      </c>
      <c r="AN9">
        <v>15</v>
      </c>
      <c r="AO9">
        <v>5.5</v>
      </c>
      <c r="AP9">
        <v>20</v>
      </c>
      <c r="AQ9">
        <v>24.5</v>
      </c>
      <c r="AR9">
        <v>17.5</v>
      </c>
      <c r="AS9">
        <v>2.5</v>
      </c>
      <c r="AT9">
        <v>23.5</v>
      </c>
      <c r="AU9">
        <v>13</v>
      </c>
      <c r="AV9">
        <v>3.5</v>
      </c>
      <c r="AW9">
        <v>16</v>
      </c>
      <c r="AX9">
        <v>21</v>
      </c>
      <c r="AY9">
        <v>12</v>
      </c>
      <c r="AZ9">
        <v>6.5</v>
      </c>
      <c r="BA9">
        <v>12</v>
      </c>
      <c r="BB9">
        <v>14.5</v>
      </c>
      <c r="BC9">
        <v>3.5</v>
      </c>
      <c r="BD9">
        <v>14</v>
      </c>
      <c r="BE9">
        <v>16.5</v>
      </c>
      <c r="BF9">
        <v>8</v>
      </c>
      <c r="BG9">
        <v>32.5</v>
      </c>
      <c r="BH9">
        <v>10</v>
      </c>
      <c r="BI9">
        <v>21.5</v>
      </c>
      <c r="BJ9">
        <v>19</v>
      </c>
      <c r="BK9">
        <v>2</v>
      </c>
      <c r="BL9">
        <v>35</v>
      </c>
      <c r="BM9">
        <v>23</v>
      </c>
      <c r="BN9">
        <v>34</v>
      </c>
      <c r="BO9">
        <v>8</v>
      </c>
      <c r="BP9">
        <v>26</v>
      </c>
      <c r="BQ9">
        <v>19</v>
      </c>
      <c r="BR9">
        <v>20</v>
      </c>
      <c r="BS9">
        <v>14</v>
      </c>
      <c r="BT9">
        <v>30</v>
      </c>
      <c r="BU9">
        <v>13</v>
      </c>
      <c r="BV9">
        <v>27</v>
      </c>
      <c r="BW9">
        <v>23</v>
      </c>
      <c r="BX9">
        <v>20.5</v>
      </c>
      <c r="BY9">
        <v>31.5</v>
      </c>
      <c r="BZ9">
        <v>32</v>
      </c>
      <c r="CA9">
        <v>15</v>
      </c>
      <c r="CB9">
        <v>7</v>
      </c>
      <c r="CC9">
        <v>13</v>
      </c>
      <c r="CD9">
        <v>24.5</v>
      </c>
      <c r="CE9">
        <v>9.5</v>
      </c>
      <c r="CF9">
        <v>11.5</v>
      </c>
      <c r="CG9" s="1">
        <f t="shared" si="3"/>
        <v>16.907407407407408</v>
      </c>
      <c r="CW9" s="2">
        <v>109222</v>
      </c>
      <c r="CX9" s="2">
        <v>42</v>
      </c>
      <c r="CY9" s="2">
        <v>42</v>
      </c>
      <c r="CZ9" s="2">
        <v>2</v>
      </c>
      <c r="DD9">
        <v>19</v>
      </c>
      <c r="DF9">
        <v>20</v>
      </c>
      <c r="DG9">
        <f>9.39/14.08</f>
        <v>0.66690340909090917</v>
      </c>
      <c r="DI9">
        <v>20</v>
      </c>
      <c r="DJ9">
        <v>387.25</v>
      </c>
      <c r="DL9">
        <v>20</v>
      </c>
      <c r="DM9">
        <v>1.28</v>
      </c>
      <c r="DO9" t="s">
        <v>363</v>
      </c>
      <c r="DP9">
        <v>24</v>
      </c>
      <c r="DQ9">
        <v>282.35000000000002</v>
      </c>
      <c r="DR9">
        <v>18</v>
      </c>
      <c r="DS9">
        <v>643.4</v>
      </c>
      <c r="DV9" t="s">
        <v>363</v>
      </c>
      <c r="DW9">
        <v>-63.83</v>
      </c>
      <c r="DX9">
        <v>24</v>
      </c>
      <c r="DZ9" t="s">
        <v>888</v>
      </c>
      <c r="EA9">
        <v>18</v>
      </c>
      <c r="EB9">
        <v>-60.43</v>
      </c>
      <c r="EE9" t="s">
        <v>363</v>
      </c>
      <c r="EF9">
        <v>-40.609000000000002</v>
      </c>
      <c r="EG9">
        <v>24</v>
      </c>
      <c r="EI9" t="s">
        <v>888</v>
      </c>
      <c r="EJ9">
        <v>-40.119999999999997</v>
      </c>
      <c r="EK9">
        <v>18</v>
      </c>
      <c r="EM9" t="s">
        <v>888</v>
      </c>
      <c r="EN9">
        <v>-60.43</v>
      </c>
      <c r="EP9" t="s">
        <v>888</v>
      </c>
      <c r="EQ9">
        <f t="shared" si="0"/>
        <v>20.310000000000002</v>
      </c>
      <c r="ES9">
        <v>300</v>
      </c>
      <c r="ET9">
        <v>4</v>
      </c>
      <c r="EU9">
        <v>8.5</v>
      </c>
      <c r="EV9">
        <v>10.5</v>
      </c>
      <c r="EW9">
        <v>4</v>
      </c>
      <c r="EX9">
        <v>9.5</v>
      </c>
      <c r="EY9">
        <v>3.5</v>
      </c>
      <c r="EZ9">
        <v>9.5</v>
      </c>
      <c r="FA9">
        <v>9.5</v>
      </c>
      <c r="FB9">
        <v>4.5</v>
      </c>
      <c r="FC9">
        <v>12</v>
      </c>
      <c r="FD9">
        <v>7.5</v>
      </c>
      <c r="FE9">
        <v>6</v>
      </c>
      <c r="FF9" s="1">
        <f t="shared" si="2"/>
        <v>7.416666666666667</v>
      </c>
      <c r="GK9">
        <v>230123</v>
      </c>
      <c r="GL9">
        <v>30</v>
      </c>
      <c r="GM9">
        <v>30</v>
      </c>
      <c r="GN9">
        <v>0</v>
      </c>
      <c r="GR9">
        <v>45</v>
      </c>
      <c r="GT9" t="s">
        <v>58</v>
      </c>
      <c r="GU9">
        <v>0.67</v>
      </c>
      <c r="GV9">
        <v>0.48</v>
      </c>
      <c r="GW9">
        <v>49</v>
      </c>
      <c r="GX9">
        <v>46</v>
      </c>
      <c r="GY9" s="8">
        <v>0.8</v>
      </c>
      <c r="GZ9">
        <v>50</v>
      </c>
      <c r="HA9">
        <v>0.5</v>
      </c>
      <c r="HC9" t="s">
        <v>364</v>
      </c>
      <c r="HD9">
        <v>242.7</v>
      </c>
      <c r="HE9">
        <v>50</v>
      </c>
      <c r="HH9" t="s">
        <v>457</v>
      </c>
      <c r="HI9">
        <v>45</v>
      </c>
      <c r="HJ9">
        <v>218.87</v>
      </c>
      <c r="HL9" t="s">
        <v>364</v>
      </c>
      <c r="HM9">
        <v>-57.98</v>
      </c>
      <c r="HN9">
        <v>50</v>
      </c>
      <c r="HP9">
        <v>45</v>
      </c>
      <c r="HQ9">
        <v>-56.24</v>
      </c>
      <c r="HS9" t="s">
        <v>364</v>
      </c>
      <c r="HT9">
        <v>-57.98</v>
      </c>
      <c r="HU9">
        <f t="shared" si="1"/>
        <v>102.97999999999999</v>
      </c>
      <c r="HV9">
        <v>50</v>
      </c>
      <c r="HW9">
        <v>-42.614699999999999</v>
      </c>
      <c r="HX9">
        <v>45</v>
      </c>
      <c r="HY9">
        <v>13.625299999999999</v>
      </c>
      <c r="HZ9">
        <v>45</v>
      </c>
      <c r="IB9">
        <v>250</v>
      </c>
      <c r="IC9">
        <v>0</v>
      </c>
      <c r="ID9">
        <v>5.5</v>
      </c>
      <c r="IE9">
        <v>0</v>
      </c>
      <c r="IF9">
        <v>3.5</v>
      </c>
      <c r="IG9">
        <v>1</v>
      </c>
      <c r="IH9">
        <v>3.5</v>
      </c>
      <c r="II9">
        <v>1</v>
      </c>
      <c r="IJ9">
        <v>7</v>
      </c>
      <c r="IK9">
        <v>1</v>
      </c>
      <c r="IL9">
        <v>6</v>
      </c>
      <c r="IM9">
        <v>3</v>
      </c>
      <c r="IN9">
        <v>4.5</v>
      </c>
      <c r="IO9">
        <v>2</v>
      </c>
      <c r="IP9">
        <v>3</v>
      </c>
      <c r="IQ9">
        <v>2</v>
      </c>
      <c r="IR9">
        <v>2</v>
      </c>
      <c r="IS9">
        <v>3</v>
      </c>
      <c r="IT9">
        <v>3</v>
      </c>
      <c r="IU9">
        <v>2</v>
      </c>
      <c r="IV9">
        <v>2</v>
      </c>
      <c r="IW9">
        <v>3</v>
      </c>
    </row>
    <row r="10" spans="1:257" ht="13.15" x14ac:dyDescent="0.4">
      <c r="A10">
        <v>2312212</v>
      </c>
      <c r="B10">
        <v>30</v>
      </c>
      <c r="C10">
        <v>30</v>
      </c>
      <c r="H10">
        <v>7</v>
      </c>
      <c r="J10">
        <v>7</v>
      </c>
      <c r="K10">
        <v>1.93</v>
      </c>
      <c r="M10">
        <v>8</v>
      </c>
      <c r="N10">
        <v>0.27</v>
      </c>
      <c r="P10" t="s">
        <v>388</v>
      </c>
      <c r="Q10">
        <v>941</v>
      </c>
      <c r="R10">
        <v>7</v>
      </c>
      <c r="T10" t="s">
        <v>366</v>
      </c>
      <c r="U10">
        <v>-54.51</v>
      </c>
      <c r="V10">
        <v>7</v>
      </c>
      <c r="X10">
        <v>-28.92</v>
      </c>
      <c r="Y10">
        <v>7</v>
      </c>
      <c r="AA10">
        <v>25.59</v>
      </c>
      <c r="AB10">
        <v>7</v>
      </c>
      <c r="AD10">
        <v>300</v>
      </c>
      <c r="AE10">
        <v>3</v>
      </c>
      <c r="AF10">
        <v>27</v>
      </c>
      <c r="AG10">
        <v>11</v>
      </c>
      <c r="AH10">
        <v>23</v>
      </c>
      <c r="AI10">
        <v>5.5</v>
      </c>
      <c r="AJ10">
        <v>14.5</v>
      </c>
      <c r="AK10">
        <v>12</v>
      </c>
      <c r="AL10">
        <v>24.5</v>
      </c>
      <c r="AM10">
        <v>11</v>
      </c>
      <c r="AN10">
        <v>15</v>
      </c>
      <c r="AO10">
        <v>6.5</v>
      </c>
      <c r="AP10">
        <v>23.5</v>
      </c>
      <c r="AQ10">
        <v>15.5</v>
      </c>
      <c r="AR10">
        <v>19.5</v>
      </c>
      <c r="AS10">
        <v>2</v>
      </c>
      <c r="AT10">
        <v>20</v>
      </c>
      <c r="AU10">
        <v>6.5</v>
      </c>
      <c r="AV10">
        <v>4</v>
      </c>
      <c r="AW10">
        <v>6</v>
      </c>
      <c r="AX10">
        <v>23</v>
      </c>
      <c r="AY10">
        <v>13.5</v>
      </c>
      <c r="AZ10">
        <v>7.5</v>
      </c>
      <c r="BA10">
        <v>13</v>
      </c>
      <c r="BB10">
        <v>11.5</v>
      </c>
      <c r="BC10">
        <v>3</v>
      </c>
      <c r="BD10">
        <v>17</v>
      </c>
      <c r="BE10">
        <v>18.5</v>
      </c>
      <c r="BF10">
        <v>5</v>
      </c>
      <c r="BG10">
        <v>32.5</v>
      </c>
      <c r="BH10">
        <v>11.5</v>
      </c>
      <c r="BI10">
        <v>20.5</v>
      </c>
      <c r="BJ10">
        <v>5</v>
      </c>
      <c r="BK10">
        <v>2.5</v>
      </c>
      <c r="BL10">
        <v>37.5</v>
      </c>
      <c r="BM10">
        <v>10.5</v>
      </c>
      <c r="BN10">
        <v>17</v>
      </c>
      <c r="BO10">
        <v>9.5</v>
      </c>
      <c r="BP10">
        <v>28.5</v>
      </c>
      <c r="BQ10">
        <v>23</v>
      </c>
      <c r="BR10">
        <v>23.5</v>
      </c>
      <c r="BS10">
        <v>16.5</v>
      </c>
      <c r="BT10">
        <v>17.5</v>
      </c>
      <c r="BU10">
        <v>8</v>
      </c>
      <c r="BV10">
        <v>30</v>
      </c>
      <c r="BW10">
        <v>30</v>
      </c>
      <c r="BX10">
        <v>22.5</v>
      </c>
      <c r="BY10">
        <v>35.5</v>
      </c>
      <c r="BZ10">
        <v>35</v>
      </c>
      <c r="CA10">
        <v>16</v>
      </c>
      <c r="CB10">
        <v>8.5</v>
      </c>
      <c r="CC10">
        <v>10.5</v>
      </c>
      <c r="CD10">
        <v>26.5</v>
      </c>
      <c r="CE10">
        <v>12</v>
      </c>
      <c r="CF10">
        <v>16</v>
      </c>
      <c r="CG10" s="1">
        <f t="shared" si="3"/>
        <v>16.074074074074073</v>
      </c>
      <c r="CW10" s="2">
        <v>260722</v>
      </c>
      <c r="CX10" s="2">
        <v>42</v>
      </c>
      <c r="CY10" s="2">
        <v>56</v>
      </c>
      <c r="CZ10" s="2">
        <v>2</v>
      </c>
      <c r="DA10">
        <v>4</v>
      </c>
      <c r="DB10">
        <v>24</v>
      </c>
      <c r="DC10">
        <v>2</v>
      </c>
      <c r="DD10">
        <v>20</v>
      </c>
      <c r="DF10">
        <v>20</v>
      </c>
      <c r="DG10">
        <f>2.86/11.08</f>
        <v>0.25812274368231047</v>
      </c>
      <c r="DI10">
        <v>20</v>
      </c>
      <c r="DJ10">
        <v>441.5</v>
      </c>
      <c r="DL10">
        <v>20</v>
      </c>
      <c r="DM10">
        <v>1.03</v>
      </c>
      <c r="DO10" t="s">
        <v>367</v>
      </c>
      <c r="DP10">
        <v>24</v>
      </c>
      <c r="DQ10">
        <v>228.82</v>
      </c>
      <c r="DR10">
        <v>18</v>
      </c>
      <c r="DS10">
        <v>621.5</v>
      </c>
      <c r="DV10" t="s">
        <v>367</v>
      </c>
      <c r="DW10">
        <v>-61.24</v>
      </c>
      <c r="DX10">
        <v>24</v>
      </c>
      <c r="DZ10" t="s">
        <v>889</v>
      </c>
      <c r="EA10">
        <v>18</v>
      </c>
      <c r="EB10">
        <v>-56</v>
      </c>
      <c r="EE10" t="s">
        <v>367</v>
      </c>
      <c r="EF10">
        <v>-42.905999999999999</v>
      </c>
      <c r="EG10">
        <v>24</v>
      </c>
      <c r="EI10" t="s">
        <v>889</v>
      </c>
      <c r="EJ10">
        <v>-39.32</v>
      </c>
      <c r="EK10">
        <v>18</v>
      </c>
      <c r="EM10" t="s">
        <v>889</v>
      </c>
      <c r="EN10">
        <v>-56</v>
      </c>
      <c r="EP10" t="s">
        <v>889</v>
      </c>
      <c r="EQ10">
        <f t="shared" si="0"/>
        <v>16.68</v>
      </c>
      <c r="ES10">
        <v>350</v>
      </c>
      <c r="ET10" s="8">
        <v>5.5</v>
      </c>
      <c r="EU10" s="8">
        <v>10.5</v>
      </c>
      <c r="EV10" s="8">
        <v>12</v>
      </c>
      <c r="EW10">
        <v>5</v>
      </c>
      <c r="EX10" s="8">
        <v>10</v>
      </c>
      <c r="EY10" s="8">
        <v>4</v>
      </c>
      <c r="EZ10">
        <v>11</v>
      </c>
      <c r="FA10">
        <v>11</v>
      </c>
      <c r="FB10">
        <v>5</v>
      </c>
      <c r="FC10">
        <v>12.5</v>
      </c>
      <c r="FD10">
        <v>7.5</v>
      </c>
      <c r="FE10">
        <v>7</v>
      </c>
      <c r="FF10" s="1">
        <f t="shared" si="2"/>
        <v>8.4166666666666661</v>
      </c>
      <c r="GK10">
        <v>90223</v>
      </c>
      <c r="GL10">
        <v>42</v>
      </c>
      <c r="GM10">
        <v>42</v>
      </c>
      <c r="GN10">
        <v>0</v>
      </c>
      <c r="GR10">
        <v>45</v>
      </c>
      <c r="GT10" t="s">
        <v>61</v>
      </c>
      <c r="GU10">
        <v>0.63</v>
      </c>
      <c r="GV10">
        <v>0.86</v>
      </c>
      <c r="GW10">
        <v>50</v>
      </c>
      <c r="GX10">
        <v>47</v>
      </c>
      <c r="GY10">
        <v>1.06</v>
      </c>
      <c r="GZ10">
        <v>50</v>
      </c>
      <c r="HA10">
        <v>0.86</v>
      </c>
      <c r="HC10" t="s">
        <v>368</v>
      </c>
      <c r="HD10">
        <v>185.35</v>
      </c>
      <c r="HE10">
        <v>50</v>
      </c>
      <c r="HH10" t="s">
        <v>460</v>
      </c>
      <c r="HI10">
        <v>45</v>
      </c>
      <c r="HJ10">
        <v>160.44999999999999</v>
      </c>
      <c r="HL10" t="s">
        <v>368</v>
      </c>
      <c r="HM10">
        <v>-64.75</v>
      </c>
      <c r="HN10">
        <v>50</v>
      </c>
      <c r="HP10">
        <v>45</v>
      </c>
      <c r="HQ10">
        <v>-70.7</v>
      </c>
      <c r="HS10" t="s">
        <v>368</v>
      </c>
      <c r="HT10">
        <v>-64.75</v>
      </c>
      <c r="HU10">
        <f t="shared" si="1"/>
        <v>109.75</v>
      </c>
      <c r="HV10">
        <v>50</v>
      </c>
      <c r="HW10">
        <v>-37.512900000000002</v>
      </c>
      <c r="HX10">
        <v>45</v>
      </c>
      <c r="HY10">
        <v>33.187100000000001</v>
      </c>
      <c r="HZ10">
        <v>45</v>
      </c>
      <c r="IB10">
        <v>300</v>
      </c>
      <c r="IC10">
        <v>0.5</v>
      </c>
      <c r="ID10">
        <v>6</v>
      </c>
      <c r="IE10">
        <v>0</v>
      </c>
      <c r="IF10">
        <v>4</v>
      </c>
      <c r="IG10">
        <v>2</v>
      </c>
      <c r="IH10">
        <v>3.5</v>
      </c>
      <c r="II10">
        <v>1.5</v>
      </c>
      <c r="IJ10">
        <v>8</v>
      </c>
      <c r="IK10">
        <v>2</v>
      </c>
      <c r="IL10">
        <v>8</v>
      </c>
      <c r="IM10">
        <v>4</v>
      </c>
      <c r="IN10">
        <v>6.5</v>
      </c>
      <c r="IO10">
        <v>3</v>
      </c>
      <c r="IP10">
        <v>2</v>
      </c>
      <c r="IQ10">
        <v>3</v>
      </c>
      <c r="IR10">
        <v>2.5</v>
      </c>
      <c r="IS10">
        <v>3</v>
      </c>
      <c r="IT10">
        <v>2</v>
      </c>
      <c r="IU10">
        <v>3</v>
      </c>
      <c r="IV10">
        <v>2.5</v>
      </c>
      <c r="IW10">
        <v>3</v>
      </c>
    </row>
    <row r="11" spans="1:257" ht="13.15" x14ac:dyDescent="0.4">
      <c r="A11" s="2">
        <v>180122</v>
      </c>
      <c r="B11" s="2">
        <v>12</v>
      </c>
      <c r="C11" s="2">
        <v>12</v>
      </c>
      <c r="D11" s="2">
        <v>1</v>
      </c>
      <c r="E11" s="2">
        <v>3</v>
      </c>
      <c r="F11" s="2">
        <v>9</v>
      </c>
      <c r="G11" s="2">
        <v>1</v>
      </c>
      <c r="H11" s="2">
        <v>7</v>
      </c>
      <c r="J11">
        <v>7</v>
      </c>
      <c r="K11">
        <v>2.75</v>
      </c>
      <c r="M11">
        <v>8</v>
      </c>
      <c r="N11">
        <v>0.38</v>
      </c>
      <c r="P11" t="s">
        <v>391</v>
      </c>
      <c r="Q11">
        <v>717</v>
      </c>
      <c r="R11">
        <v>7</v>
      </c>
      <c r="T11" t="s">
        <v>370</v>
      </c>
      <c r="U11">
        <v>-53.42</v>
      </c>
      <c r="V11">
        <v>7</v>
      </c>
      <c r="X11">
        <v>-41.37</v>
      </c>
      <c r="Y11">
        <v>7</v>
      </c>
      <c r="AA11">
        <v>12.05</v>
      </c>
      <c r="AB11">
        <v>7</v>
      </c>
      <c r="AD11">
        <v>350</v>
      </c>
      <c r="AE11">
        <v>2.5</v>
      </c>
      <c r="AF11">
        <v>2.5</v>
      </c>
      <c r="AG11">
        <v>2.5</v>
      </c>
      <c r="AH11">
        <v>11</v>
      </c>
      <c r="AI11">
        <v>6.5</v>
      </c>
      <c r="AJ11">
        <v>10.5</v>
      </c>
      <c r="AK11">
        <v>10</v>
      </c>
      <c r="AL11">
        <v>25.5</v>
      </c>
      <c r="AM11">
        <v>13</v>
      </c>
      <c r="AN11">
        <v>15.5</v>
      </c>
      <c r="AO11">
        <v>7.5</v>
      </c>
      <c r="AP11">
        <v>25</v>
      </c>
      <c r="AQ11">
        <v>11</v>
      </c>
      <c r="AR11">
        <v>21</v>
      </c>
      <c r="AS11">
        <v>1.5</v>
      </c>
      <c r="AT11">
        <v>8</v>
      </c>
      <c r="AU11">
        <v>3</v>
      </c>
      <c r="AV11">
        <v>4</v>
      </c>
      <c r="AW11">
        <v>6</v>
      </c>
      <c r="AX11">
        <v>17</v>
      </c>
      <c r="AY11">
        <v>14.5</v>
      </c>
      <c r="AZ11">
        <v>9</v>
      </c>
      <c r="BA11">
        <v>15</v>
      </c>
      <c r="BB11">
        <v>4.5</v>
      </c>
      <c r="BC11">
        <v>2</v>
      </c>
      <c r="BD11">
        <v>14.5</v>
      </c>
      <c r="BE11">
        <v>20</v>
      </c>
      <c r="BF11">
        <v>4.5</v>
      </c>
      <c r="BG11">
        <v>33</v>
      </c>
      <c r="BH11">
        <v>14.5</v>
      </c>
      <c r="BI11">
        <v>21</v>
      </c>
      <c r="BJ11">
        <v>3.5</v>
      </c>
      <c r="BK11">
        <v>2</v>
      </c>
      <c r="BL11">
        <v>38.5</v>
      </c>
      <c r="BM11">
        <v>3.5</v>
      </c>
      <c r="BN11">
        <v>5</v>
      </c>
      <c r="BO11">
        <v>10.5</v>
      </c>
      <c r="BP11">
        <v>30</v>
      </c>
      <c r="BQ11">
        <v>23</v>
      </c>
      <c r="BR11">
        <v>26.5</v>
      </c>
      <c r="BS11">
        <v>20.5</v>
      </c>
      <c r="BT11">
        <v>10.5</v>
      </c>
      <c r="BU11">
        <v>3.5</v>
      </c>
      <c r="BV11">
        <v>32</v>
      </c>
      <c r="BW11">
        <v>30</v>
      </c>
      <c r="BX11">
        <v>24.5</v>
      </c>
      <c r="BY11">
        <v>31</v>
      </c>
      <c r="BZ11">
        <v>36.5</v>
      </c>
      <c r="CA11">
        <v>16</v>
      </c>
      <c r="CB11">
        <v>9.5</v>
      </c>
      <c r="CC11">
        <v>18</v>
      </c>
      <c r="CD11">
        <v>27.5</v>
      </c>
      <c r="CE11">
        <v>12.5</v>
      </c>
      <c r="CF11">
        <v>17.5</v>
      </c>
      <c r="CG11" s="1">
        <f t="shared" si="3"/>
        <v>14.592592592592593</v>
      </c>
      <c r="CW11">
        <v>2607222</v>
      </c>
      <c r="CX11">
        <v>56</v>
      </c>
      <c r="CY11">
        <v>56</v>
      </c>
      <c r="CZ11">
        <v>0</v>
      </c>
      <c r="DA11">
        <v>5</v>
      </c>
      <c r="DB11">
        <v>35</v>
      </c>
      <c r="DC11">
        <v>0</v>
      </c>
      <c r="DD11">
        <v>20</v>
      </c>
      <c r="DF11">
        <v>20</v>
      </c>
      <c r="DG11">
        <v>0.74</v>
      </c>
      <c r="DI11">
        <v>20</v>
      </c>
      <c r="DJ11">
        <v>423.35</v>
      </c>
      <c r="DL11">
        <v>20</v>
      </c>
      <c r="DM11">
        <v>1.73</v>
      </c>
      <c r="DO11" t="s">
        <v>371</v>
      </c>
      <c r="DP11">
        <v>24</v>
      </c>
      <c r="DQ11">
        <v>285.95</v>
      </c>
      <c r="DR11">
        <v>18</v>
      </c>
      <c r="DS11">
        <v>452.5</v>
      </c>
      <c r="DV11" t="s">
        <v>371</v>
      </c>
      <c r="DW11">
        <v>-71</v>
      </c>
      <c r="DX11">
        <v>24</v>
      </c>
      <c r="DZ11" t="s">
        <v>189</v>
      </c>
      <c r="EA11">
        <v>18</v>
      </c>
      <c r="EB11">
        <v>-66.400000000000006</v>
      </c>
      <c r="EE11" t="s">
        <v>371</v>
      </c>
      <c r="EF11">
        <v>-43.791899999999998</v>
      </c>
      <c r="EG11">
        <v>24</v>
      </c>
      <c r="EI11" t="s">
        <v>189</v>
      </c>
      <c r="EJ11">
        <v>-41.18</v>
      </c>
      <c r="EK11">
        <v>18</v>
      </c>
      <c r="EM11" t="s">
        <v>189</v>
      </c>
      <c r="EN11">
        <v>-66.400000000000006</v>
      </c>
      <c r="EP11" t="s">
        <v>189</v>
      </c>
      <c r="EQ11">
        <f t="shared" si="0"/>
        <v>25.220000000000006</v>
      </c>
      <c r="ES11">
        <v>400</v>
      </c>
      <c r="ET11">
        <v>6.5</v>
      </c>
      <c r="EU11">
        <v>13</v>
      </c>
      <c r="EV11">
        <v>13.5</v>
      </c>
      <c r="EW11">
        <v>6.5</v>
      </c>
      <c r="EX11">
        <v>11.5</v>
      </c>
      <c r="EY11">
        <v>5</v>
      </c>
      <c r="EZ11">
        <v>12.5</v>
      </c>
      <c r="FA11">
        <v>11.5</v>
      </c>
      <c r="FB11">
        <v>6</v>
      </c>
      <c r="FC11" s="8">
        <v>14</v>
      </c>
      <c r="FD11">
        <v>8.5</v>
      </c>
      <c r="FE11">
        <v>8</v>
      </c>
      <c r="FF11" s="1">
        <f t="shared" si="2"/>
        <v>9.7083333333333339</v>
      </c>
      <c r="GK11" s="2">
        <v>100223</v>
      </c>
      <c r="GL11" s="2">
        <v>30</v>
      </c>
      <c r="GM11" s="2">
        <v>30</v>
      </c>
      <c r="GN11" s="2">
        <v>2</v>
      </c>
      <c r="GO11" s="2"/>
      <c r="GP11" s="2"/>
      <c r="GQ11" s="2"/>
      <c r="GR11" s="2">
        <v>45</v>
      </c>
      <c r="GT11" t="s">
        <v>64</v>
      </c>
      <c r="GU11">
        <v>0.43</v>
      </c>
      <c r="GV11">
        <v>1.1000000000000001</v>
      </c>
      <c r="GW11">
        <v>46</v>
      </c>
      <c r="GX11">
        <v>47</v>
      </c>
      <c r="GY11">
        <v>0.54</v>
      </c>
      <c r="GZ11">
        <v>50</v>
      </c>
      <c r="HA11">
        <v>0.7</v>
      </c>
      <c r="HC11" t="s">
        <v>372</v>
      </c>
      <c r="HD11">
        <v>107.25</v>
      </c>
      <c r="HE11">
        <v>50</v>
      </c>
      <c r="HH11" t="s">
        <v>463</v>
      </c>
      <c r="HI11">
        <v>45</v>
      </c>
      <c r="HJ11">
        <v>79.12</v>
      </c>
      <c r="HL11" t="s">
        <v>372</v>
      </c>
      <c r="HM11">
        <v>-50.47</v>
      </c>
      <c r="HN11">
        <v>50</v>
      </c>
      <c r="HP11">
        <v>45</v>
      </c>
      <c r="HQ11">
        <v>-52.72</v>
      </c>
      <c r="HS11" t="s">
        <v>372</v>
      </c>
      <c r="HT11">
        <v>-50.47</v>
      </c>
      <c r="HU11">
        <f t="shared" si="1"/>
        <v>95.47</v>
      </c>
      <c r="HV11">
        <v>50</v>
      </c>
      <c r="HW11">
        <v>-43.260100000000001</v>
      </c>
      <c r="HX11">
        <v>45</v>
      </c>
      <c r="HY11">
        <v>9.4598999999999993</v>
      </c>
      <c r="HZ11">
        <v>45</v>
      </c>
      <c r="IB11">
        <v>350</v>
      </c>
      <c r="IC11">
        <v>0</v>
      </c>
      <c r="ID11">
        <v>10</v>
      </c>
      <c r="IE11">
        <v>1</v>
      </c>
      <c r="IF11">
        <v>5.5</v>
      </c>
      <c r="IG11">
        <v>3.5</v>
      </c>
      <c r="IH11">
        <v>6</v>
      </c>
      <c r="II11">
        <v>1.5</v>
      </c>
      <c r="IJ11">
        <v>10</v>
      </c>
      <c r="IK11">
        <v>2.5</v>
      </c>
      <c r="IL11">
        <v>9</v>
      </c>
      <c r="IM11">
        <v>5</v>
      </c>
      <c r="IN11">
        <v>7.5</v>
      </c>
      <c r="IO11">
        <v>4.5</v>
      </c>
      <c r="IP11">
        <v>2.5</v>
      </c>
      <c r="IQ11">
        <v>4</v>
      </c>
      <c r="IR11">
        <v>3</v>
      </c>
      <c r="IS11">
        <v>4</v>
      </c>
      <c r="IT11">
        <v>3.5</v>
      </c>
      <c r="IU11">
        <v>5</v>
      </c>
      <c r="IV11">
        <v>3</v>
      </c>
      <c r="IW11">
        <v>3.5</v>
      </c>
    </row>
    <row r="12" spans="1:257" ht="13.15" x14ac:dyDescent="0.4">
      <c r="A12" s="2">
        <v>1801222</v>
      </c>
      <c r="B12" s="2">
        <v>56</v>
      </c>
      <c r="C12" s="2">
        <v>56</v>
      </c>
      <c r="D12" s="2">
        <v>2</v>
      </c>
      <c r="E12" s="2">
        <v>7</v>
      </c>
      <c r="F12" s="2">
        <v>49</v>
      </c>
      <c r="G12" s="2">
        <v>2</v>
      </c>
      <c r="H12" s="2">
        <v>7</v>
      </c>
      <c r="J12">
        <v>7</v>
      </c>
      <c r="K12">
        <v>1.8</v>
      </c>
      <c r="M12">
        <v>8</v>
      </c>
      <c r="N12">
        <v>0.54</v>
      </c>
      <c r="P12" t="s">
        <v>394</v>
      </c>
      <c r="Q12">
        <v>474.4</v>
      </c>
      <c r="R12">
        <v>7</v>
      </c>
      <c r="T12" t="s">
        <v>374</v>
      </c>
      <c r="U12">
        <v>-61.23</v>
      </c>
      <c r="V12">
        <v>7</v>
      </c>
      <c r="X12">
        <v>-39.159999999999997</v>
      </c>
      <c r="Y12">
        <v>7</v>
      </c>
      <c r="AA12">
        <v>22.73</v>
      </c>
      <c r="AB12">
        <v>7</v>
      </c>
      <c r="AD12">
        <v>400</v>
      </c>
      <c r="AE12">
        <v>2</v>
      </c>
      <c r="AF12">
        <v>3</v>
      </c>
      <c r="AG12">
        <v>3</v>
      </c>
      <c r="AH12">
        <v>2.5</v>
      </c>
      <c r="AI12">
        <v>7</v>
      </c>
      <c r="AJ12">
        <v>17.5</v>
      </c>
      <c r="AK12">
        <v>8</v>
      </c>
      <c r="AL12">
        <v>24.5</v>
      </c>
      <c r="AM12">
        <v>16</v>
      </c>
      <c r="AN12">
        <v>14</v>
      </c>
      <c r="AO12">
        <v>8</v>
      </c>
      <c r="AP12">
        <v>23</v>
      </c>
      <c r="AQ12">
        <v>5.5</v>
      </c>
      <c r="AR12">
        <v>21</v>
      </c>
      <c r="AS12">
        <v>1</v>
      </c>
      <c r="AT12">
        <v>4.5</v>
      </c>
      <c r="AU12">
        <v>3</v>
      </c>
      <c r="AV12">
        <v>5</v>
      </c>
      <c r="AW12">
        <v>2</v>
      </c>
      <c r="AX12">
        <v>8</v>
      </c>
      <c r="AY12">
        <v>14</v>
      </c>
      <c r="AZ12">
        <v>11</v>
      </c>
      <c r="BA12">
        <v>16.5</v>
      </c>
      <c r="BB12">
        <v>3.5</v>
      </c>
      <c r="BC12">
        <v>2.5</v>
      </c>
      <c r="BD12">
        <v>13</v>
      </c>
      <c r="BE12">
        <v>18</v>
      </c>
      <c r="BF12">
        <v>4</v>
      </c>
      <c r="BG12">
        <v>33</v>
      </c>
      <c r="BH12">
        <v>13.5</v>
      </c>
      <c r="BI12">
        <v>20.5</v>
      </c>
      <c r="BJ12">
        <v>2.5</v>
      </c>
      <c r="BK12">
        <v>2.5</v>
      </c>
      <c r="BL12">
        <v>39</v>
      </c>
      <c r="BM12">
        <v>3</v>
      </c>
      <c r="BN12">
        <v>4</v>
      </c>
      <c r="BO12">
        <v>11</v>
      </c>
      <c r="BP12">
        <v>29</v>
      </c>
      <c r="BQ12">
        <v>26</v>
      </c>
      <c r="BR12">
        <v>25.5</v>
      </c>
      <c r="BS12">
        <v>23</v>
      </c>
      <c r="BT12">
        <v>5</v>
      </c>
      <c r="BU12">
        <v>3</v>
      </c>
      <c r="BV12">
        <v>20.5</v>
      </c>
      <c r="BW12">
        <v>32</v>
      </c>
      <c r="BX12">
        <v>26.5</v>
      </c>
      <c r="BY12">
        <v>17</v>
      </c>
      <c r="BZ12">
        <v>39</v>
      </c>
      <c r="CA12">
        <v>18</v>
      </c>
      <c r="CB12">
        <v>11</v>
      </c>
      <c r="CC12">
        <v>21</v>
      </c>
      <c r="CD12">
        <v>25.5</v>
      </c>
      <c r="CE12">
        <v>14.5</v>
      </c>
      <c r="CF12">
        <v>21</v>
      </c>
      <c r="CG12" s="1">
        <f t="shared" si="3"/>
        <v>13.842592592592593</v>
      </c>
      <c r="CW12">
        <v>270722</v>
      </c>
      <c r="CX12">
        <v>56</v>
      </c>
      <c r="CY12">
        <v>56</v>
      </c>
      <c r="CZ12">
        <v>0</v>
      </c>
      <c r="DA12">
        <v>4</v>
      </c>
      <c r="DB12">
        <v>28</v>
      </c>
      <c r="DC12">
        <v>0</v>
      </c>
      <c r="DD12">
        <v>20</v>
      </c>
      <c r="DF12">
        <v>21</v>
      </c>
      <c r="DG12">
        <f>12.45/40.46</f>
        <v>0.30771131982204641</v>
      </c>
      <c r="DI12">
        <v>21</v>
      </c>
      <c r="DJ12">
        <v>283.89999999999998</v>
      </c>
      <c r="DL12">
        <v>21</v>
      </c>
      <c r="DM12">
        <v>0.65</v>
      </c>
      <c r="DO12" t="s">
        <v>375</v>
      </c>
      <c r="DP12">
        <v>24</v>
      </c>
      <c r="DQ12">
        <v>229.65</v>
      </c>
      <c r="DR12">
        <v>18</v>
      </c>
      <c r="DS12">
        <v>148.69999999999999</v>
      </c>
      <c r="DV12" t="s">
        <v>375</v>
      </c>
      <c r="DW12">
        <v>-67.53</v>
      </c>
      <c r="DX12">
        <v>24</v>
      </c>
      <c r="DZ12" t="s">
        <v>198</v>
      </c>
      <c r="EA12">
        <v>18</v>
      </c>
      <c r="EB12">
        <v>-54</v>
      </c>
      <c r="EE12" t="s">
        <v>375</v>
      </c>
      <c r="EF12">
        <v>-55.677</v>
      </c>
      <c r="EG12">
        <v>24</v>
      </c>
      <c r="EI12" t="s">
        <v>198</v>
      </c>
      <c r="EJ12">
        <v>-34</v>
      </c>
      <c r="EK12">
        <v>18</v>
      </c>
      <c r="EM12" t="s">
        <v>198</v>
      </c>
      <c r="EN12">
        <v>-54</v>
      </c>
      <c r="EP12" t="s">
        <v>198</v>
      </c>
      <c r="EQ12">
        <f t="shared" si="0"/>
        <v>20</v>
      </c>
      <c r="GK12" s="2">
        <v>210324</v>
      </c>
      <c r="GL12" s="2">
        <v>56</v>
      </c>
      <c r="GM12" s="2">
        <v>56</v>
      </c>
      <c r="GN12" s="2">
        <v>1</v>
      </c>
      <c r="GO12" s="2">
        <v>5</v>
      </c>
      <c r="GP12" s="2">
        <v>35</v>
      </c>
      <c r="GQ12" s="2">
        <v>1</v>
      </c>
      <c r="GR12" s="2">
        <v>45</v>
      </c>
      <c r="GT12" t="s">
        <v>67</v>
      </c>
      <c r="GU12">
        <v>0.43</v>
      </c>
      <c r="GW12">
        <v>45</v>
      </c>
      <c r="GX12">
        <v>47</v>
      </c>
      <c r="GY12">
        <v>1.66</v>
      </c>
      <c r="GZ12">
        <v>50</v>
      </c>
      <c r="HA12">
        <v>0.85</v>
      </c>
      <c r="HC12" t="s">
        <v>376</v>
      </c>
      <c r="HD12">
        <v>184.47</v>
      </c>
      <c r="HE12">
        <v>50</v>
      </c>
      <c r="HH12" t="s">
        <v>466</v>
      </c>
      <c r="HI12">
        <v>45</v>
      </c>
      <c r="HJ12">
        <v>210.9</v>
      </c>
      <c r="HL12" t="s">
        <v>376</v>
      </c>
      <c r="HM12">
        <v>-50</v>
      </c>
      <c r="HN12">
        <v>50</v>
      </c>
      <c r="HP12">
        <v>45</v>
      </c>
      <c r="HQ12">
        <v>-58.8</v>
      </c>
      <c r="HS12" t="s">
        <v>376</v>
      </c>
      <c r="HT12">
        <v>-50</v>
      </c>
      <c r="HU12">
        <f t="shared" si="1"/>
        <v>95</v>
      </c>
      <c r="HV12">
        <v>50</v>
      </c>
      <c r="HW12">
        <v>-37.379399999999997</v>
      </c>
      <c r="HX12">
        <v>45</v>
      </c>
      <c r="HY12">
        <v>21.4206</v>
      </c>
      <c r="HZ12">
        <v>45</v>
      </c>
      <c r="IB12">
        <v>400</v>
      </c>
      <c r="IC12">
        <v>1</v>
      </c>
      <c r="ID12">
        <v>11.5</v>
      </c>
      <c r="IE12">
        <v>1</v>
      </c>
      <c r="IF12">
        <v>7</v>
      </c>
      <c r="IG12">
        <v>5.25</v>
      </c>
      <c r="IH12">
        <v>5.25</v>
      </c>
      <c r="II12">
        <v>2</v>
      </c>
      <c r="IJ12">
        <v>11</v>
      </c>
      <c r="IK12">
        <v>3</v>
      </c>
      <c r="IL12">
        <v>11</v>
      </c>
      <c r="IM12">
        <v>5</v>
      </c>
      <c r="IN12">
        <v>8.5</v>
      </c>
      <c r="IO12">
        <v>4.5</v>
      </c>
      <c r="IP12">
        <v>3.5</v>
      </c>
      <c r="IQ12">
        <v>5</v>
      </c>
      <c r="IR12">
        <v>3</v>
      </c>
      <c r="IS12">
        <v>3.5</v>
      </c>
      <c r="IT12">
        <v>4.33</v>
      </c>
      <c r="IU12">
        <v>7.6</v>
      </c>
      <c r="IV12">
        <v>5</v>
      </c>
      <c r="IW12">
        <v>7</v>
      </c>
    </row>
    <row r="13" spans="1:257" x14ac:dyDescent="0.35">
      <c r="A13" s="2">
        <v>260122</v>
      </c>
      <c r="B13" s="2">
        <v>30</v>
      </c>
      <c r="C13" s="2">
        <v>25</v>
      </c>
      <c r="D13" s="2">
        <v>2</v>
      </c>
      <c r="E13" s="2"/>
      <c r="F13" s="2"/>
      <c r="G13" s="2"/>
      <c r="H13" s="2">
        <v>7</v>
      </c>
      <c r="J13">
        <v>7</v>
      </c>
      <c r="K13">
        <v>1.2</v>
      </c>
      <c r="M13">
        <v>8</v>
      </c>
      <c r="N13">
        <v>0.65</v>
      </c>
      <c r="P13" t="s">
        <v>398</v>
      </c>
      <c r="Q13">
        <v>147.69999999999999</v>
      </c>
      <c r="R13">
        <v>7</v>
      </c>
      <c r="T13" t="s">
        <v>378</v>
      </c>
      <c r="U13">
        <v>-61.89</v>
      </c>
      <c r="V13">
        <v>7</v>
      </c>
      <c r="X13">
        <v>-38.39</v>
      </c>
      <c r="Y13">
        <v>7</v>
      </c>
      <c r="AA13">
        <v>25.84</v>
      </c>
      <c r="AB13">
        <v>7</v>
      </c>
      <c r="CW13">
        <v>2707222</v>
      </c>
      <c r="CX13">
        <v>42</v>
      </c>
      <c r="CY13">
        <v>56</v>
      </c>
      <c r="CZ13">
        <v>0</v>
      </c>
      <c r="DA13">
        <v>2</v>
      </c>
      <c r="DB13">
        <v>12</v>
      </c>
      <c r="DC13">
        <v>0</v>
      </c>
      <c r="DD13">
        <v>20</v>
      </c>
      <c r="DF13">
        <v>21</v>
      </c>
      <c r="DI13">
        <v>21</v>
      </c>
      <c r="DJ13">
        <v>312.10000000000002</v>
      </c>
      <c r="DL13">
        <v>21</v>
      </c>
      <c r="DM13">
        <v>0.43</v>
      </c>
      <c r="DO13" t="s">
        <v>379</v>
      </c>
      <c r="DP13">
        <v>20</v>
      </c>
      <c r="DQ13">
        <v>297.27</v>
      </c>
      <c r="DR13">
        <v>18</v>
      </c>
      <c r="DS13">
        <v>494.8</v>
      </c>
      <c r="DV13" t="s">
        <v>379</v>
      </c>
      <c r="DW13">
        <v>-59.3</v>
      </c>
      <c r="DX13">
        <v>20</v>
      </c>
      <c r="DZ13" t="s">
        <v>202</v>
      </c>
      <c r="EA13">
        <v>18</v>
      </c>
      <c r="EB13">
        <v>-73.73</v>
      </c>
      <c r="EE13" t="s">
        <v>379</v>
      </c>
      <c r="EF13">
        <v>-42.966000000000001</v>
      </c>
      <c r="EG13">
        <v>20</v>
      </c>
      <c r="EI13" t="s">
        <v>202</v>
      </c>
      <c r="EJ13">
        <v>-50.9</v>
      </c>
      <c r="EK13">
        <v>18</v>
      </c>
      <c r="EM13" t="s">
        <v>202</v>
      </c>
      <c r="EN13">
        <v>-73.73</v>
      </c>
      <c r="EP13" t="s">
        <v>202</v>
      </c>
      <c r="EQ13">
        <f t="shared" si="0"/>
        <v>22.830000000000005</v>
      </c>
      <c r="GK13" s="2">
        <v>240322</v>
      </c>
      <c r="GL13" s="2">
        <v>42</v>
      </c>
      <c r="GM13" s="2">
        <v>42</v>
      </c>
      <c r="GN13" s="2">
        <v>1</v>
      </c>
      <c r="GO13" s="2">
        <v>2</v>
      </c>
      <c r="GP13" s="2">
        <v>12</v>
      </c>
      <c r="GQ13" s="2">
        <v>1</v>
      </c>
      <c r="GR13" s="2">
        <v>46</v>
      </c>
      <c r="GT13" t="s">
        <v>70</v>
      </c>
      <c r="GU13">
        <v>1.52</v>
      </c>
      <c r="GW13">
        <v>45</v>
      </c>
      <c r="GX13">
        <v>47</v>
      </c>
      <c r="GY13">
        <v>1.76</v>
      </c>
      <c r="GZ13">
        <v>50</v>
      </c>
      <c r="HA13">
        <f>10.25/15.98</f>
        <v>0.64142678347934912</v>
      </c>
      <c r="HC13" t="s">
        <v>380</v>
      </c>
      <c r="HD13">
        <v>195.95</v>
      </c>
      <c r="HE13">
        <v>50</v>
      </c>
      <c r="HH13" t="s">
        <v>469</v>
      </c>
      <c r="HI13">
        <v>45</v>
      </c>
      <c r="HJ13">
        <v>143.5</v>
      </c>
      <c r="HL13" t="s">
        <v>380</v>
      </c>
      <c r="HM13">
        <v>-61.06</v>
      </c>
      <c r="HN13">
        <v>50</v>
      </c>
      <c r="HP13">
        <v>45</v>
      </c>
      <c r="HQ13">
        <v>-63.4</v>
      </c>
      <c r="HS13" t="s">
        <v>380</v>
      </c>
      <c r="HT13">
        <v>-61.06</v>
      </c>
      <c r="HU13">
        <f t="shared" si="1"/>
        <v>106.06</v>
      </c>
      <c r="HV13">
        <v>50</v>
      </c>
      <c r="HW13">
        <v>-40.5319</v>
      </c>
      <c r="HX13">
        <v>45</v>
      </c>
      <c r="HY13">
        <v>22.868099999999998</v>
      </c>
      <c r="HZ13">
        <v>45</v>
      </c>
    </row>
    <row r="14" spans="1:257" x14ac:dyDescent="0.35">
      <c r="A14" s="2">
        <v>2601222</v>
      </c>
      <c r="B14" s="2">
        <v>30</v>
      </c>
      <c r="C14" s="2">
        <v>28</v>
      </c>
      <c r="D14" s="2">
        <v>2</v>
      </c>
      <c r="E14" s="2">
        <v>4</v>
      </c>
      <c r="F14" s="2">
        <v>20</v>
      </c>
      <c r="G14" s="2">
        <v>2</v>
      </c>
      <c r="H14" s="2">
        <v>7</v>
      </c>
      <c r="J14">
        <v>7</v>
      </c>
      <c r="K14">
        <v>3.52</v>
      </c>
      <c r="M14">
        <v>8</v>
      </c>
      <c r="N14">
        <v>0.72</v>
      </c>
      <c r="P14" t="s">
        <v>401</v>
      </c>
      <c r="Q14">
        <v>399.57</v>
      </c>
      <c r="R14">
        <v>7</v>
      </c>
      <c r="T14" t="s">
        <v>382</v>
      </c>
      <c r="U14">
        <v>-64.23</v>
      </c>
      <c r="V14">
        <v>7</v>
      </c>
      <c r="X14">
        <v>-40.909999999999997</v>
      </c>
      <c r="Y14">
        <v>7</v>
      </c>
      <c r="AA14">
        <v>12.74</v>
      </c>
      <c r="AB14">
        <v>7</v>
      </c>
      <c r="CW14" s="2">
        <v>290722</v>
      </c>
      <c r="CX14" s="2">
        <v>42</v>
      </c>
      <c r="CY14" s="2">
        <v>42</v>
      </c>
      <c r="CZ14" s="2">
        <v>1</v>
      </c>
      <c r="DA14">
        <v>3</v>
      </c>
      <c r="DB14">
        <v>18</v>
      </c>
      <c r="DC14">
        <v>1</v>
      </c>
      <c r="DD14">
        <v>20</v>
      </c>
      <c r="DF14">
        <v>21</v>
      </c>
      <c r="DI14">
        <v>21</v>
      </c>
      <c r="DJ14">
        <v>342.6</v>
      </c>
      <c r="DL14">
        <v>21</v>
      </c>
      <c r="DM14">
        <v>0.61</v>
      </c>
      <c r="DO14" t="s">
        <v>383</v>
      </c>
      <c r="DP14">
        <v>20</v>
      </c>
      <c r="DQ14">
        <v>421.9</v>
      </c>
      <c r="DR14">
        <v>18</v>
      </c>
      <c r="DS14">
        <v>607.4</v>
      </c>
      <c r="DV14" t="s">
        <v>383</v>
      </c>
      <c r="DW14">
        <v>-67.42</v>
      </c>
      <c r="DX14">
        <v>20</v>
      </c>
      <c r="DZ14" t="s">
        <v>206</v>
      </c>
      <c r="EA14">
        <v>18</v>
      </c>
      <c r="EB14">
        <v>-61</v>
      </c>
      <c r="EE14" t="s">
        <v>383</v>
      </c>
      <c r="EF14">
        <v>-45.091999999999999</v>
      </c>
      <c r="EG14">
        <v>20</v>
      </c>
      <c r="EI14" t="s">
        <v>206</v>
      </c>
      <c r="EJ14">
        <v>-35.17</v>
      </c>
      <c r="EK14">
        <v>18</v>
      </c>
      <c r="EM14" t="s">
        <v>206</v>
      </c>
      <c r="EN14">
        <v>-61</v>
      </c>
      <c r="EP14" t="s">
        <v>206</v>
      </c>
      <c r="EQ14">
        <f t="shared" si="0"/>
        <v>25.83</v>
      </c>
      <c r="GK14" s="2">
        <v>110123</v>
      </c>
      <c r="GL14" s="2">
        <v>20</v>
      </c>
      <c r="GM14" s="2">
        <v>20</v>
      </c>
      <c r="GN14" s="2">
        <v>1</v>
      </c>
      <c r="GO14" s="2"/>
      <c r="GP14" s="2"/>
      <c r="GQ14" s="2"/>
      <c r="GR14" s="2">
        <v>46</v>
      </c>
      <c r="GT14" t="s">
        <v>73</v>
      </c>
      <c r="GU14" s="8">
        <v>0.81</v>
      </c>
      <c r="GV14">
        <v>0.7</v>
      </c>
      <c r="GW14">
        <v>50</v>
      </c>
      <c r="GX14">
        <v>49</v>
      </c>
      <c r="GY14">
        <v>1.0900000000000001</v>
      </c>
      <c r="HC14" t="s">
        <v>384</v>
      </c>
      <c r="HD14">
        <v>287.07</v>
      </c>
      <c r="HE14">
        <v>50</v>
      </c>
      <c r="HH14" t="s">
        <v>472</v>
      </c>
      <c r="HI14">
        <v>45</v>
      </c>
      <c r="HJ14">
        <v>133.6</v>
      </c>
      <c r="HL14" t="s">
        <v>384</v>
      </c>
      <c r="HM14">
        <v>-61.78</v>
      </c>
      <c r="HN14">
        <v>50</v>
      </c>
      <c r="HP14">
        <v>45</v>
      </c>
      <c r="HQ14">
        <v>-56.65</v>
      </c>
      <c r="HS14" t="s">
        <v>384</v>
      </c>
      <c r="HT14">
        <v>-61.78</v>
      </c>
      <c r="HU14">
        <f t="shared" si="1"/>
        <v>106.78</v>
      </c>
      <c r="HV14">
        <v>50</v>
      </c>
      <c r="HW14">
        <v>-43.226599999999998</v>
      </c>
      <c r="HX14">
        <v>45</v>
      </c>
      <c r="HY14">
        <v>13.423400000000001</v>
      </c>
      <c r="HZ14">
        <v>45</v>
      </c>
    </row>
    <row r="15" spans="1:257" ht="13.15" x14ac:dyDescent="0.4">
      <c r="A15" s="2">
        <v>200223</v>
      </c>
      <c r="B15" s="2">
        <v>56</v>
      </c>
      <c r="C15" s="2">
        <v>56</v>
      </c>
      <c r="D15" s="2">
        <v>2</v>
      </c>
      <c r="E15" s="2">
        <v>8</v>
      </c>
      <c r="F15" s="2">
        <v>56</v>
      </c>
      <c r="G15" s="2">
        <v>2</v>
      </c>
      <c r="H15" s="2">
        <v>7</v>
      </c>
      <c r="J15">
        <v>7</v>
      </c>
      <c r="K15">
        <v>0.94</v>
      </c>
      <c r="M15">
        <v>8</v>
      </c>
      <c r="N15">
        <v>0.25</v>
      </c>
      <c r="P15" t="s">
        <v>404</v>
      </c>
      <c r="Q15">
        <v>352.75</v>
      </c>
      <c r="R15">
        <v>7</v>
      </c>
      <c r="T15" t="s">
        <v>385</v>
      </c>
      <c r="U15">
        <v>-53.65</v>
      </c>
      <c r="V15">
        <v>7</v>
      </c>
      <c r="X15">
        <v>-40.32</v>
      </c>
      <c r="Y15">
        <v>7</v>
      </c>
      <c r="AA15">
        <v>9.93</v>
      </c>
      <c r="AB15">
        <v>7</v>
      </c>
      <c r="CW15">
        <v>200723</v>
      </c>
      <c r="CX15">
        <v>56</v>
      </c>
      <c r="CY15">
        <v>56</v>
      </c>
      <c r="CZ15">
        <v>0</v>
      </c>
      <c r="DA15">
        <v>2</v>
      </c>
      <c r="DB15">
        <v>14</v>
      </c>
      <c r="DC15">
        <v>0</v>
      </c>
      <c r="DD15">
        <v>20</v>
      </c>
      <c r="DF15">
        <v>21</v>
      </c>
      <c r="DG15">
        <f>15.32/23.13</f>
        <v>0.66234327712926944</v>
      </c>
      <c r="DI15">
        <v>21</v>
      </c>
      <c r="DJ15">
        <v>415.02</v>
      </c>
      <c r="DL15">
        <v>21</v>
      </c>
      <c r="DM15">
        <v>2.08</v>
      </c>
      <c r="DO15" t="s">
        <v>386</v>
      </c>
      <c r="DP15">
        <v>20</v>
      </c>
      <c r="DQ15">
        <v>387.25</v>
      </c>
      <c r="DR15">
        <v>19</v>
      </c>
      <c r="DS15">
        <v>366.4</v>
      </c>
      <c r="DV15" t="s">
        <v>386</v>
      </c>
      <c r="DW15">
        <v>-51.63</v>
      </c>
      <c r="DX15">
        <v>20</v>
      </c>
      <c r="DZ15" t="s">
        <v>209</v>
      </c>
      <c r="EA15">
        <v>18</v>
      </c>
      <c r="EB15">
        <v>-68</v>
      </c>
      <c r="EE15" t="s">
        <v>386</v>
      </c>
      <c r="EF15">
        <v>-41.587800000000001</v>
      </c>
      <c r="EG15">
        <v>20</v>
      </c>
      <c r="EI15" t="s">
        <v>462</v>
      </c>
      <c r="EJ15">
        <v>-47.363999999999997</v>
      </c>
      <c r="EK15">
        <v>19</v>
      </c>
      <c r="EM15" t="s">
        <v>462</v>
      </c>
      <c r="EN15">
        <v>-71.22</v>
      </c>
      <c r="EP15" t="s">
        <v>462</v>
      </c>
      <c r="EQ15">
        <f t="shared" si="0"/>
        <v>23.856000000000002</v>
      </c>
      <c r="ET15" s="56">
        <v>19</v>
      </c>
      <c r="EU15" s="56"/>
      <c r="EV15" s="56"/>
      <c r="EW15" s="56"/>
      <c r="EX15" s="56"/>
      <c r="EY15" s="56"/>
      <c r="EZ15" s="56"/>
      <c r="FA15" s="56"/>
      <c r="FB15" s="56"/>
      <c r="FC15" s="56"/>
      <c r="FD15" s="56"/>
      <c r="FE15" s="56"/>
      <c r="FF15" s="56"/>
      <c r="FG15" s="56"/>
      <c r="FH15" s="56"/>
      <c r="FI15" s="56"/>
      <c r="FJ15" s="56"/>
      <c r="FK15" s="56"/>
      <c r="FL15" s="56"/>
      <c r="FM15" s="56"/>
      <c r="GK15">
        <v>60324</v>
      </c>
      <c r="GL15">
        <v>30</v>
      </c>
      <c r="GM15">
        <v>30</v>
      </c>
      <c r="GN15">
        <v>0</v>
      </c>
      <c r="GO15">
        <v>3</v>
      </c>
      <c r="GP15">
        <v>15</v>
      </c>
      <c r="GQ15">
        <v>0</v>
      </c>
      <c r="GR15">
        <v>46</v>
      </c>
      <c r="GT15" t="s">
        <v>76</v>
      </c>
      <c r="GU15">
        <v>0.48</v>
      </c>
      <c r="GV15">
        <v>0.85</v>
      </c>
      <c r="GW15">
        <v>50</v>
      </c>
      <c r="GX15">
        <v>49</v>
      </c>
      <c r="GY15">
        <v>0.93</v>
      </c>
      <c r="HC15" t="s">
        <v>387</v>
      </c>
      <c r="HD15">
        <v>244.67</v>
      </c>
      <c r="HE15">
        <v>50</v>
      </c>
      <c r="HH15" t="s">
        <v>475</v>
      </c>
      <c r="HI15">
        <v>45</v>
      </c>
      <c r="HJ15">
        <v>179.1</v>
      </c>
      <c r="HL15" t="s">
        <v>387</v>
      </c>
      <c r="HM15">
        <v>-63.69</v>
      </c>
      <c r="HN15">
        <v>50</v>
      </c>
      <c r="HP15">
        <v>45</v>
      </c>
      <c r="HQ15">
        <v>-55.57</v>
      </c>
      <c r="HS15" t="s">
        <v>387</v>
      </c>
      <c r="HT15">
        <v>-63.69</v>
      </c>
      <c r="HU15">
        <f t="shared" si="1"/>
        <v>108.69</v>
      </c>
      <c r="HV15">
        <v>50</v>
      </c>
      <c r="HW15">
        <v>-42.548400000000001</v>
      </c>
      <c r="HX15">
        <v>45</v>
      </c>
      <c r="HY15">
        <v>13.021599999999999</v>
      </c>
      <c r="HZ15">
        <v>45</v>
      </c>
      <c r="IC15" s="57">
        <v>46</v>
      </c>
      <c r="ID15" s="57">
        <v>46</v>
      </c>
      <c r="IE15" s="57">
        <v>46</v>
      </c>
      <c r="IF15" s="57">
        <v>46</v>
      </c>
      <c r="IG15" s="57">
        <v>46</v>
      </c>
      <c r="IH15" s="57">
        <v>46</v>
      </c>
      <c r="II15" s="57"/>
      <c r="IJ15" s="57"/>
      <c r="IK15" s="57"/>
      <c r="IL15" s="57"/>
      <c r="IM15" s="57"/>
      <c r="IN15" s="57"/>
      <c r="IO15" s="57"/>
    </row>
    <row r="16" spans="1:257" ht="13.15" x14ac:dyDescent="0.4">
      <c r="A16" s="2">
        <v>2002232</v>
      </c>
      <c r="B16" s="2">
        <v>42</v>
      </c>
      <c r="C16" s="2">
        <v>43</v>
      </c>
      <c r="D16" s="2">
        <v>2</v>
      </c>
      <c r="E16" s="2">
        <v>5</v>
      </c>
      <c r="F16" s="2">
        <v>35</v>
      </c>
      <c r="G16" s="2">
        <v>2</v>
      </c>
      <c r="H16" s="2">
        <v>7</v>
      </c>
      <c r="J16">
        <v>7</v>
      </c>
      <c r="K16">
        <v>1.25</v>
      </c>
      <c r="M16">
        <v>8</v>
      </c>
      <c r="N16">
        <v>1.33</v>
      </c>
      <c r="P16" t="s">
        <v>407</v>
      </c>
      <c r="Q16">
        <v>360.2</v>
      </c>
      <c r="R16">
        <v>7</v>
      </c>
      <c r="T16" t="s">
        <v>388</v>
      </c>
      <c r="U16">
        <v>-50.25</v>
      </c>
      <c r="V16">
        <v>7</v>
      </c>
      <c r="X16">
        <v>-38.51</v>
      </c>
      <c r="Y16">
        <v>7</v>
      </c>
      <c r="AA16">
        <v>11.99</v>
      </c>
      <c r="AB16">
        <v>7</v>
      </c>
      <c r="CW16" s="2">
        <v>221223</v>
      </c>
      <c r="CX16" s="2">
        <v>56</v>
      </c>
      <c r="CY16" s="2">
        <v>56</v>
      </c>
      <c r="CZ16" s="2">
        <v>1</v>
      </c>
      <c r="DA16">
        <v>1</v>
      </c>
      <c r="DB16">
        <v>7</v>
      </c>
      <c r="DC16">
        <v>1</v>
      </c>
      <c r="DD16">
        <v>20</v>
      </c>
      <c r="DF16">
        <v>21</v>
      </c>
      <c r="DG16">
        <f>6.16/15.58</f>
        <v>0.39537869062901154</v>
      </c>
      <c r="DI16">
        <v>21</v>
      </c>
      <c r="DJ16">
        <v>452.5</v>
      </c>
      <c r="DL16">
        <v>21</v>
      </c>
      <c r="DM16">
        <v>1.6</v>
      </c>
      <c r="DO16" t="s">
        <v>389</v>
      </c>
      <c r="DP16">
        <v>20</v>
      </c>
      <c r="DQ16">
        <v>339.17</v>
      </c>
      <c r="DR16">
        <v>19</v>
      </c>
      <c r="DS16">
        <v>291.7</v>
      </c>
      <c r="DV16" t="s">
        <v>389</v>
      </c>
      <c r="DW16">
        <v>-65.739999999999995</v>
      </c>
      <c r="DX16">
        <v>20</v>
      </c>
      <c r="DZ16" t="s">
        <v>462</v>
      </c>
      <c r="EA16">
        <v>19</v>
      </c>
      <c r="EB16">
        <v>-71.22</v>
      </c>
      <c r="EE16" t="s">
        <v>389</v>
      </c>
      <c r="EF16">
        <v>-32.436999999999998</v>
      </c>
      <c r="EG16">
        <v>20</v>
      </c>
      <c r="EI16" t="s">
        <v>465</v>
      </c>
      <c r="EJ16">
        <v>-50.0824</v>
      </c>
      <c r="EK16">
        <v>19</v>
      </c>
      <c r="EM16" t="s">
        <v>465</v>
      </c>
      <c r="EN16">
        <v>-71.48</v>
      </c>
      <c r="EP16" t="s">
        <v>465</v>
      </c>
      <c r="EQ16">
        <f t="shared" si="0"/>
        <v>21.397600000000004</v>
      </c>
      <c r="ES16" t="s">
        <v>887</v>
      </c>
      <c r="ET16" t="s">
        <v>676</v>
      </c>
      <c r="EU16" t="s">
        <v>678</v>
      </c>
      <c r="EV16" t="s">
        <v>680</v>
      </c>
      <c r="EW16" t="s">
        <v>682</v>
      </c>
      <c r="EX16" t="s">
        <v>684</v>
      </c>
      <c r="EY16" t="s">
        <v>686</v>
      </c>
      <c r="EZ16" t="s">
        <v>688</v>
      </c>
      <c r="FA16" t="s">
        <v>689</v>
      </c>
      <c r="FB16" t="s">
        <v>690</v>
      </c>
      <c r="FC16" t="s">
        <v>691</v>
      </c>
      <c r="FD16" t="s">
        <v>692</v>
      </c>
      <c r="FE16" t="s">
        <v>693</v>
      </c>
      <c r="FF16" t="s">
        <v>694</v>
      </c>
      <c r="FG16" t="s">
        <v>695</v>
      </c>
      <c r="FH16" t="s">
        <v>462</v>
      </c>
      <c r="FI16" t="s">
        <v>465</v>
      </c>
      <c r="FJ16" t="s">
        <v>468</v>
      </c>
      <c r="FK16" t="s">
        <v>471</v>
      </c>
      <c r="FL16" t="s">
        <v>474</v>
      </c>
      <c r="FM16" t="s">
        <v>477</v>
      </c>
      <c r="GK16" s="2">
        <v>190324</v>
      </c>
      <c r="GL16" s="2">
        <v>56</v>
      </c>
      <c r="GM16" s="2">
        <v>56</v>
      </c>
      <c r="GN16" s="2">
        <v>2</v>
      </c>
      <c r="GO16" s="2">
        <v>5</v>
      </c>
      <c r="GP16" s="2">
        <v>35</v>
      </c>
      <c r="GQ16" s="2">
        <v>2</v>
      </c>
      <c r="GR16" s="2">
        <v>46</v>
      </c>
      <c r="GT16" t="s">
        <v>357</v>
      </c>
      <c r="GU16">
        <v>0.54</v>
      </c>
      <c r="GV16">
        <f>2.49/4.86</f>
        <v>0.51234567901234573</v>
      </c>
      <c r="GW16">
        <v>47</v>
      </c>
      <c r="GX16">
        <v>49</v>
      </c>
      <c r="GY16">
        <v>0.67</v>
      </c>
      <c r="HC16" t="s">
        <v>390</v>
      </c>
      <c r="HD16">
        <v>191.07</v>
      </c>
      <c r="HE16">
        <v>50</v>
      </c>
      <c r="HH16" t="s">
        <v>478</v>
      </c>
      <c r="HI16">
        <v>45</v>
      </c>
      <c r="HJ16">
        <v>206.37</v>
      </c>
      <c r="HL16" t="s">
        <v>390</v>
      </c>
      <c r="HM16">
        <v>-58.25</v>
      </c>
      <c r="HN16">
        <v>50</v>
      </c>
      <c r="HP16">
        <v>45</v>
      </c>
      <c r="HQ16">
        <v>-57.59</v>
      </c>
      <c r="HS16" t="s">
        <v>390</v>
      </c>
      <c r="HT16">
        <v>-58.25</v>
      </c>
      <c r="HU16">
        <f t="shared" si="1"/>
        <v>103.25</v>
      </c>
      <c r="HV16">
        <v>50</v>
      </c>
      <c r="HW16">
        <v>-45.947299999999998</v>
      </c>
      <c r="HX16">
        <v>45</v>
      </c>
      <c r="HY16">
        <v>11.6427</v>
      </c>
      <c r="HZ16">
        <v>45</v>
      </c>
      <c r="IB16" t="s">
        <v>887</v>
      </c>
      <c r="IC16" t="s">
        <v>490</v>
      </c>
      <c r="ID16" t="s">
        <v>493</v>
      </c>
      <c r="IE16" t="s">
        <v>496</v>
      </c>
      <c r="IF16" t="s">
        <v>499</v>
      </c>
      <c r="IG16" t="s">
        <v>502</v>
      </c>
      <c r="IH16" t="s">
        <v>505</v>
      </c>
      <c r="II16" t="s">
        <v>891</v>
      </c>
      <c r="IJ16" t="s">
        <v>892</v>
      </c>
      <c r="IK16" t="s">
        <v>893</v>
      </c>
      <c r="IL16" t="s">
        <v>894</v>
      </c>
      <c r="IM16" t="s">
        <v>895</v>
      </c>
      <c r="IN16" t="s">
        <v>896</v>
      </c>
      <c r="IO16" s="1" t="s">
        <v>897</v>
      </c>
    </row>
    <row r="17" spans="1:249" ht="13.15" x14ac:dyDescent="0.4">
      <c r="A17" s="2">
        <v>240223</v>
      </c>
      <c r="B17" s="2">
        <v>42</v>
      </c>
      <c r="C17" s="2">
        <v>42</v>
      </c>
      <c r="D17" s="2">
        <v>1</v>
      </c>
      <c r="E17" s="2"/>
      <c r="F17" s="2"/>
      <c r="G17" s="2"/>
      <c r="H17" s="2">
        <v>7</v>
      </c>
      <c r="J17">
        <v>7</v>
      </c>
      <c r="K17">
        <v>3.48</v>
      </c>
      <c r="M17">
        <v>8</v>
      </c>
      <c r="N17">
        <v>0.63</v>
      </c>
      <c r="P17" t="s">
        <v>411</v>
      </c>
      <c r="Q17">
        <v>173.57</v>
      </c>
      <c r="R17">
        <v>7</v>
      </c>
      <c r="T17" t="s">
        <v>391</v>
      </c>
      <c r="U17">
        <v>-50.5</v>
      </c>
      <c r="V17">
        <v>7</v>
      </c>
      <c r="X17">
        <v>-46.28</v>
      </c>
      <c r="Y17">
        <v>7</v>
      </c>
      <c r="AA17">
        <v>8.7200000000000006</v>
      </c>
      <c r="AB17">
        <v>7</v>
      </c>
      <c r="AE17" s="58">
        <v>8</v>
      </c>
      <c r="AF17" s="58">
        <v>8</v>
      </c>
      <c r="AG17" s="58">
        <v>8</v>
      </c>
      <c r="AH17" s="58">
        <v>8</v>
      </c>
      <c r="AI17" s="58">
        <v>8</v>
      </c>
      <c r="AJ17" s="58">
        <v>8</v>
      </c>
      <c r="AK17" s="58">
        <v>8</v>
      </c>
      <c r="AL17" s="58">
        <v>8</v>
      </c>
      <c r="AM17" s="58">
        <v>8</v>
      </c>
      <c r="AN17" s="58">
        <v>8</v>
      </c>
      <c r="AO17" s="58">
        <v>8</v>
      </c>
      <c r="AP17" s="58">
        <v>8</v>
      </c>
      <c r="AQ17" s="58">
        <v>8</v>
      </c>
      <c r="AR17" s="58">
        <v>8</v>
      </c>
      <c r="AS17" s="58">
        <v>8</v>
      </c>
      <c r="AT17" s="58">
        <v>8</v>
      </c>
      <c r="AU17" s="58">
        <v>8</v>
      </c>
      <c r="AV17" s="58">
        <v>8</v>
      </c>
      <c r="AW17" s="58">
        <v>8</v>
      </c>
      <c r="AX17" s="58">
        <v>8</v>
      </c>
      <c r="AY17" s="58">
        <v>8</v>
      </c>
      <c r="AZ17" s="58">
        <v>8</v>
      </c>
      <c r="BA17" s="58">
        <v>8</v>
      </c>
      <c r="BB17" s="58">
        <v>8</v>
      </c>
      <c r="BC17" s="58">
        <v>8</v>
      </c>
      <c r="BD17" s="58">
        <v>8</v>
      </c>
      <c r="BE17" s="58">
        <v>8</v>
      </c>
      <c r="BF17" s="58">
        <v>8</v>
      </c>
      <c r="BG17" s="58">
        <v>8</v>
      </c>
      <c r="BH17" s="58">
        <v>8</v>
      </c>
      <c r="BI17" s="58">
        <v>8</v>
      </c>
      <c r="BJ17" s="58">
        <v>8</v>
      </c>
      <c r="BK17" s="58">
        <v>8</v>
      </c>
      <c r="BL17" s="58">
        <v>8</v>
      </c>
      <c r="BM17" s="58">
        <v>8</v>
      </c>
      <c r="BN17" s="58">
        <v>8</v>
      </c>
      <c r="BO17" s="58">
        <v>8</v>
      </c>
      <c r="BP17" s="58">
        <v>8</v>
      </c>
      <c r="BQ17" s="58">
        <v>8</v>
      </c>
      <c r="BR17" s="58">
        <v>8</v>
      </c>
      <c r="BS17" s="58">
        <v>8</v>
      </c>
      <c r="BT17" s="58">
        <v>8</v>
      </c>
      <c r="BU17" s="58">
        <v>8</v>
      </c>
      <c r="BV17" s="58">
        <v>8</v>
      </c>
      <c r="BW17" s="58">
        <v>8</v>
      </c>
      <c r="BX17" s="58">
        <v>8</v>
      </c>
      <c r="BY17" s="58">
        <v>8</v>
      </c>
      <c r="BZ17" s="58">
        <v>8</v>
      </c>
      <c r="CA17" s="58">
        <v>8</v>
      </c>
      <c r="CB17" s="58">
        <v>8</v>
      </c>
      <c r="CC17" s="58">
        <v>8</v>
      </c>
      <c r="CD17" s="58">
        <v>8</v>
      </c>
      <c r="CE17" s="58">
        <v>8</v>
      </c>
      <c r="CF17" s="58">
        <v>8</v>
      </c>
      <c r="CG17" s="58">
        <v>8</v>
      </c>
      <c r="CH17" s="58">
        <v>8</v>
      </c>
      <c r="CI17" s="58">
        <v>8</v>
      </c>
      <c r="CJ17" s="58">
        <v>8</v>
      </c>
      <c r="CK17" s="58">
        <v>8</v>
      </c>
      <c r="CL17" s="58">
        <v>8</v>
      </c>
      <c r="CM17" s="58">
        <v>8</v>
      </c>
      <c r="CN17" s="58">
        <v>8</v>
      </c>
      <c r="CO17" s="58">
        <v>8</v>
      </c>
      <c r="CP17" s="58">
        <v>8</v>
      </c>
      <c r="CQ17" s="58">
        <v>8</v>
      </c>
      <c r="CR17" s="58">
        <v>8</v>
      </c>
      <c r="CS17" s="58">
        <v>8</v>
      </c>
      <c r="CW17">
        <v>150224</v>
      </c>
      <c r="CX17">
        <v>20</v>
      </c>
      <c r="CY17">
        <v>30</v>
      </c>
      <c r="CZ17">
        <v>0</v>
      </c>
      <c r="DA17">
        <v>1</v>
      </c>
      <c r="DB17">
        <v>4</v>
      </c>
      <c r="DC17">
        <v>0</v>
      </c>
      <c r="DD17">
        <v>20</v>
      </c>
      <c r="DF17">
        <v>22</v>
      </c>
      <c r="DG17">
        <f>16.75/39.96</f>
        <v>0.41916916916916919</v>
      </c>
      <c r="DI17">
        <v>22</v>
      </c>
      <c r="DJ17">
        <v>271.35000000000002</v>
      </c>
      <c r="DL17">
        <v>22</v>
      </c>
      <c r="DM17">
        <v>1.62</v>
      </c>
      <c r="DO17" t="s">
        <v>392</v>
      </c>
      <c r="DP17">
        <v>20</v>
      </c>
      <c r="DQ17">
        <v>348.2</v>
      </c>
      <c r="DR17">
        <v>19</v>
      </c>
      <c r="DS17">
        <v>395.1</v>
      </c>
      <c r="DV17" t="s">
        <v>392</v>
      </c>
      <c r="DW17">
        <v>-59.47</v>
      </c>
      <c r="DX17">
        <v>20</v>
      </c>
      <c r="DZ17" t="s">
        <v>465</v>
      </c>
      <c r="EA17">
        <v>19</v>
      </c>
      <c r="EB17">
        <v>-71.48</v>
      </c>
      <c r="EE17" t="s">
        <v>392</v>
      </c>
      <c r="EF17">
        <v>-40.549399999999999</v>
      </c>
      <c r="EG17">
        <v>20</v>
      </c>
      <c r="EI17" t="s">
        <v>468</v>
      </c>
      <c r="EJ17">
        <v>-47.550199999999997</v>
      </c>
      <c r="EK17">
        <v>19</v>
      </c>
      <c r="EM17" t="s">
        <v>468</v>
      </c>
      <c r="EN17">
        <v>-75.959999999999994</v>
      </c>
      <c r="EP17" t="s">
        <v>468</v>
      </c>
      <c r="EQ17">
        <f t="shared" si="0"/>
        <v>28.409799999999997</v>
      </c>
      <c r="ES17">
        <v>50</v>
      </c>
      <c r="ET17">
        <v>0</v>
      </c>
      <c r="EU17">
        <v>0</v>
      </c>
      <c r="EV17">
        <v>0</v>
      </c>
      <c r="EW17">
        <v>1.5</v>
      </c>
      <c r="EX17">
        <v>0.5</v>
      </c>
      <c r="EY17">
        <v>0</v>
      </c>
      <c r="EZ17">
        <v>1</v>
      </c>
      <c r="FA17">
        <v>0</v>
      </c>
      <c r="FB17">
        <v>0</v>
      </c>
      <c r="FC17">
        <v>0</v>
      </c>
      <c r="FD17">
        <v>1.5</v>
      </c>
      <c r="FE17">
        <v>1</v>
      </c>
      <c r="FF17">
        <v>0</v>
      </c>
      <c r="FG17">
        <v>0.5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0.5</v>
      </c>
      <c r="FN17" s="1">
        <f t="shared" ref="FN17:FN24" si="4">AVERAGE(ET17:FM17)</f>
        <v>0.32500000000000001</v>
      </c>
      <c r="GK17">
        <v>290324</v>
      </c>
      <c r="GL17">
        <v>30</v>
      </c>
      <c r="GM17">
        <v>30</v>
      </c>
      <c r="GN17">
        <v>0</v>
      </c>
      <c r="GO17">
        <v>0</v>
      </c>
      <c r="GP17">
        <v>0</v>
      </c>
      <c r="GQ17">
        <v>0</v>
      </c>
      <c r="GR17">
        <v>46</v>
      </c>
      <c r="GT17" t="s">
        <v>361</v>
      </c>
      <c r="GU17" s="8">
        <v>0.95</v>
      </c>
      <c r="GV17">
        <f>10.25/15.98</f>
        <v>0.64142678347934912</v>
      </c>
      <c r="GW17">
        <v>50</v>
      </c>
      <c r="GX17">
        <v>50</v>
      </c>
      <c r="GY17">
        <v>0.92</v>
      </c>
      <c r="HC17" t="s">
        <v>393</v>
      </c>
      <c r="HD17">
        <v>238.47</v>
      </c>
      <c r="HE17">
        <v>50</v>
      </c>
      <c r="HH17" t="s">
        <v>481</v>
      </c>
      <c r="HI17">
        <v>45</v>
      </c>
      <c r="HJ17">
        <v>325.39999999999998</v>
      </c>
      <c r="HL17" t="s">
        <v>393</v>
      </c>
      <c r="HM17">
        <v>-53.65</v>
      </c>
      <c r="HN17">
        <v>50</v>
      </c>
      <c r="HP17">
        <v>45</v>
      </c>
      <c r="HQ17">
        <v>-70.58</v>
      </c>
      <c r="HS17" t="s">
        <v>393</v>
      </c>
      <c r="HT17">
        <v>-53.65</v>
      </c>
      <c r="HU17">
        <f t="shared" si="1"/>
        <v>98.65</v>
      </c>
      <c r="HV17">
        <v>50</v>
      </c>
      <c r="HW17">
        <v>-44.915799999999997</v>
      </c>
      <c r="HX17">
        <v>45</v>
      </c>
      <c r="HY17">
        <v>25.664200000000001</v>
      </c>
      <c r="HZ17">
        <v>45</v>
      </c>
      <c r="IB17">
        <v>50</v>
      </c>
      <c r="IC17">
        <v>0</v>
      </c>
      <c r="ID17">
        <v>0</v>
      </c>
      <c r="IE17">
        <v>0</v>
      </c>
      <c r="IF17">
        <v>0</v>
      </c>
      <c r="IG17">
        <v>1</v>
      </c>
      <c r="IH17">
        <v>0</v>
      </c>
      <c r="II17">
        <v>0</v>
      </c>
      <c r="IJ17">
        <v>0.5</v>
      </c>
      <c r="IK17">
        <v>0</v>
      </c>
      <c r="IL17">
        <v>0</v>
      </c>
      <c r="IM17">
        <v>0</v>
      </c>
      <c r="IN17">
        <v>0</v>
      </c>
      <c r="IO17" s="1">
        <f t="shared" ref="IO17:IO24" si="5">AVERAGE(IC17:IN17)</f>
        <v>0.125</v>
      </c>
    </row>
    <row r="18" spans="1:249" ht="13.15" x14ac:dyDescent="0.4">
      <c r="A18" s="2">
        <v>60423</v>
      </c>
      <c r="B18" s="2">
        <v>20</v>
      </c>
      <c r="C18" s="2">
        <v>30</v>
      </c>
      <c r="D18" s="2">
        <v>1</v>
      </c>
      <c r="E18" s="2"/>
      <c r="F18" s="2"/>
      <c r="G18" s="2"/>
      <c r="H18" s="2">
        <v>7</v>
      </c>
      <c r="J18">
        <v>7</v>
      </c>
      <c r="K18">
        <v>1.68</v>
      </c>
      <c r="M18">
        <v>8</v>
      </c>
      <c r="N18">
        <v>0.63</v>
      </c>
      <c r="P18" t="s">
        <v>414</v>
      </c>
      <c r="Q18">
        <v>836.5</v>
      </c>
      <c r="R18">
        <v>7</v>
      </c>
      <c r="T18" t="s">
        <v>711</v>
      </c>
      <c r="U18">
        <v>-55</v>
      </c>
      <c r="V18">
        <v>7</v>
      </c>
      <c r="X18">
        <v>-38.299999999999997</v>
      </c>
      <c r="Y18">
        <v>7</v>
      </c>
      <c r="AA18">
        <v>13.76</v>
      </c>
      <c r="AB18">
        <v>7</v>
      </c>
      <c r="AD18" t="s">
        <v>887</v>
      </c>
      <c r="AE18" t="s">
        <v>342</v>
      </c>
      <c r="AF18" t="s">
        <v>345</v>
      </c>
      <c r="AG18" t="s">
        <v>348</v>
      </c>
      <c r="AH18" t="s">
        <v>351</v>
      </c>
      <c r="AI18" t="s">
        <v>354</v>
      </c>
      <c r="AJ18" t="s">
        <v>358</v>
      </c>
      <c r="AK18" t="s">
        <v>417</v>
      </c>
      <c r="AL18" t="s">
        <v>421</v>
      </c>
      <c r="AM18" t="s">
        <v>425</v>
      </c>
      <c r="AN18" t="s">
        <v>428</v>
      </c>
      <c r="AO18" t="s">
        <v>431</v>
      </c>
      <c r="AP18" t="s">
        <v>434</v>
      </c>
      <c r="AQ18" t="s">
        <v>437</v>
      </c>
      <c r="AR18" t="s">
        <v>440</v>
      </c>
      <c r="AS18" t="s">
        <v>443</v>
      </c>
      <c r="AT18" t="s">
        <v>446</v>
      </c>
      <c r="AU18" s="8" t="s">
        <v>449</v>
      </c>
      <c r="AV18" t="s">
        <v>452</v>
      </c>
      <c r="AW18" t="s">
        <v>455</v>
      </c>
      <c r="AX18" t="s">
        <v>458</v>
      </c>
      <c r="AY18" t="s">
        <v>461</v>
      </c>
      <c r="AZ18" t="s">
        <v>464</v>
      </c>
      <c r="BA18" t="s">
        <v>467</v>
      </c>
      <c r="BB18" t="s">
        <v>470</v>
      </c>
      <c r="BC18" t="s">
        <v>473</v>
      </c>
      <c r="BD18" t="s">
        <v>476</v>
      </c>
      <c r="BE18" t="s">
        <v>479</v>
      </c>
      <c r="BF18" t="s">
        <v>482</v>
      </c>
      <c r="BG18" t="s">
        <v>485</v>
      </c>
      <c r="BH18" t="s">
        <v>488</v>
      </c>
      <c r="BI18" t="s">
        <v>491</v>
      </c>
      <c r="BJ18" t="s">
        <v>494</v>
      </c>
      <c r="BK18" t="s">
        <v>740</v>
      </c>
      <c r="BL18" t="s">
        <v>497</v>
      </c>
      <c r="BM18" t="s">
        <v>500</v>
      </c>
      <c r="BN18" t="s">
        <v>503</v>
      </c>
      <c r="BO18" t="s">
        <v>506</v>
      </c>
      <c r="BP18" t="s">
        <v>537</v>
      </c>
      <c r="BQ18" t="s">
        <v>541</v>
      </c>
      <c r="BR18" t="s">
        <v>545</v>
      </c>
      <c r="BS18" t="s">
        <v>549</v>
      </c>
      <c r="BT18" t="s">
        <v>553</v>
      </c>
      <c r="BU18" t="s">
        <v>557</v>
      </c>
      <c r="BV18" t="s">
        <v>561</v>
      </c>
      <c r="BW18" t="s">
        <v>565</v>
      </c>
      <c r="BX18" t="s">
        <v>603</v>
      </c>
      <c r="BY18" t="s">
        <v>606</v>
      </c>
      <c r="BZ18" t="s">
        <v>609</v>
      </c>
      <c r="CA18" t="s">
        <v>612</v>
      </c>
      <c r="CB18" t="s">
        <v>615</v>
      </c>
      <c r="CC18" t="s">
        <v>618</v>
      </c>
      <c r="CD18" t="s">
        <v>621</v>
      </c>
      <c r="CE18" t="s">
        <v>624</v>
      </c>
      <c r="CF18" t="s">
        <v>651</v>
      </c>
      <c r="CG18" t="s">
        <v>653</v>
      </c>
      <c r="CH18" t="s">
        <v>655</v>
      </c>
      <c r="CI18" t="s">
        <v>657</v>
      </c>
      <c r="CJ18" t="s">
        <v>659</v>
      </c>
      <c r="CK18" t="s">
        <v>661</v>
      </c>
      <c r="CL18" t="s">
        <v>663</v>
      </c>
      <c r="CM18" t="s">
        <v>665</v>
      </c>
      <c r="CN18" t="s">
        <v>667</v>
      </c>
      <c r="CO18" t="s">
        <v>679</v>
      </c>
      <c r="CP18" t="s">
        <v>681</v>
      </c>
      <c r="CQ18" t="s">
        <v>683</v>
      </c>
      <c r="CR18" t="s">
        <v>685</v>
      </c>
      <c r="CS18" t="s">
        <v>687</v>
      </c>
      <c r="CW18" s="2">
        <v>140624</v>
      </c>
      <c r="CX18" s="2">
        <v>42</v>
      </c>
      <c r="CY18" s="2">
        <v>42</v>
      </c>
      <c r="CZ18" s="2">
        <v>1</v>
      </c>
      <c r="DA18">
        <v>5</v>
      </c>
      <c r="DB18">
        <v>30</v>
      </c>
      <c r="DC18">
        <v>1</v>
      </c>
      <c r="DD18">
        <v>20</v>
      </c>
      <c r="DF18">
        <v>23</v>
      </c>
      <c r="DI18">
        <v>23</v>
      </c>
      <c r="DJ18">
        <v>250.97</v>
      </c>
      <c r="DL18">
        <v>23</v>
      </c>
      <c r="DM18">
        <v>0.8</v>
      </c>
      <c r="DO18" t="s">
        <v>395</v>
      </c>
      <c r="DP18">
        <v>20</v>
      </c>
      <c r="DQ18">
        <v>513.4</v>
      </c>
      <c r="DR18">
        <v>19</v>
      </c>
      <c r="DS18">
        <v>394.5</v>
      </c>
      <c r="DV18" t="s">
        <v>395</v>
      </c>
      <c r="DW18">
        <v>-64.34</v>
      </c>
      <c r="DX18">
        <v>20</v>
      </c>
      <c r="DZ18" t="s">
        <v>468</v>
      </c>
      <c r="EA18">
        <v>19</v>
      </c>
      <c r="EB18">
        <v>-75.959999999999994</v>
      </c>
      <c r="EE18" t="s">
        <v>395</v>
      </c>
      <c r="EF18">
        <v>-49.143999999999998</v>
      </c>
      <c r="EG18">
        <v>20</v>
      </c>
      <c r="EI18" t="s">
        <v>471</v>
      </c>
      <c r="EJ18">
        <v>-45.606000000000002</v>
      </c>
      <c r="EK18">
        <v>19</v>
      </c>
      <c r="EM18" t="s">
        <v>471</v>
      </c>
      <c r="EN18">
        <v>-76.5</v>
      </c>
      <c r="EP18" t="s">
        <v>471</v>
      </c>
      <c r="EQ18">
        <f t="shared" si="0"/>
        <v>30.893999999999998</v>
      </c>
      <c r="ES18">
        <v>100</v>
      </c>
      <c r="ET18">
        <v>0</v>
      </c>
      <c r="EU18">
        <v>0.5</v>
      </c>
      <c r="EV18">
        <v>0</v>
      </c>
      <c r="EW18">
        <v>3.5</v>
      </c>
      <c r="EX18">
        <v>1.5</v>
      </c>
      <c r="EY18">
        <v>1</v>
      </c>
      <c r="EZ18">
        <v>2</v>
      </c>
      <c r="FA18">
        <v>0.5</v>
      </c>
      <c r="FB18">
        <v>1</v>
      </c>
      <c r="FC18">
        <v>0</v>
      </c>
      <c r="FD18">
        <v>3</v>
      </c>
      <c r="FE18">
        <v>2</v>
      </c>
      <c r="FF18">
        <v>1.5</v>
      </c>
      <c r="FG18">
        <v>3</v>
      </c>
      <c r="FH18">
        <v>0</v>
      </c>
      <c r="FI18">
        <v>0.5</v>
      </c>
      <c r="FJ18">
        <v>0</v>
      </c>
      <c r="FK18">
        <v>0</v>
      </c>
      <c r="FL18">
        <v>0</v>
      </c>
      <c r="FM18">
        <v>1.5</v>
      </c>
      <c r="FN18" s="1">
        <f t="shared" si="4"/>
        <v>1.075</v>
      </c>
      <c r="GK18">
        <v>110624</v>
      </c>
      <c r="GL18">
        <v>30</v>
      </c>
      <c r="GM18">
        <v>30</v>
      </c>
      <c r="GN18">
        <v>0</v>
      </c>
      <c r="GO18">
        <v>4</v>
      </c>
      <c r="GP18">
        <v>20</v>
      </c>
      <c r="GQ18">
        <v>0</v>
      </c>
      <c r="GR18">
        <v>46</v>
      </c>
      <c r="GT18" t="s">
        <v>365</v>
      </c>
      <c r="GU18" s="8">
        <v>1.18</v>
      </c>
      <c r="GV18">
        <f>22.09/37.22</f>
        <v>0.59349811929070395</v>
      </c>
      <c r="GW18">
        <v>46</v>
      </c>
      <c r="GX18">
        <v>50</v>
      </c>
      <c r="GY18">
        <v>0.39</v>
      </c>
      <c r="HC18" t="s">
        <v>396</v>
      </c>
      <c r="HD18">
        <v>117.15</v>
      </c>
      <c r="HE18">
        <v>50</v>
      </c>
      <c r="HH18" t="s">
        <v>484</v>
      </c>
      <c r="HI18">
        <v>45</v>
      </c>
      <c r="HJ18">
        <v>258.77</v>
      </c>
      <c r="HL18" t="s">
        <v>396</v>
      </c>
      <c r="HM18">
        <v>-53.29</v>
      </c>
      <c r="HN18">
        <v>50</v>
      </c>
      <c r="HP18">
        <v>45</v>
      </c>
      <c r="HQ18">
        <v>-57.31</v>
      </c>
      <c r="HS18" t="s">
        <v>396</v>
      </c>
      <c r="HT18">
        <v>-53.29</v>
      </c>
      <c r="HU18">
        <f t="shared" si="1"/>
        <v>98.289999999999992</v>
      </c>
      <c r="HV18">
        <v>50</v>
      </c>
      <c r="HW18">
        <v>-45.661900000000003</v>
      </c>
      <c r="HX18">
        <v>45</v>
      </c>
      <c r="HY18">
        <v>11.648099999999999</v>
      </c>
      <c r="HZ18">
        <v>45</v>
      </c>
      <c r="IB18">
        <v>100</v>
      </c>
      <c r="IC18">
        <v>1</v>
      </c>
      <c r="ID18">
        <v>1</v>
      </c>
      <c r="IE18">
        <v>0</v>
      </c>
      <c r="IF18">
        <v>0</v>
      </c>
      <c r="IG18">
        <v>1</v>
      </c>
      <c r="IH18">
        <v>1</v>
      </c>
      <c r="II18">
        <v>0</v>
      </c>
      <c r="IJ18">
        <v>0.5</v>
      </c>
      <c r="IK18">
        <v>0</v>
      </c>
      <c r="IL18">
        <v>0</v>
      </c>
      <c r="IM18">
        <v>1</v>
      </c>
      <c r="IN18">
        <v>0.5</v>
      </c>
      <c r="IO18" s="1">
        <f t="shared" si="5"/>
        <v>0.5</v>
      </c>
    </row>
    <row r="19" spans="1:249" ht="13.15" x14ac:dyDescent="0.4">
      <c r="A19" s="2">
        <v>604232</v>
      </c>
      <c r="B19" s="2">
        <v>56</v>
      </c>
      <c r="C19" s="2">
        <v>56</v>
      </c>
      <c r="D19" s="2">
        <v>1</v>
      </c>
      <c r="E19" s="2"/>
      <c r="F19" s="2"/>
      <c r="G19" s="2"/>
      <c r="H19" s="2">
        <v>7</v>
      </c>
      <c r="J19">
        <v>7</v>
      </c>
      <c r="K19">
        <v>0.75</v>
      </c>
      <c r="M19">
        <v>8</v>
      </c>
      <c r="N19">
        <v>0.68</v>
      </c>
      <c r="P19" t="s">
        <v>509</v>
      </c>
      <c r="Q19">
        <v>321.25</v>
      </c>
      <c r="R19">
        <v>7</v>
      </c>
      <c r="T19" t="s">
        <v>394</v>
      </c>
      <c r="U19">
        <v>-52.06</v>
      </c>
      <c r="V19">
        <v>7</v>
      </c>
      <c r="X19">
        <v>-39.08</v>
      </c>
      <c r="Y19">
        <v>7</v>
      </c>
      <c r="AA19">
        <v>0.92000000000000204</v>
      </c>
      <c r="AB19">
        <v>7</v>
      </c>
      <c r="AD19">
        <v>50</v>
      </c>
      <c r="AE19">
        <v>1.5</v>
      </c>
      <c r="AF19">
        <v>0</v>
      </c>
      <c r="AG19">
        <v>2.5</v>
      </c>
      <c r="AH19">
        <v>7.5</v>
      </c>
      <c r="AI19">
        <v>4.5</v>
      </c>
      <c r="AJ19">
        <v>3</v>
      </c>
      <c r="AK19">
        <v>1.5</v>
      </c>
      <c r="AL19">
        <v>4</v>
      </c>
      <c r="AM19">
        <v>13.5</v>
      </c>
      <c r="AN19">
        <v>2</v>
      </c>
      <c r="AO19">
        <v>5</v>
      </c>
      <c r="AP19">
        <v>0</v>
      </c>
      <c r="AQ19">
        <v>7</v>
      </c>
      <c r="AR19">
        <v>8.5</v>
      </c>
      <c r="AS19">
        <v>1.5</v>
      </c>
      <c r="AT19">
        <v>0</v>
      </c>
      <c r="AU19">
        <v>2.5</v>
      </c>
      <c r="AV19">
        <v>2</v>
      </c>
      <c r="AW19">
        <v>2.5</v>
      </c>
      <c r="AX19">
        <v>3.5</v>
      </c>
      <c r="AY19">
        <v>10.5</v>
      </c>
      <c r="AZ19">
        <v>2.5</v>
      </c>
      <c r="BA19">
        <v>3.5</v>
      </c>
      <c r="BB19">
        <v>12.5</v>
      </c>
      <c r="BC19">
        <v>11</v>
      </c>
      <c r="BD19">
        <v>3.5</v>
      </c>
      <c r="BE19">
        <v>0</v>
      </c>
      <c r="BF19">
        <v>0</v>
      </c>
      <c r="BG19">
        <v>1.5</v>
      </c>
      <c r="BH19">
        <v>6.5</v>
      </c>
      <c r="BI19">
        <v>1</v>
      </c>
      <c r="BJ19">
        <v>0</v>
      </c>
      <c r="BK19">
        <v>2.5</v>
      </c>
      <c r="BL19">
        <v>8</v>
      </c>
      <c r="BM19">
        <v>5</v>
      </c>
      <c r="BN19">
        <v>2.5</v>
      </c>
      <c r="BO19">
        <v>4.5</v>
      </c>
      <c r="BP19">
        <v>1</v>
      </c>
      <c r="BQ19">
        <v>1.5</v>
      </c>
      <c r="BR19">
        <v>8.5</v>
      </c>
      <c r="BS19">
        <v>0.5</v>
      </c>
      <c r="BT19">
        <v>2.5</v>
      </c>
      <c r="BU19">
        <v>0</v>
      </c>
      <c r="BV19">
        <v>6</v>
      </c>
      <c r="BW19">
        <v>2.5</v>
      </c>
      <c r="BX19">
        <v>3.5</v>
      </c>
      <c r="BY19">
        <v>4</v>
      </c>
      <c r="BZ19">
        <v>11.5</v>
      </c>
      <c r="CA19">
        <v>24.5</v>
      </c>
      <c r="CB19">
        <v>1.5</v>
      </c>
      <c r="CC19">
        <v>6.5</v>
      </c>
      <c r="CD19">
        <v>11.5</v>
      </c>
      <c r="CE19">
        <v>3.5</v>
      </c>
      <c r="CF19">
        <v>7.5</v>
      </c>
      <c r="CG19">
        <v>3.5</v>
      </c>
      <c r="CH19">
        <v>7</v>
      </c>
      <c r="CI19">
        <v>4</v>
      </c>
      <c r="CJ19">
        <v>4</v>
      </c>
      <c r="CK19">
        <v>8</v>
      </c>
      <c r="CL19">
        <v>0.5</v>
      </c>
      <c r="CM19">
        <v>1.5</v>
      </c>
      <c r="CN19">
        <v>3</v>
      </c>
      <c r="CO19">
        <v>7</v>
      </c>
      <c r="CP19">
        <v>10.5</v>
      </c>
      <c r="CQ19">
        <v>2</v>
      </c>
      <c r="CR19">
        <v>3</v>
      </c>
      <c r="CS19">
        <v>8.5</v>
      </c>
      <c r="CT19" s="1">
        <f t="shared" ref="CT19:CT26" si="6">AVERAGE(AE19:CS19)</f>
        <v>4.5746268656716422</v>
      </c>
      <c r="CW19">
        <v>250722</v>
      </c>
      <c r="CX19">
        <v>20</v>
      </c>
      <c r="CY19">
        <v>20</v>
      </c>
      <c r="CZ19">
        <v>0</v>
      </c>
      <c r="DA19">
        <v>4</v>
      </c>
      <c r="DB19">
        <v>28</v>
      </c>
      <c r="DC19">
        <v>0</v>
      </c>
      <c r="DD19">
        <v>21</v>
      </c>
      <c r="DF19">
        <v>23</v>
      </c>
      <c r="DG19">
        <f>12.75/27.38</f>
        <v>0.46566837107377651</v>
      </c>
      <c r="DI19">
        <v>23</v>
      </c>
      <c r="DJ19">
        <v>222.57</v>
      </c>
      <c r="DL19">
        <v>23</v>
      </c>
      <c r="DM19">
        <v>0.77</v>
      </c>
      <c r="DO19" t="s">
        <v>399</v>
      </c>
      <c r="DP19">
        <v>20</v>
      </c>
      <c r="DQ19">
        <v>379.25</v>
      </c>
      <c r="DR19">
        <v>19</v>
      </c>
      <c r="DS19">
        <v>360.5</v>
      </c>
      <c r="DV19" t="s">
        <v>399</v>
      </c>
      <c r="DW19">
        <v>-59.57</v>
      </c>
      <c r="DX19">
        <v>20</v>
      </c>
      <c r="DZ19" t="s">
        <v>471</v>
      </c>
      <c r="EA19">
        <v>19</v>
      </c>
      <c r="EB19">
        <v>-76.5</v>
      </c>
      <c r="EE19" t="s">
        <v>399</v>
      </c>
      <c r="EF19">
        <v>-42.749699999999997</v>
      </c>
      <c r="EG19">
        <v>20</v>
      </c>
      <c r="EI19" t="s">
        <v>474</v>
      </c>
      <c r="EJ19">
        <v>-45.439100000000003</v>
      </c>
      <c r="EK19">
        <v>19</v>
      </c>
      <c r="EM19" t="s">
        <v>474</v>
      </c>
      <c r="EN19">
        <v>-71.040000000000006</v>
      </c>
      <c r="EP19" t="s">
        <v>474</v>
      </c>
      <c r="EQ19">
        <f t="shared" si="0"/>
        <v>25.600900000000003</v>
      </c>
      <c r="ES19">
        <v>150</v>
      </c>
      <c r="ET19">
        <v>0</v>
      </c>
      <c r="EU19">
        <v>2</v>
      </c>
      <c r="EV19">
        <v>1</v>
      </c>
      <c r="EW19">
        <v>3.5</v>
      </c>
      <c r="EX19">
        <v>3</v>
      </c>
      <c r="EY19">
        <v>1</v>
      </c>
      <c r="EZ19">
        <v>3.5</v>
      </c>
      <c r="FA19">
        <v>1.5</v>
      </c>
      <c r="FB19">
        <v>1.5</v>
      </c>
      <c r="FC19">
        <v>1</v>
      </c>
      <c r="FD19">
        <v>4</v>
      </c>
      <c r="FE19">
        <v>4</v>
      </c>
      <c r="FF19">
        <v>3</v>
      </c>
      <c r="FG19">
        <v>5.5</v>
      </c>
      <c r="FH19">
        <v>1</v>
      </c>
      <c r="FI19">
        <v>1</v>
      </c>
      <c r="FJ19">
        <v>0</v>
      </c>
      <c r="FK19">
        <v>0.5</v>
      </c>
      <c r="FL19">
        <v>0.5</v>
      </c>
      <c r="FM19">
        <v>2.5</v>
      </c>
      <c r="FN19" s="1">
        <f t="shared" si="4"/>
        <v>2</v>
      </c>
      <c r="GK19">
        <v>30322</v>
      </c>
      <c r="GL19">
        <v>12</v>
      </c>
      <c r="GM19">
        <v>12</v>
      </c>
      <c r="GN19">
        <v>0</v>
      </c>
      <c r="GR19">
        <v>47</v>
      </c>
      <c r="GT19" t="s">
        <v>369</v>
      </c>
      <c r="GU19" s="8">
        <v>0.8</v>
      </c>
      <c r="GW19">
        <v>46</v>
      </c>
      <c r="GX19">
        <v>50</v>
      </c>
      <c r="GY19">
        <v>0.63</v>
      </c>
      <c r="HC19" t="s">
        <v>400</v>
      </c>
      <c r="HD19">
        <v>218.32</v>
      </c>
      <c r="HE19">
        <v>50</v>
      </c>
      <c r="HH19" t="s">
        <v>487</v>
      </c>
      <c r="HI19">
        <v>45</v>
      </c>
      <c r="HJ19">
        <v>221.97</v>
      </c>
      <c r="HL19" t="s">
        <v>400</v>
      </c>
      <c r="HM19">
        <v>-60.49</v>
      </c>
      <c r="HN19">
        <v>50</v>
      </c>
      <c r="HP19">
        <v>45</v>
      </c>
      <c r="HQ19">
        <v>-62.88</v>
      </c>
      <c r="HS19" t="s">
        <v>400</v>
      </c>
      <c r="HT19">
        <v>-60.49</v>
      </c>
      <c r="HU19">
        <f t="shared" si="1"/>
        <v>105.49000000000001</v>
      </c>
      <c r="HV19">
        <v>50</v>
      </c>
      <c r="HW19">
        <v>-42.3431</v>
      </c>
      <c r="HX19">
        <v>45</v>
      </c>
      <c r="HY19">
        <v>20.536899999999999</v>
      </c>
      <c r="HZ19">
        <v>45</v>
      </c>
      <c r="IB19">
        <v>150</v>
      </c>
      <c r="IC19">
        <v>1</v>
      </c>
      <c r="ID19">
        <v>1.5</v>
      </c>
      <c r="IE19">
        <v>1</v>
      </c>
      <c r="IF19">
        <v>0.5</v>
      </c>
      <c r="IG19">
        <v>2.5</v>
      </c>
      <c r="IH19">
        <v>3</v>
      </c>
      <c r="II19">
        <v>0</v>
      </c>
      <c r="IJ19">
        <v>1</v>
      </c>
      <c r="IK19">
        <v>0.5</v>
      </c>
      <c r="IL19">
        <v>0</v>
      </c>
      <c r="IM19">
        <v>1</v>
      </c>
      <c r="IN19">
        <v>1</v>
      </c>
      <c r="IO19" s="1">
        <f t="shared" si="5"/>
        <v>1.0833333333333333</v>
      </c>
    </row>
    <row r="20" spans="1:249" ht="13.15" x14ac:dyDescent="0.4">
      <c r="A20" s="2">
        <v>120623</v>
      </c>
      <c r="B20" s="2">
        <v>56</v>
      </c>
      <c r="C20" s="2">
        <v>56</v>
      </c>
      <c r="D20" s="2">
        <v>3</v>
      </c>
      <c r="E20" s="2">
        <v>6</v>
      </c>
      <c r="F20" s="2">
        <v>42</v>
      </c>
      <c r="G20" s="2">
        <v>3</v>
      </c>
      <c r="H20" s="2">
        <v>7</v>
      </c>
      <c r="J20">
        <v>7</v>
      </c>
      <c r="K20">
        <v>0.97</v>
      </c>
      <c r="M20">
        <v>8</v>
      </c>
      <c r="N20">
        <v>0.31</v>
      </c>
      <c r="P20" t="s">
        <v>512</v>
      </c>
      <c r="Q20">
        <v>321.97000000000003</v>
      </c>
      <c r="R20">
        <v>7</v>
      </c>
      <c r="T20" t="s">
        <v>398</v>
      </c>
      <c r="U20">
        <v>-40</v>
      </c>
      <c r="V20">
        <v>7</v>
      </c>
      <c r="X20">
        <v>-37.06</v>
      </c>
      <c r="Y20">
        <v>7</v>
      </c>
      <c r="AA20">
        <v>9.94</v>
      </c>
      <c r="AB20">
        <v>7</v>
      </c>
      <c r="AD20">
        <v>100</v>
      </c>
      <c r="AE20">
        <v>3</v>
      </c>
      <c r="AF20">
        <v>1</v>
      </c>
      <c r="AG20">
        <v>5.5</v>
      </c>
      <c r="AH20">
        <v>10.5</v>
      </c>
      <c r="AI20">
        <v>12</v>
      </c>
      <c r="AJ20">
        <v>5</v>
      </c>
      <c r="AK20">
        <v>2.5</v>
      </c>
      <c r="AL20">
        <v>6.5</v>
      </c>
      <c r="AM20">
        <v>20.5</v>
      </c>
      <c r="AN20">
        <v>4.5</v>
      </c>
      <c r="AO20">
        <v>10.5</v>
      </c>
      <c r="AP20">
        <v>1.5</v>
      </c>
      <c r="AQ20">
        <v>13.5</v>
      </c>
      <c r="AR20">
        <v>17.5</v>
      </c>
      <c r="AS20">
        <v>4</v>
      </c>
      <c r="AT20">
        <v>2.5</v>
      </c>
      <c r="AU20">
        <v>5.5</v>
      </c>
      <c r="AV20">
        <v>3.5</v>
      </c>
      <c r="AW20">
        <v>4</v>
      </c>
      <c r="AX20">
        <v>6</v>
      </c>
      <c r="AY20">
        <v>20</v>
      </c>
      <c r="AZ20">
        <v>6</v>
      </c>
      <c r="BA20">
        <v>7</v>
      </c>
      <c r="BB20">
        <v>21</v>
      </c>
      <c r="BC20">
        <v>18</v>
      </c>
      <c r="BD20">
        <v>8</v>
      </c>
      <c r="BE20">
        <v>2.5</v>
      </c>
      <c r="BF20">
        <v>1.5</v>
      </c>
      <c r="BG20">
        <v>4.5</v>
      </c>
      <c r="BH20">
        <v>10</v>
      </c>
      <c r="BI20">
        <v>5</v>
      </c>
      <c r="BJ20">
        <v>1.5</v>
      </c>
      <c r="BK20">
        <v>9.5</v>
      </c>
      <c r="BL20">
        <v>18.5</v>
      </c>
      <c r="BM20">
        <v>5.5</v>
      </c>
      <c r="BN20">
        <v>3.5</v>
      </c>
      <c r="BO20">
        <v>11</v>
      </c>
      <c r="BP20">
        <v>1.5</v>
      </c>
      <c r="BQ20">
        <v>4.5</v>
      </c>
      <c r="BR20">
        <v>11.5</v>
      </c>
      <c r="BS20">
        <v>3.5</v>
      </c>
      <c r="BT20">
        <v>4</v>
      </c>
      <c r="BU20">
        <v>1.5</v>
      </c>
      <c r="BV20">
        <v>7.5</v>
      </c>
      <c r="BW20">
        <v>2.5</v>
      </c>
      <c r="BX20">
        <v>8.5</v>
      </c>
      <c r="BY20">
        <v>10.5</v>
      </c>
      <c r="BZ20">
        <v>22.5</v>
      </c>
      <c r="CA20">
        <f>75/2</f>
        <v>37.5</v>
      </c>
      <c r="CB20">
        <v>3</v>
      </c>
      <c r="CC20">
        <v>12</v>
      </c>
      <c r="CD20">
        <v>24.5</v>
      </c>
      <c r="CE20">
        <v>5</v>
      </c>
      <c r="CF20">
        <v>16</v>
      </c>
      <c r="CG20">
        <v>6</v>
      </c>
      <c r="CH20">
        <v>11.5</v>
      </c>
      <c r="CI20">
        <v>8</v>
      </c>
      <c r="CJ20">
        <v>7.5</v>
      </c>
      <c r="CK20">
        <v>16</v>
      </c>
      <c r="CL20">
        <v>5</v>
      </c>
      <c r="CM20">
        <v>2.5</v>
      </c>
      <c r="CN20">
        <v>7</v>
      </c>
      <c r="CO20">
        <v>10.5</v>
      </c>
      <c r="CP20">
        <v>18</v>
      </c>
      <c r="CQ20">
        <v>3.5</v>
      </c>
      <c r="CR20">
        <v>7</v>
      </c>
      <c r="CS20">
        <v>12.5</v>
      </c>
      <c r="CT20" s="1">
        <f t="shared" si="6"/>
        <v>8.7089552238805972</v>
      </c>
      <c r="CW20" s="2">
        <v>10822</v>
      </c>
      <c r="CX20" s="2">
        <v>30</v>
      </c>
      <c r="CY20" s="2">
        <v>30</v>
      </c>
      <c r="CZ20" s="2">
        <v>1</v>
      </c>
      <c r="DA20">
        <v>5</v>
      </c>
      <c r="DB20">
        <v>25</v>
      </c>
      <c r="DC20">
        <v>1</v>
      </c>
      <c r="DD20">
        <v>21</v>
      </c>
      <c r="DF20">
        <v>23</v>
      </c>
      <c r="DI20">
        <v>23</v>
      </c>
      <c r="DJ20">
        <v>219.2</v>
      </c>
      <c r="DL20">
        <v>23</v>
      </c>
      <c r="DM20">
        <v>0.82</v>
      </c>
      <c r="DO20" t="s">
        <v>402</v>
      </c>
      <c r="DP20">
        <v>20</v>
      </c>
      <c r="DQ20">
        <v>307.67</v>
      </c>
      <c r="DR20">
        <v>19</v>
      </c>
      <c r="DS20">
        <v>477.6</v>
      </c>
      <c r="DV20" t="s">
        <v>402</v>
      </c>
      <c r="DW20">
        <v>-58.47</v>
      </c>
      <c r="DX20">
        <v>20</v>
      </c>
      <c r="DZ20" t="s">
        <v>474</v>
      </c>
      <c r="EA20">
        <v>19</v>
      </c>
      <c r="EB20">
        <v>-71.040000000000006</v>
      </c>
      <c r="EE20" t="s">
        <v>402</v>
      </c>
      <c r="EF20">
        <v>-41.889000000000003</v>
      </c>
      <c r="EG20">
        <v>20</v>
      </c>
      <c r="EI20" t="s">
        <v>477</v>
      </c>
      <c r="EJ20">
        <v>-54.5242</v>
      </c>
      <c r="EK20">
        <v>19</v>
      </c>
      <c r="EM20" t="s">
        <v>477</v>
      </c>
      <c r="EN20">
        <v>-70.92</v>
      </c>
      <c r="EP20" t="s">
        <v>477</v>
      </c>
      <c r="EQ20">
        <f t="shared" si="0"/>
        <v>16.395800000000001</v>
      </c>
      <c r="ES20">
        <v>200</v>
      </c>
      <c r="ET20">
        <v>0</v>
      </c>
      <c r="EU20">
        <v>4</v>
      </c>
      <c r="EV20">
        <v>1.5</v>
      </c>
      <c r="EW20">
        <v>6</v>
      </c>
      <c r="EX20">
        <v>4</v>
      </c>
      <c r="EY20">
        <v>2</v>
      </c>
      <c r="EZ20">
        <v>5.5</v>
      </c>
      <c r="FA20">
        <v>2</v>
      </c>
      <c r="FB20">
        <v>2.5</v>
      </c>
      <c r="FC20">
        <v>2.5</v>
      </c>
      <c r="FD20">
        <v>5.5</v>
      </c>
      <c r="FE20">
        <v>5</v>
      </c>
      <c r="FF20">
        <v>4.5</v>
      </c>
      <c r="FG20">
        <v>7.5</v>
      </c>
      <c r="FH20">
        <v>2</v>
      </c>
      <c r="FI20">
        <v>1</v>
      </c>
      <c r="FJ20">
        <v>1</v>
      </c>
      <c r="FK20">
        <v>1.5</v>
      </c>
      <c r="FL20">
        <v>1</v>
      </c>
      <c r="FM20">
        <v>3.5</v>
      </c>
      <c r="FN20" s="1">
        <f t="shared" si="4"/>
        <v>3.125</v>
      </c>
      <c r="GK20" s="2">
        <v>60422</v>
      </c>
      <c r="GL20" s="2">
        <v>12</v>
      </c>
      <c r="GM20" s="2">
        <v>12</v>
      </c>
      <c r="GN20" s="2">
        <v>1</v>
      </c>
      <c r="GO20" s="2"/>
      <c r="GP20" s="2"/>
      <c r="GQ20" s="2"/>
      <c r="GR20" s="2">
        <v>47</v>
      </c>
      <c r="GT20" t="s">
        <v>410</v>
      </c>
      <c r="GU20">
        <v>0.56000000000000005</v>
      </c>
      <c r="GW20">
        <v>45</v>
      </c>
      <c r="GX20">
        <v>50</v>
      </c>
      <c r="GY20" s="8">
        <v>0.81</v>
      </c>
      <c r="HC20" t="s">
        <v>403</v>
      </c>
      <c r="HD20">
        <v>102.37</v>
      </c>
      <c r="HE20">
        <v>50</v>
      </c>
      <c r="HH20" t="s">
        <v>490</v>
      </c>
      <c r="HI20">
        <v>46</v>
      </c>
      <c r="HJ20">
        <v>195.5</v>
      </c>
      <c r="HL20" t="s">
        <v>403</v>
      </c>
      <c r="HM20">
        <v>-53.48</v>
      </c>
      <c r="HN20">
        <v>50</v>
      </c>
      <c r="HP20">
        <v>46</v>
      </c>
      <c r="HQ20">
        <v>-57.82</v>
      </c>
      <c r="HS20" t="s">
        <v>403</v>
      </c>
      <c r="HT20">
        <v>-53.48</v>
      </c>
      <c r="HU20">
        <f t="shared" si="1"/>
        <v>99.47999999999999</v>
      </c>
      <c r="HV20">
        <v>50</v>
      </c>
      <c r="HW20">
        <v>-45.057699999999997</v>
      </c>
      <c r="HX20">
        <v>46</v>
      </c>
      <c r="HY20">
        <v>12.7623</v>
      </c>
      <c r="HZ20">
        <v>46</v>
      </c>
      <c r="IB20">
        <v>200</v>
      </c>
      <c r="IC20">
        <v>2.5</v>
      </c>
      <c r="ID20">
        <v>2.5</v>
      </c>
      <c r="IE20">
        <v>2</v>
      </c>
      <c r="IF20">
        <v>0.5</v>
      </c>
      <c r="IG20">
        <v>3</v>
      </c>
      <c r="IH20">
        <v>5.5</v>
      </c>
      <c r="II20">
        <v>0</v>
      </c>
      <c r="IJ20">
        <v>1</v>
      </c>
      <c r="IK20">
        <v>1</v>
      </c>
      <c r="IL20">
        <v>1</v>
      </c>
      <c r="IM20">
        <v>1.5</v>
      </c>
      <c r="IN20">
        <v>1.5</v>
      </c>
      <c r="IO20" s="1">
        <f t="shared" si="5"/>
        <v>1.8333333333333333</v>
      </c>
    </row>
    <row r="21" spans="1:249" ht="13.15" x14ac:dyDescent="0.4">
      <c r="A21" s="2">
        <v>50923</v>
      </c>
      <c r="B21" s="2">
        <v>56</v>
      </c>
      <c r="C21" s="2">
        <v>56</v>
      </c>
      <c r="D21" s="2">
        <v>1</v>
      </c>
      <c r="E21" s="2">
        <v>4</v>
      </c>
      <c r="F21" s="2">
        <v>24</v>
      </c>
      <c r="G21" s="2">
        <v>1</v>
      </c>
      <c r="H21" s="2">
        <v>7</v>
      </c>
      <c r="J21">
        <v>7</v>
      </c>
      <c r="K21">
        <v>2.91</v>
      </c>
      <c r="M21">
        <v>8</v>
      </c>
      <c r="N21">
        <v>0.72</v>
      </c>
      <c r="P21" t="s">
        <v>515</v>
      </c>
      <c r="Q21">
        <v>314.75</v>
      </c>
      <c r="R21">
        <v>7</v>
      </c>
      <c r="T21" t="s">
        <v>401</v>
      </c>
      <c r="U21">
        <v>-47</v>
      </c>
      <c r="V21">
        <v>7</v>
      </c>
      <c r="X21">
        <v>-39.130000000000003</v>
      </c>
      <c r="Y21">
        <v>7</v>
      </c>
      <c r="AA21">
        <v>6.87</v>
      </c>
      <c r="AB21">
        <v>7</v>
      </c>
      <c r="AD21">
        <v>150</v>
      </c>
      <c r="AE21">
        <v>4</v>
      </c>
      <c r="AF21">
        <v>1</v>
      </c>
      <c r="AG21">
        <v>9.5</v>
      </c>
      <c r="AH21">
        <v>16</v>
      </c>
      <c r="AI21">
        <v>16.5</v>
      </c>
      <c r="AJ21">
        <v>8.5</v>
      </c>
      <c r="AK21">
        <v>3.5</v>
      </c>
      <c r="AL21">
        <v>11</v>
      </c>
      <c r="AM21">
        <v>19.5</v>
      </c>
      <c r="AN21">
        <v>7</v>
      </c>
      <c r="AO21">
        <v>14.5</v>
      </c>
      <c r="AP21">
        <v>3.5</v>
      </c>
      <c r="AQ21">
        <v>18</v>
      </c>
      <c r="AR21">
        <f>35/2</f>
        <v>17.5</v>
      </c>
      <c r="AS21">
        <v>6</v>
      </c>
      <c r="AT21">
        <v>8.5</v>
      </c>
      <c r="AU21">
        <v>7.5</v>
      </c>
      <c r="AV21">
        <v>5.5</v>
      </c>
      <c r="AW21">
        <v>6.5</v>
      </c>
      <c r="AX21">
        <v>8.5</v>
      </c>
      <c r="AY21">
        <v>24.5</v>
      </c>
      <c r="AZ21">
        <v>9</v>
      </c>
      <c r="BA21">
        <v>11</v>
      </c>
      <c r="BB21">
        <v>20.5</v>
      </c>
      <c r="BC21">
        <v>24.5</v>
      </c>
      <c r="BD21">
        <v>6.5</v>
      </c>
      <c r="BE21">
        <v>1</v>
      </c>
      <c r="BF21">
        <v>2</v>
      </c>
      <c r="BG21">
        <v>5</v>
      </c>
      <c r="BH21">
        <v>13</v>
      </c>
      <c r="BI21">
        <v>4</v>
      </c>
      <c r="BJ21">
        <v>3</v>
      </c>
      <c r="BK21">
        <v>12.5</v>
      </c>
      <c r="BL21">
        <v>22.5</v>
      </c>
      <c r="BM21">
        <v>7.5</v>
      </c>
      <c r="BN21">
        <v>5</v>
      </c>
      <c r="BO21">
        <v>16</v>
      </c>
      <c r="BP21">
        <v>2.5</v>
      </c>
      <c r="BQ21">
        <v>7</v>
      </c>
      <c r="BR21">
        <v>12.5</v>
      </c>
      <c r="BS21">
        <v>5</v>
      </c>
      <c r="BT21">
        <v>6</v>
      </c>
      <c r="BU21">
        <v>3.5</v>
      </c>
      <c r="BV21">
        <v>9</v>
      </c>
      <c r="BW21">
        <v>3.5</v>
      </c>
      <c r="BX21">
        <v>13</v>
      </c>
      <c r="BY21">
        <v>17</v>
      </c>
      <c r="BZ21">
        <v>26</v>
      </c>
      <c r="CA21">
        <v>43</v>
      </c>
      <c r="CB21">
        <v>4.5</v>
      </c>
      <c r="CC21">
        <v>20</v>
      </c>
      <c r="CD21">
        <v>27.5</v>
      </c>
      <c r="CE21">
        <v>7</v>
      </c>
      <c r="CF21">
        <v>19</v>
      </c>
      <c r="CG21">
        <v>10</v>
      </c>
      <c r="CH21">
        <v>15.5</v>
      </c>
      <c r="CI21">
        <v>10.5</v>
      </c>
      <c r="CJ21">
        <v>8.5</v>
      </c>
      <c r="CK21">
        <v>20.5</v>
      </c>
      <c r="CL21">
        <v>11</v>
      </c>
      <c r="CM21">
        <v>4</v>
      </c>
      <c r="CN21">
        <v>9.5</v>
      </c>
      <c r="CO21">
        <v>16.5</v>
      </c>
      <c r="CP21">
        <v>21</v>
      </c>
      <c r="CQ21">
        <v>6</v>
      </c>
      <c r="CR21">
        <v>10</v>
      </c>
      <c r="CS21">
        <v>15.5</v>
      </c>
      <c r="CT21" s="1">
        <f t="shared" si="6"/>
        <v>11.41044776119403</v>
      </c>
      <c r="CW21" s="2">
        <v>30822</v>
      </c>
      <c r="CX21" s="2">
        <v>56</v>
      </c>
      <c r="CY21" s="2">
        <v>56</v>
      </c>
      <c r="CZ21" s="2">
        <v>2</v>
      </c>
      <c r="DA21">
        <v>5</v>
      </c>
      <c r="DB21">
        <v>30</v>
      </c>
      <c r="DC21">
        <v>2</v>
      </c>
      <c r="DD21">
        <v>21</v>
      </c>
      <c r="DF21">
        <v>23</v>
      </c>
      <c r="DI21">
        <v>23</v>
      </c>
      <c r="DJ21">
        <v>219.2</v>
      </c>
      <c r="DL21">
        <v>23</v>
      </c>
      <c r="DM21">
        <v>0.53</v>
      </c>
      <c r="DO21" t="s">
        <v>405</v>
      </c>
      <c r="DP21">
        <v>20</v>
      </c>
      <c r="DQ21">
        <v>243.75</v>
      </c>
      <c r="DR21">
        <v>19</v>
      </c>
      <c r="DS21">
        <v>399.7</v>
      </c>
      <c r="DV21" t="s">
        <v>405</v>
      </c>
      <c r="DW21">
        <v>-55.03</v>
      </c>
      <c r="DX21">
        <v>20</v>
      </c>
      <c r="DZ21" t="s">
        <v>477</v>
      </c>
      <c r="EA21">
        <v>19</v>
      </c>
      <c r="EB21">
        <v>-70.92</v>
      </c>
      <c r="EE21" t="s">
        <v>405</v>
      </c>
      <c r="EF21">
        <v>-42.662799999999997</v>
      </c>
      <c r="EG21">
        <v>20</v>
      </c>
      <c r="EI21" t="s">
        <v>676</v>
      </c>
      <c r="EJ21">
        <v>-38.90305</v>
      </c>
      <c r="EK21">
        <v>19</v>
      </c>
      <c r="EM21" t="s">
        <v>676</v>
      </c>
      <c r="EN21">
        <v>-68.430000000000007</v>
      </c>
      <c r="EP21" t="s">
        <v>676</v>
      </c>
      <c r="EQ21">
        <f t="shared" si="0"/>
        <v>29.526950000000006</v>
      </c>
      <c r="ES21">
        <v>250</v>
      </c>
      <c r="ET21">
        <v>0.5</v>
      </c>
      <c r="EU21">
        <v>5</v>
      </c>
      <c r="EV21">
        <v>1.5</v>
      </c>
      <c r="EW21">
        <v>6.5</v>
      </c>
      <c r="EX21">
        <v>4.5</v>
      </c>
      <c r="EY21">
        <v>3</v>
      </c>
      <c r="EZ21">
        <v>7</v>
      </c>
      <c r="FA21">
        <v>3</v>
      </c>
      <c r="FB21">
        <v>4.5</v>
      </c>
      <c r="FC21">
        <v>3.5</v>
      </c>
      <c r="FD21">
        <v>6</v>
      </c>
      <c r="FE21">
        <v>6</v>
      </c>
      <c r="FF21">
        <v>5.5</v>
      </c>
      <c r="FG21">
        <v>9</v>
      </c>
      <c r="FH21">
        <v>3.5</v>
      </c>
      <c r="FI21">
        <v>2</v>
      </c>
      <c r="FJ21">
        <v>1</v>
      </c>
      <c r="FK21">
        <v>2.5</v>
      </c>
      <c r="FL21">
        <v>2</v>
      </c>
      <c r="FM21">
        <v>5</v>
      </c>
      <c r="FN21" s="1">
        <f t="shared" si="4"/>
        <v>4.0750000000000002</v>
      </c>
      <c r="GK21" s="2">
        <v>200422</v>
      </c>
      <c r="GL21" s="2">
        <v>20</v>
      </c>
      <c r="GM21" s="2">
        <v>20</v>
      </c>
      <c r="GN21" s="2">
        <v>1</v>
      </c>
      <c r="GO21" s="2">
        <v>3</v>
      </c>
      <c r="GP21" s="2">
        <v>12</v>
      </c>
      <c r="GQ21" s="2">
        <v>1</v>
      </c>
      <c r="GR21" s="2">
        <v>47</v>
      </c>
      <c r="GT21" t="s">
        <v>373</v>
      </c>
      <c r="GU21">
        <v>0.98</v>
      </c>
      <c r="GW21">
        <v>50</v>
      </c>
      <c r="GX21">
        <v>50</v>
      </c>
      <c r="GY21">
        <v>0.48</v>
      </c>
      <c r="HC21" t="s">
        <v>406</v>
      </c>
      <c r="HD21">
        <v>71.17</v>
      </c>
      <c r="HE21">
        <v>50</v>
      </c>
      <c r="HH21" t="s">
        <v>493</v>
      </c>
      <c r="HI21">
        <v>46</v>
      </c>
      <c r="HJ21">
        <v>232.95</v>
      </c>
      <c r="HL21" t="s">
        <v>406</v>
      </c>
      <c r="HM21">
        <v>-46.81</v>
      </c>
      <c r="HN21">
        <v>50</v>
      </c>
      <c r="HP21">
        <v>46</v>
      </c>
      <c r="HQ21">
        <v>-60.67</v>
      </c>
      <c r="HS21" t="s">
        <v>406</v>
      </c>
      <c r="HT21">
        <v>-46.81</v>
      </c>
      <c r="HU21">
        <f t="shared" si="1"/>
        <v>92.81</v>
      </c>
      <c r="HV21">
        <v>50</v>
      </c>
      <c r="HW21">
        <v>-44.445799999999998</v>
      </c>
      <c r="HX21">
        <v>46</v>
      </c>
      <c r="HY21">
        <v>16.2242</v>
      </c>
      <c r="HZ21">
        <v>46</v>
      </c>
      <c r="IB21">
        <v>250</v>
      </c>
      <c r="IC21">
        <v>2.5</v>
      </c>
      <c r="ID21">
        <v>4</v>
      </c>
      <c r="IE21">
        <v>3.5</v>
      </c>
      <c r="IF21">
        <v>1</v>
      </c>
      <c r="IG21">
        <v>3.5</v>
      </c>
      <c r="IH21">
        <v>7</v>
      </c>
      <c r="II21">
        <v>1</v>
      </c>
      <c r="IJ21">
        <v>1</v>
      </c>
      <c r="IK21">
        <v>1.5</v>
      </c>
      <c r="IL21">
        <v>1</v>
      </c>
      <c r="IM21">
        <v>2</v>
      </c>
      <c r="IN21">
        <v>2</v>
      </c>
      <c r="IO21" s="1">
        <f t="shared" si="5"/>
        <v>2.5</v>
      </c>
    </row>
    <row r="22" spans="1:249" ht="13.15" x14ac:dyDescent="0.4">
      <c r="A22" s="2">
        <v>70923</v>
      </c>
      <c r="B22" s="2">
        <v>56</v>
      </c>
      <c r="C22" s="2">
        <v>56</v>
      </c>
      <c r="D22" s="2">
        <v>2</v>
      </c>
      <c r="E22" s="2">
        <v>7</v>
      </c>
      <c r="F22" s="2">
        <v>49</v>
      </c>
      <c r="G22" s="2">
        <v>2</v>
      </c>
      <c r="H22" s="2">
        <v>7</v>
      </c>
      <c r="J22">
        <v>7</v>
      </c>
      <c r="K22">
        <v>2.42</v>
      </c>
      <c r="M22">
        <v>8</v>
      </c>
      <c r="N22">
        <v>0.33</v>
      </c>
      <c r="P22" t="s">
        <v>518</v>
      </c>
      <c r="Q22">
        <v>521.20000000000005</v>
      </c>
      <c r="R22">
        <v>7</v>
      </c>
      <c r="T22" t="s">
        <v>404</v>
      </c>
      <c r="U22">
        <v>-46</v>
      </c>
      <c r="V22">
        <v>7</v>
      </c>
      <c r="X22">
        <v>-42.14</v>
      </c>
      <c r="Y22">
        <v>7</v>
      </c>
      <c r="AA22">
        <v>15.79</v>
      </c>
      <c r="AB22">
        <v>7</v>
      </c>
      <c r="AD22">
        <v>200</v>
      </c>
      <c r="AE22">
        <v>5</v>
      </c>
      <c r="AF22">
        <v>1.5</v>
      </c>
      <c r="AG22">
        <v>12.5</v>
      </c>
      <c r="AH22">
        <v>20.5</v>
      </c>
      <c r="AI22">
        <v>20</v>
      </c>
      <c r="AJ22">
        <v>11</v>
      </c>
      <c r="AK22">
        <v>4</v>
      </c>
      <c r="AL22">
        <v>24.5</v>
      </c>
      <c r="AM22">
        <v>6.5</v>
      </c>
      <c r="AN22">
        <v>10</v>
      </c>
      <c r="AO22">
        <v>18</v>
      </c>
      <c r="AP22">
        <v>5.5</v>
      </c>
      <c r="AQ22">
        <f>43/2</f>
        <v>21.5</v>
      </c>
      <c r="AR22">
        <v>7.5</v>
      </c>
      <c r="AS22">
        <v>8</v>
      </c>
      <c r="AT22">
        <v>12.5</v>
      </c>
      <c r="AU22">
        <v>10</v>
      </c>
      <c r="AV22">
        <v>8</v>
      </c>
      <c r="AW22">
        <v>8.5</v>
      </c>
      <c r="AX22">
        <v>10</v>
      </c>
      <c r="AY22">
        <v>24</v>
      </c>
      <c r="AZ22">
        <v>9.5</v>
      </c>
      <c r="BA22">
        <v>14.5</v>
      </c>
      <c r="BB22">
        <v>14</v>
      </c>
      <c r="BC22">
        <v>29</v>
      </c>
      <c r="BD22">
        <v>7.5</v>
      </c>
      <c r="BE22">
        <v>1.5</v>
      </c>
      <c r="BF22">
        <v>3.5</v>
      </c>
      <c r="BG22">
        <v>7</v>
      </c>
      <c r="BH22">
        <v>19</v>
      </c>
      <c r="BI22">
        <v>7</v>
      </c>
      <c r="BJ22">
        <v>4</v>
      </c>
      <c r="BK22">
        <v>16</v>
      </c>
      <c r="BL22">
        <v>24.5</v>
      </c>
      <c r="BM22">
        <v>9.5</v>
      </c>
      <c r="BN22">
        <v>5</v>
      </c>
      <c r="BO22">
        <v>20</v>
      </c>
      <c r="BP22">
        <v>4</v>
      </c>
      <c r="BQ22">
        <v>8.5</v>
      </c>
      <c r="BR22">
        <v>12.5</v>
      </c>
      <c r="BS22">
        <v>7</v>
      </c>
      <c r="BT22">
        <v>8</v>
      </c>
      <c r="BU22">
        <v>4.5</v>
      </c>
      <c r="BV22">
        <v>11</v>
      </c>
      <c r="BW22">
        <v>4.5</v>
      </c>
      <c r="BX22">
        <v>17.5</v>
      </c>
      <c r="BY22">
        <v>23.5</v>
      </c>
      <c r="BZ22">
        <v>23</v>
      </c>
      <c r="CA22">
        <f>96/2</f>
        <v>48</v>
      </c>
      <c r="CB22">
        <v>6.5</v>
      </c>
      <c r="CC22">
        <v>23.5</v>
      </c>
      <c r="CD22">
        <v>36.5</v>
      </c>
      <c r="CE22">
        <f>17/2</f>
        <v>8.5</v>
      </c>
      <c r="CF22">
        <v>21</v>
      </c>
      <c r="CG22">
        <v>12</v>
      </c>
      <c r="CH22">
        <v>7.5</v>
      </c>
      <c r="CI22">
        <v>13</v>
      </c>
      <c r="CJ22">
        <v>10</v>
      </c>
      <c r="CK22">
        <v>26</v>
      </c>
      <c r="CL22">
        <v>14.5</v>
      </c>
      <c r="CM22">
        <v>6</v>
      </c>
      <c r="CN22">
        <v>14</v>
      </c>
      <c r="CO22">
        <v>22</v>
      </c>
      <c r="CP22">
        <v>24</v>
      </c>
      <c r="CQ22">
        <v>8</v>
      </c>
      <c r="CR22">
        <v>12</v>
      </c>
      <c r="CS22">
        <v>15</v>
      </c>
      <c r="CT22" s="1">
        <f t="shared" si="6"/>
        <v>13.32089552238806</v>
      </c>
      <c r="CW22" s="2">
        <v>308222</v>
      </c>
      <c r="CX22" s="2">
        <v>56</v>
      </c>
      <c r="CY22" s="2">
        <v>56</v>
      </c>
      <c r="CZ22" s="2">
        <v>2</v>
      </c>
      <c r="DA22">
        <v>6</v>
      </c>
      <c r="DB22">
        <v>36</v>
      </c>
      <c r="DC22">
        <v>2</v>
      </c>
      <c r="DD22">
        <v>21</v>
      </c>
      <c r="DF22">
        <v>24</v>
      </c>
      <c r="DI22">
        <v>24</v>
      </c>
      <c r="DJ22">
        <v>267.85000000000002</v>
      </c>
      <c r="DL22">
        <v>24</v>
      </c>
      <c r="DM22">
        <v>0.41</v>
      </c>
      <c r="DO22" t="s">
        <v>408</v>
      </c>
      <c r="DP22">
        <v>20</v>
      </c>
      <c r="DQ22">
        <v>294.5</v>
      </c>
      <c r="DR22">
        <v>19</v>
      </c>
      <c r="DS22">
        <v>393.4</v>
      </c>
      <c r="DV22" t="s">
        <v>408</v>
      </c>
      <c r="DW22">
        <v>-61.84</v>
      </c>
      <c r="DX22">
        <v>20</v>
      </c>
      <c r="DZ22" t="s">
        <v>676</v>
      </c>
      <c r="EA22">
        <v>19</v>
      </c>
      <c r="EB22">
        <v>-68.430000000000007</v>
      </c>
      <c r="EE22" t="s">
        <v>408</v>
      </c>
      <c r="EF22">
        <v>-44.055100000000003</v>
      </c>
      <c r="EG22">
        <v>20</v>
      </c>
      <c r="EI22" t="s">
        <v>678</v>
      </c>
      <c r="EJ22">
        <v>-39.214300000000001</v>
      </c>
      <c r="EK22">
        <v>19</v>
      </c>
      <c r="EM22" t="s">
        <v>678</v>
      </c>
      <c r="EN22">
        <v>-70.430000000000007</v>
      </c>
      <c r="EP22" t="s">
        <v>678</v>
      </c>
      <c r="EQ22">
        <f t="shared" si="0"/>
        <v>31.215700000000005</v>
      </c>
      <c r="ES22">
        <v>300</v>
      </c>
      <c r="ET22">
        <v>1</v>
      </c>
      <c r="EU22">
        <v>5.5</v>
      </c>
      <c r="EV22">
        <v>2</v>
      </c>
      <c r="EW22">
        <v>6</v>
      </c>
      <c r="EX22">
        <v>4.5</v>
      </c>
      <c r="EY22">
        <v>3.5</v>
      </c>
      <c r="EZ22">
        <v>8.5</v>
      </c>
      <c r="FA22">
        <v>3.5</v>
      </c>
      <c r="FB22">
        <v>4.5</v>
      </c>
      <c r="FC22">
        <v>4</v>
      </c>
      <c r="FD22">
        <v>9</v>
      </c>
      <c r="FE22">
        <v>7</v>
      </c>
      <c r="FF22">
        <v>7</v>
      </c>
      <c r="FG22">
        <v>11</v>
      </c>
      <c r="FH22">
        <v>3.5</v>
      </c>
      <c r="FI22">
        <v>2.5</v>
      </c>
      <c r="FJ22">
        <v>2</v>
      </c>
      <c r="FK22">
        <v>3</v>
      </c>
      <c r="FL22">
        <v>2</v>
      </c>
      <c r="FM22">
        <v>5</v>
      </c>
      <c r="FN22" s="1">
        <f t="shared" si="4"/>
        <v>4.75</v>
      </c>
      <c r="GK22" s="2">
        <v>2004222</v>
      </c>
      <c r="GL22" s="2">
        <v>56</v>
      </c>
      <c r="GM22" s="2">
        <v>56</v>
      </c>
      <c r="GN22" s="2">
        <v>1</v>
      </c>
      <c r="GO22" s="2">
        <v>4</v>
      </c>
      <c r="GP22" s="2">
        <v>28</v>
      </c>
      <c r="GQ22" s="2">
        <v>1</v>
      </c>
      <c r="GR22" s="2">
        <v>47</v>
      </c>
      <c r="GT22" t="s">
        <v>377</v>
      </c>
      <c r="GU22">
        <v>1.75</v>
      </c>
      <c r="GW22">
        <v>50</v>
      </c>
      <c r="GX22">
        <v>50</v>
      </c>
      <c r="GY22" s="8">
        <v>0.95</v>
      </c>
      <c r="HC22" t="s">
        <v>409</v>
      </c>
      <c r="HD22">
        <v>47.12</v>
      </c>
      <c r="HE22">
        <v>50</v>
      </c>
      <c r="HH22" t="s">
        <v>496</v>
      </c>
      <c r="HI22">
        <v>46</v>
      </c>
      <c r="HJ22">
        <v>197.25</v>
      </c>
      <c r="HL22" t="s">
        <v>409</v>
      </c>
      <c r="HM22">
        <v>-42.74</v>
      </c>
      <c r="HN22">
        <v>50</v>
      </c>
      <c r="HP22">
        <v>46</v>
      </c>
      <c r="HQ22">
        <v>-58</v>
      </c>
      <c r="HS22" t="s">
        <v>409</v>
      </c>
      <c r="HT22">
        <v>-42.74</v>
      </c>
      <c r="HU22">
        <f t="shared" si="1"/>
        <v>88.740000000000009</v>
      </c>
      <c r="HV22">
        <v>50</v>
      </c>
      <c r="HW22">
        <v>-41.261299999999999</v>
      </c>
      <c r="HX22">
        <v>46</v>
      </c>
      <c r="HY22">
        <v>16.738700000000001</v>
      </c>
      <c r="HZ22">
        <v>46</v>
      </c>
      <c r="IB22">
        <v>300</v>
      </c>
      <c r="IC22">
        <v>2.5</v>
      </c>
      <c r="ID22">
        <v>5</v>
      </c>
      <c r="IE22">
        <v>4.5</v>
      </c>
      <c r="IF22">
        <v>2.5</v>
      </c>
      <c r="IG22">
        <v>3.5</v>
      </c>
      <c r="IH22">
        <v>8.5</v>
      </c>
      <c r="II22">
        <v>1</v>
      </c>
      <c r="IJ22">
        <v>2</v>
      </c>
      <c r="IK22">
        <v>1.5</v>
      </c>
      <c r="IL22">
        <v>2</v>
      </c>
      <c r="IM22">
        <v>1.5</v>
      </c>
      <c r="IN22">
        <v>2.5</v>
      </c>
      <c r="IO22" s="1">
        <f t="shared" si="5"/>
        <v>3.0833333333333335</v>
      </c>
    </row>
    <row r="23" spans="1:249" ht="13.15" x14ac:dyDescent="0.4">
      <c r="A23" s="2">
        <v>80923</v>
      </c>
      <c r="B23" s="2">
        <v>56</v>
      </c>
      <c r="C23" s="2">
        <v>56</v>
      </c>
      <c r="D23" s="2">
        <v>2</v>
      </c>
      <c r="E23" s="2">
        <v>6</v>
      </c>
      <c r="F23" s="2">
        <v>42</v>
      </c>
      <c r="G23" s="2">
        <v>2</v>
      </c>
      <c r="H23" s="2">
        <v>7</v>
      </c>
      <c r="J23">
        <v>7</v>
      </c>
      <c r="K23">
        <v>5.08</v>
      </c>
      <c r="M23">
        <v>8</v>
      </c>
      <c r="N23">
        <v>0.56000000000000005</v>
      </c>
      <c r="P23" t="s">
        <v>521</v>
      </c>
      <c r="Q23">
        <v>372.45</v>
      </c>
      <c r="R23">
        <v>7</v>
      </c>
      <c r="T23" t="s">
        <v>407</v>
      </c>
      <c r="U23">
        <v>-57.93</v>
      </c>
      <c r="V23">
        <v>7</v>
      </c>
      <c r="X23">
        <v>-38.15</v>
      </c>
      <c r="Y23">
        <v>7</v>
      </c>
      <c r="AA23">
        <v>9.1</v>
      </c>
      <c r="AB23">
        <v>7</v>
      </c>
      <c r="AD23">
        <v>250</v>
      </c>
      <c r="AE23">
        <v>6.5</v>
      </c>
      <c r="AF23">
        <v>1.5</v>
      </c>
      <c r="AG23">
        <v>14</v>
      </c>
      <c r="AH23">
        <v>20.5</v>
      </c>
      <c r="AI23">
        <v>22.5</v>
      </c>
      <c r="AJ23">
        <v>12.5</v>
      </c>
      <c r="AK23">
        <v>5</v>
      </c>
      <c r="AL23">
        <v>18</v>
      </c>
      <c r="AM23">
        <v>2.5</v>
      </c>
      <c r="AN23">
        <v>12</v>
      </c>
      <c r="AO23">
        <v>21</v>
      </c>
      <c r="AP23">
        <v>7.5</v>
      </c>
      <c r="AQ23">
        <v>25</v>
      </c>
      <c r="AR23">
        <v>8.5</v>
      </c>
      <c r="AS23">
        <v>10</v>
      </c>
      <c r="AT23">
        <v>20</v>
      </c>
      <c r="AU23">
        <v>12.5</v>
      </c>
      <c r="AV23">
        <f>19/2</f>
        <v>9.5</v>
      </c>
      <c r="AW23">
        <v>9.5</v>
      </c>
      <c r="AX23">
        <v>12.5</v>
      </c>
      <c r="AY23">
        <v>15</v>
      </c>
      <c r="AZ23">
        <v>10</v>
      </c>
      <c r="BA23">
        <v>17.5</v>
      </c>
      <c r="BB23">
        <v>13</v>
      </c>
      <c r="BC23">
        <v>21.5</v>
      </c>
      <c r="BD23">
        <v>9.5</v>
      </c>
      <c r="BE23">
        <v>2</v>
      </c>
      <c r="BF23">
        <v>5</v>
      </c>
      <c r="BG23">
        <v>8.5</v>
      </c>
      <c r="BH23">
        <v>16.5</v>
      </c>
      <c r="BI23">
        <v>8.5</v>
      </c>
      <c r="BJ23">
        <v>5</v>
      </c>
      <c r="BK23">
        <v>19.5</v>
      </c>
      <c r="BL23">
        <v>24</v>
      </c>
      <c r="BM23">
        <v>9.5</v>
      </c>
      <c r="BN23">
        <v>6.5</v>
      </c>
      <c r="BO23">
        <v>15.5</v>
      </c>
      <c r="BP23">
        <v>3.5</v>
      </c>
      <c r="BQ23">
        <v>10.5</v>
      </c>
      <c r="BR23">
        <v>13</v>
      </c>
      <c r="BS23">
        <v>8.5</v>
      </c>
      <c r="BT23">
        <v>9</v>
      </c>
      <c r="BU23">
        <v>5</v>
      </c>
      <c r="BV23">
        <v>13.5</v>
      </c>
      <c r="BW23">
        <v>5.5</v>
      </c>
      <c r="BX23">
        <v>20.5</v>
      </c>
      <c r="BY23">
        <v>28.5</v>
      </c>
      <c r="BZ23">
        <v>14.5</v>
      </c>
      <c r="CA23">
        <v>50</v>
      </c>
      <c r="CB23">
        <v>8.5</v>
      </c>
      <c r="CC23">
        <v>25.5</v>
      </c>
      <c r="CD23">
        <v>38</v>
      </c>
      <c r="CE23">
        <v>9.5</v>
      </c>
      <c r="CF23">
        <v>22.5</v>
      </c>
      <c r="CG23">
        <v>14</v>
      </c>
      <c r="CH23">
        <v>3</v>
      </c>
      <c r="CI23">
        <v>15.5</v>
      </c>
      <c r="CJ23">
        <v>13</v>
      </c>
      <c r="CK23">
        <v>27</v>
      </c>
      <c r="CL23">
        <v>16.5</v>
      </c>
      <c r="CM23">
        <v>7.5</v>
      </c>
      <c r="CN23">
        <v>16.5</v>
      </c>
      <c r="CO23">
        <v>25.5</v>
      </c>
      <c r="CP23">
        <v>17</v>
      </c>
      <c r="CQ23">
        <v>10</v>
      </c>
      <c r="CR23">
        <v>15</v>
      </c>
      <c r="CS23">
        <v>6</v>
      </c>
      <c r="CT23" s="1">
        <f t="shared" si="6"/>
        <v>13.888059701492537</v>
      </c>
      <c r="CW23" s="2">
        <v>170822</v>
      </c>
      <c r="CX23" s="2">
        <v>56</v>
      </c>
      <c r="CY23" s="2">
        <v>56</v>
      </c>
      <c r="CZ23" s="2">
        <v>1</v>
      </c>
      <c r="DA23">
        <v>5</v>
      </c>
      <c r="DB23">
        <v>35</v>
      </c>
      <c r="DC23">
        <v>1</v>
      </c>
      <c r="DD23">
        <v>21</v>
      </c>
      <c r="DF23">
        <v>25</v>
      </c>
      <c r="DG23" s="8">
        <f>9.73/11.43</f>
        <v>0.85126859142607181</v>
      </c>
      <c r="DI23">
        <v>25</v>
      </c>
      <c r="DJ23">
        <v>264.55</v>
      </c>
      <c r="DL23">
        <v>25</v>
      </c>
      <c r="DM23">
        <v>0.67</v>
      </c>
      <c r="DO23" t="s">
        <v>412</v>
      </c>
      <c r="DP23">
        <v>20</v>
      </c>
      <c r="DQ23">
        <v>459.6</v>
      </c>
      <c r="DR23">
        <v>19</v>
      </c>
      <c r="DS23">
        <v>443.6</v>
      </c>
      <c r="DV23" t="s">
        <v>412</v>
      </c>
      <c r="DW23">
        <v>-76.47</v>
      </c>
      <c r="DX23">
        <v>20</v>
      </c>
      <c r="DZ23" t="s">
        <v>678</v>
      </c>
      <c r="EA23">
        <v>19</v>
      </c>
      <c r="EB23">
        <v>-70.430000000000007</v>
      </c>
      <c r="EE23" t="s">
        <v>412</v>
      </c>
      <c r="EF23">
        <v>-44.081000000000003</v>
      </c>
      <c r="EG23">
        <v>20</v>
      </c>
      <c r="EI23" t="s">
        <v>680</v>
      </c>
      <c r="EJ23">
        <v>-49.590299999999999</v>
      </c>
      <c r="EK23">
        <v>19</v>
      </c>
      <c r="EM23" t="s">
        <v>680</v>
      </c>
      <c r="EN23">
        <v>-69.099999999999994</v>
      </c>
      <c r="EP23" t="s">
        <v>680</v>
      </c>
      <c r="EQ23">
        <f t="shared" si="0"/>
        <v>19.509699999999995</v>
      </c>
      <c r="ES23">
        <v>350</v>
      </c>
      <c r="ET23">
        <v>1</v>
      </c>
      <c r="EU23">
        <v>7</v>
      </c>
      <c r="EV23">
        <v>2.5</v>
      </c>
      <c r="EW23">
        <v>9</v>
      </c>
      <c r="EX23">
        <v>5</v>
      </c>
      <c r="EY23">
        <v>4</v>
      </c>
      <c r="EZ23">
        <v>10</v>
      </c>
      <c r="FA23">
        <v>4</v>
      </c>
      <c r="FB23">
        <v>5.5</v>
      </c>
      <c r="FC23">
        <v>5</v>
      </c>
      <c r="FD23">
        <v>10</v>
      </c>
      <c r="FE23">
        <v>8.5</v>
      </c>
      <c r="FF23">
        <v>8</v>
      </c>
      <c r="FG23">
        <v>12</v>
      </c>
      <c r="FH23">
        <v>4</v>
      </c>
      <c r="FI23">
        <v>2</v>
      </c>
      <c r="FJ23">
        <v>2</v>
      </c>
      <c r="FK23">
        <v>4</v>
      </c>
      <c r="FL23">
        <v>3.5</v>
      </c>
      <c r="FM23">
        <v>7</v>
      </c>
      <c r="FN23" s="1">
        <f t="shared" si="4"/>
        <v>5.7</v>
      </c>
      <c r="GK23">
        <v>210622</v>
      </c>
      <c r="GL23">
        <v>30</v>
      </c>
      <c r="GM23">
        <v>30</v>
      </c>
      <c r="GN23">
        <v>0</v>
      </c>
      <c r="GR23">
        <v>47</v>
      </c>
      <c r="GT23" t="s">
        <v>420</v>
      </c>
      <c r="GU23">
        <v>1.66</v>
      </c>
      <c r="GW23">
        <v>47</v>
      </c>
      <c r="GX23">
        <v>50</v>
      </c>
      <c r="GY23">
        <v>0.98</v>
      </c>
      <c r="HC23" t="s">
        <v>413</v>
      </c>
      <c r="HD23">
        <v>176.8</v>
      </c>
      <c r="HE23">
        <v>49</v>
      </c>
      <c r="HH23" t="s">
        <v>499</v>
      </c>
      <c r="HI23">
        <v>46</v>
      </c>
      <c r="HJ23">
        <v>137.69999999999999</v>
      </c>
      <c r="HL23" t="s">
        <v>413</v>
      </c>
      <c r="HM23">
        <v>-55.36</v>
      </c>
      <c r="HN23">
        <v>49</v>
      </c>
      <c r="HP23">
        <v>46</v>
      </c>
      <c r="HQ23">
        <v>-57.19</v>
      </c>
      <c r="HS23" t="s">
        <v>413</v>
      </c>
      <c r="HT23">
        <v>-55.36</v>
      </c>
      <c r="HU23">
        <f t="shared" si="1"/>
        <v>101.36</v>
      </c>
      <c r="HV23">
        <v>49</v>
      </c>
      <c r="HW23">
        <v>-42.881799999999998</v>
      </c>
      <c r="HX23">
        <v>46</v>
      </c>
      <c r="HY23">
        <v>14.308199999999999</v>
      </c>
      <c r="HZ23">
        <v>46</v>
      </c>
      <c r="IB23">
        <v>350</v>
      </c>
      <c r="IC23">
        <v>3.5</v>
      </c>
      <c r="ID23">
        <v>5.5</v>
      </c>
      <c r="IE23">
        <v>4.5</v>
      </c>
      <c r="IF23">
        <v>2.5</v>
      </c>
      <c r="IG23">
        <v>5</v>
      </c>
      <c r="IH23">
        <v>8</v>
      </c>
      <c r="II23">
        <v>2</v>
      </c>
      <c r="IJ23">
        <v>2.5</v>
      </c>
      <c r="IK23" s="8">
        <v>1.5</v>
      </c>
      <c r="IL23" s="8">
        <v>2</v>
      </c>
      <c r="IM23">
        <v>2.5</v>
      </c>
      <c r="IN23">
        <v>3</v>
      </c>
      <c r="IO23" s="1">
        <f t="shared" si="5"/>
        <v>3.5416666666666665</v>
      </c>
    </row>
    <row r="24" spans="1:249" ht="13.15" x14ac:dyDescent="0.4">
      <c r="A24" s="2">
        <v>140923</v>
      </c>
      <c r="B24" s="2">
        <v>56</v>
      </c>
      <c r="C24" s="2">
        <v>56</v>
      </c>
      <c r="D24" s="2">
        <v>2</v>
      </c>
      <c r="E24" s="2">
        <v>5</v>
      </c>
      <c r="F24" s="2">
        <v>30</v>
      </c>
      <c r="G24" s="2">
        <v>2</v>
      </c>
      <c r="H24" s="2">
        <v>7</v>
      </c>
      <c r="J24">
        <v>7</v>
      </c>
      <c r="K24">
        <v>3.35</v>
      </c>
      <c r="M24">
        <v>8</v>
      </c>
      <c r="N24">
        <v>0.28999999999999998</v>
      </c>
      <c r="P24" t="s">
        <v>525</v>
      </c>
      <c r="Q24">
        <v>487.7</v>
      </c>
      <c r="R24">
        <v>7</v>
      </c>
      <c r="T24" t="s">
        <v>411</v>
      </c>
      <c r="U24">
        <v>-47.25</v>
      </c>
      <c r="V24">
        <v>7</v>
      </c>
      <c r="X24">
        <v>-47.28</v>
      </c>
      <c r="Y24">
        <v>7</v>
      </c>
      <c r="AA24">
        <v>26.62</v>
      </c>
      <c r="AB24">
        <v>7</v>
      </c>
      <c r="AD24">
        <v>300</v>
      </c>
      <c r="AE24">
        <v>8</v>
      </c>
      <c r="AF24">
        <v>2</v>
      </c>
      <c r="AG24">
        <v>17</v>
      </c>
      <c r="AH24">
        <v>10.5</v>
      </c>
      <c r="AI24">
        <v>23</v>
      </c>
      <c r="AJ24">
        <v>16</v>
      </c>
      <c r="AK24">
        <v>6</v>
      </c>
      <c r="AL24">
        <v>22</v>
      </c>
      <c r="AM24">
        <v>2</v>
      </c>
      <c r="AN24">
        <v>13.5</v>
      </c>
      <c r="AO24">
        <v>17.5</v>
      </c>
      <c r="AP24">
        <v>8.5</v>
      </c>
      <c r="AQ24">
        <v>26.5</v>
      </c>
      <c r="AR24">
        <v>4.5</v>
      </c>
      <c r="AS24">
        <v>10.5</v>
      </c>
      <c r="AT24">
        <v>20.5</v>
      </c>
      <c r="AU24">
        <v>15</v>
      </c>
      <c r="AV24">
        <v>13</v>
      </c>
      <c r="AW24">
        <v>11</v>
      </c>
      <c r="AX24">
        <v>13.5</v>
      </c>
      <c r="AY24">
        <v>7.5</v>
      </c>
      <c r="AZ24">
        <v>12</v>
      </c>
      <c r="BA24">
        <v>21</v>
      </c>
      <c r="BB24">
        <v>11.5</v>
      </c>
      <c r="BC24">
        <v>12.5</v>
      </c>
      <c r="BD24">
        <v>12.5</v>
      </c>
      <c r="BE24">
        <v>2</v>
      </c>
      <c r="BF24">
        <v>6</v>
      </c>
      <c r="BG24">
        <v>11</v>
      </c>
      <c r="BH24">
        <v>17</v>
      </c>
      <c r="BI24">
        <v>11</v>
      </c>
      <c r="BJ24">
        <v>5.5</v>
      </c>
      <c r="BK24">
        <v>22.5</v>
      </c>
      <c r="BL24">
        <v>14.5</v>
      </c>
      <c r="BM24">
        <v>8.5</v>
      </c>
      <c r="BN24">
        <v>8</v>
      </c>
      <c r="BO24">
        <v>11</v>
      </c>
      <c r="BP24">
        <v>4</v>
      </c>
      <c r="BQ24">
        <v>11.5</v>
      </c>
      <c r="BR24">
        <v>9</v>
      </c>
      <c r="BS24">
        <v>10</v>
      </c>
      <c r="BT24">
        <v>10</v>
      </c>
      <c r="BU24">
        <v>5.5</v>
      </c>
      <c r="BV24">
        <v>14.5</v>
      </c>
      <c r="BW24">
        <v>6.5</v>
      </c>
      <c r="BX24">
        <v>24</v>
      </c>
      <c r="BY24">
        <v>33.5</v>
      </c>
      <c r="BZ24">
        <v>4.5</v>
      </c>
      <c r="CA24">
        <v>53</v>
      </c>
      <c r="CB24">
        <v>8.5</v>
      </c>
      <c r="CC24">
        <v>26</v>
      </c>
      <c r="CD24">
        <v>35</v>
      </c>
      <c r="CE24">
        <v>11</v>
      </c>
      <c r="CF24">
        <v>24.5</v>
      </c>
      <c r="CG24">
        <v>16</v>
      </c>
      <c r="CH24">
        <v>2.5</v>
      </c>
      <c r="CI24">
        <v>16</v>
      </c>
      <c r="CJ24">
        <v>13.5</v>
      </c>
      <c r="CK24">
        <v>29.5</v>
      </c>
      <c r="CL24">
        <v>19.5</v>
      </c>
      <c r="CM24">
        <v>9.5</v>
      </c>
      <c r="CN24">
        <v>18.5</v>
      </c>
      <c r="CO24">
        <v>29</v>
      </c>
      <c r="CP24">
        <v>17</v>
      </c>
      <c r="CQ24">
        <v>11.5</v>
      </c>
      <c r="CR24">
        <v>16</v>
      </c>
      <c r="CS24">
        <v>3</v>
      </c>
      <c r="CT24" s="1">
        <f t="shared" si="6"/>
        <v>14.134328358208956</v>
      </c>
      <c r="CW24" s="2">
        <v>190822</v>
      </c>
      <c r="CX24" s="2">
        <v>42</v>
      </c>
      <c r="CY24" s="2">
        <v>42</v>
      </c>
      <c r="CZ24" s="2">
        <v>1</v>
      </c>
      <c r="DA24">
        <v>6</v>
      </c>
      <c r="DB24">
        <v>30</v>
      </c>
      <c r="DC24">
        <v>1</v>
      </c>
      <c r="DD24">
        <v>21</v>
      </c>
      <c r="DO24" t="s">
        <v>415</v>
      </c>
      <c r="DP24">
        <v>20</v>
      </c>
      <c r="DQ24">
        <v>353.95</v>
      </c>
      <c r="DR24">
        <v>19</v>
      </c>
      <c r="DS24">
        <v>325.60000000000002</v>
      </c>
      <c r="DV24" t="s">
        <v>415</v>
      </c>
      <c r="DW24">
        <v>-62.63</v>
      </c>
      <c r="DX24">
        <v>20</v>
      </c>
      <c r="DZ24" t="s">
        <v>680</v>
      </c>
      <c r="EA24">
        <v>19</v>
      </c>
      <c r="EB24">
        <v>-69.099999999999994</v>
      </c>
      <c r="EE24" t="s">
        <v>415</v>
      </c>
      <c r="EF24">
        <v>-42.718499999999999</v>
      </c>
      <c r="EG24">
        <v>20</v>
      </c>
      <c r="EI24" t="s">
        <v>682</v>
      </c>
      <c r="EJ24">
        <v>-54.437199999999997</v>
      </c>
      <c r="EK24">
        <v>19</v>
      </c>
      <c r="EM24" t="s">
        <v>682</v>
      </c>
      <c r="EN24">
        <v>-68.569999999999993</v>
      </c>
      <c r="EP24" t="s">
        <v>682</v>
      </c>
      <c r="EQ24">
        <f t="shared" si="0"/>
        <v>14.132799999999996</v>
      </c>
      <c r="ES24">
        <v>400</v>
      </c>
      <c r="ET24">
        <v>1</v>
      </c>
      <c r="EU24">
        <v>8.5</v>
      </c>
      <c r="EV24">
        <v>3</v>
      </c>
      <c r="EW24">
        <v>9.5</v>
      </c>
      <c r="EX24">
        <v>6</v>
      </c>
      <c r="EY24">
        <v>4.5</v>
      </c>
      <c r="EZ24">
        <v>11.5</v>
      </c>
      <c r="FA24">
        <v>5</v>
      </c>
      <c r="FB24">
        <v>6</v>
      </c>
      <c r="FC24">
        <v>5</v>
      </c>
      <c r="FD24">
        <v>10</v>
      </c>
      <c r="FE24">
        <v>10</v>
      </c>
      <c r="FF24">
        <v>8.5</v>
      </c>
      <c r="FG24">
        <v>14</v>
      </c>
      <c r="FH24">
        <v>5</v>
      </c>
      <c r="FI24">
        <v>2.5</v>
      </c>
      <c r="FJ24">
        <v>3</v>
      </c>
      <c r="FK24">
        <v>5</v>
      </c>
      <c r="FL24">
        <v>4</v>
      </c>
      <c r="FM24">
        <v>7.5</v>
      </c>
      <c r="FN24" s="1">
        <f t="shared" si="4"/>
        <v>6.4749999999999996</v>
      </c>
      <c r="GK24">
        <v>120123</v>
      </c>
      <c r="GL24">
        <v>20</v>
      </c>
      <c r="GM24">
        <v>20</v>
      </c>
      <c r="GN24">
        <v>0</v>
      </c>
      <c r="GR24">
        <v>47</v>
      </c>
      <c r="GT24" t="s">
        <v>424</v>
      </c>
      <c r="GU24">
        <v>1.76</v>
      </c>
      <c r="GW24">
        <v>47</v>
      </c>
      <c r="GX24">
        <v>50</v>
      </c>
      <c r="GY24">
        <v>1.75</v>
      </c>
      <c r="HC24" t="s">
        <v>416</v>
      </c>
      <c r="HD24">
        <v>146</v>
      </c>
      <c r="HE24">
        <v>49</v>
      </c>
      <c r="HH24" t="s">
        <v>502</v>
      </c>
      <c r="HI24">
        <v>46</v>
      </c>
      <c r="HJ24">
        <v>64.92</v>
      </c>
      <c r="HL24" t="s">
        <v>416</v>
      </c>
      <c r="HM24">
        <v>-64.97</v>
      </c>
      <c r="HN24">
        <v>49</v>
      </c>
      <c r="HP24">
        <v>46</v>
      </c>
      <c r="HQ24">
        <v>-44</v>
      </c>
      <c r="HS24" t="s">
        <v>416</v>
      </c>
      <c r="HT24">
        <v>-64.97</v>
      </c>
      <c r="HU24">
        <f t="shared" si="1"/>
        <v>110.97</v>
      </c>
      <c r="HV24">
        <v>49</v>
      </c>
      <c r="HW24">
        <v>-37.997399999999999</v>
      </c>
      <c r="HX24">
        <v>46</v>
      </c>
      <c r="HY24">
        <v>6.0026000000000002</v>
      </c>
      <c r="HZ24">
        <v>46</v>
      </c>
      <c r="IB24">
        <v>400</v>
      </c>
      <c r="IC24">
        <v>4</v>
      </c>
      <c r="ID24">
        <v>6.5</v>
      </c>
      <c r="IE24">
        <v>6</v>
      </c>
      <c r="IF24">
        <v>2</v>
      </c>
      <c r="IG24">
        <v>4.5</v>
      </c>
      <c r="IH24">
        <v>7</v>
      </c>
      <c r="II24" s="8">
        <v>2.5</v>
      </c>
      <c r="IJ24" s="8">
        <v>2</v>
      </c>
      <c r="IK24">
        <v>2</v>
      </c>
      <c r="IL24">
        <v>3</v>
      </c>
      <c r="IM24">
        <v>2</v>
      </c>
      <c r="IN24">
        <v>4</v>
      </c>
      <c r="IO24" s="1">
        <f t="shared" si="5"/>
        <v>3.7916666666666665</v>
      </c>
    </row>
    <row r="25" spans="1:249" ht="13.15" x14ac:dyDescent="0.4">
      <c r="A25" s="2">
        <v>310124</v>
      </c>
      <c r="B25" s="2">
        <v>56</v>
      </c>
      <c r="C25" s="2">
        <v>56</v>
      </c>
      <c r="D25" s="2">
        <v>5</v>
      </c>
      <c r="E25" s="2">
        <v>3</v>
      </c>
      <c r="F25" s="2">
        <v>21</v>
      </c>
      <c r="G25" s="2">
        <v>5</v>
      </c>
      <c r="H25" s="2">
        <v>7</v>
      </c>
      <c r="J25">
        <v>7</v>
      </c>
      <c r="K25">
        <v>1.79</v>
      </c>
      <c r="M25">
        <v>8</v>
      </c>
      <c r="N25">
        <v>0.62</v>
      </c>
      <c r="P25" t="s">
        <v>529</v>
      </c>
      <c r="Q25">
        <v>542.6</v>
      </c>
      <c r="R25">
        <v>7</v>
      </c>
      <c r="T25" t="s">
        <v>414</v>
      </c>
      <c r="U25">
        <v>-73.900000000000006</v>
      </c>
      <c r="V25">
        <v>7</v>
      </c>
      <c r="X25">
        <v>-41.62</v>
      </c>
      <c r="Y25">
        <v>7</v>
      </c>
      <c r="AA25">
        <v>12.28</v>
      </c>
      <c r="AB25">
        <v>7</v>
      </c>
      <c r="AD25">
        <v>350</v>
      </c>
      <c r="AE25">
        <v>9.5</v>
      </c>
      <c r="AF25">
        <v>2</v>
      </c>
      <c r="AG25">
        <v>18.5</v>
      </c>
      <c r="AH25">
        <v>3</v>
      </c>
      <c r="AI25">
        <v>23</v>
      </c>
      <c r="AJ25">
        <v>18.5</v>
      </c>
      <c r="AK25">
        <v>7</v>
      </c>
      <c r="AL25">
        <v>23.5</v>
      </c>
      <c r="AM25">
        <v>1.5</v>
      </c>
      <c r="AN25">
        <v>15.5</v>
      </c>
      <c r="AO25">
        <v>3</v>
      </c>
      <c r="AP25">
        <v>9.5</v>
      </c>
      <c r="AQ25">
        <f>57/2</f>
        <v>28.5</v>
      </c>
      <c r="AR25">
        <v>3</v>
      </c>
      <c r="AS25">
        <v>12</v>
      </c>
      <c r="AT25">
        <v>14</v>
      </c>
      <c r="AU25">
        <v>16.5</v>
      </c>
      <c r="AV25">
        <v>16</v>
      </c>
      <c r="AW25">
        <v>13</v>
      </c>
      <c r="AX25">
        <v>16</v>
      </c>
      <c r="AY25">
        <v>4.5</v>
      </c>
      <c r="AZ25">
        <v>13</v>
      </c>
      <c r="BA25">
        <v>21.5</v>
      </c>
      <c r="BB25">
        <v>11.5</v>
      </c>
      <c r="BC25">
        <v>9</v>
      </c>
      <c r="BD25">
        <v>14.5</v>
      </c>
      <c r="BE25">
        <v>2</v>
      </c>
      <c r="BF25">
        <v>7.5</v>
      </c>
      <c r="BG25">
        <v>13</v>
      </c>
      <c r="BH25">
        <v>10</v>
      </c>
      <c r="BI25">
        <v>13.5</v>
      </c>
      <c r="BJ25">
        <v>7.5</v>
      </c>
      <c r="BK25">
        <v>26.5</v>
      </c>
      <c r="BL25">
        <v>3.5</v>
      </c>
      <c r="BM25">
        <v>6.5</v>
      </c>
      <c r="BN25">
        <v>7</v>
      </c>
      <c r="BO25">
        <v>2</v>
      </c>
      <c r="BP25">
        <v>5</v>
      </c>
      <c r="BQ25">
        <v>13</v>
      </c>
      <c r="BR25">
        <v>5.5</v>
      </c>
      <c r="BS25">
        <v>11</v>
      </c>
      <c r="BT25">
        <v>11.5</v>
      </c>
      <c r="BU25">
        <v>5</v>
      </c>
      <c r="BV25">
        <v>13.5</v>
      </c>
      <c r="BW25">
        <v>8</v>
      </c>
      <c r="BX25">
        <v>25</v>
      </c>
      <c r="BY25">
        <v>35.5</v>
      </c>
      <c r="BZ25">
        <v>3</v>
      </c>
      <c r="CA25">
        <v>44</v>
      </c>
      <c r="CB25">
        <v>10</v>
      </c>
      <c r="CC25">
        <v>21</v>
      </c>
      <c r="CD25">
        <v>36.5</v>
      </c>
      <c r="CE25">
        <v>13</v>
      </c>
      <c r="CF25">
        <v>25.5</v>
      </c>
      <c r="CG25">
        <v>18</v>
      </c>
      <c r="CH25">
        <v>2</v>
      </c>
      <c r="CI25">
        <v>19</v>
      </c>
      <c r="CJ25">
        <v>15</v>
      </c>
      <c r="CK25">
        <v>21</v>
      </c>
      <c r="CL25">
        <v>17</v>
      </c>
      <c r="CM25">
        <v>11</v>
      </c>
      <c r="CN25">
        <v>21</v>
      </c>
      <c r="CO25">
        <v>32.5</v>
      </c>
      <c r="CP25">
        <v>12</v>
      </c>
      <c r="CQ25">
        <v>13.5</v>
      </c>
      <c r="CR25">
        <v>19</v>
      </c>
      <c r="CS25">
        <v>2.5</v>
      </c>
      <c r="CT25" s="1">
        <f t="shared" si="6"/>
        <v>13.671641791044776</v>
      </c>
      <c r="CW25">
        <v>120224</v>
      </c>
      <c r="CX25">
        <v>42</v>
      </c>
      <c r="CY25">
        <v>56</v>
      </c>
      <c r="CZ25">
        <v>0</v>
      </c>
      <c r="DA25">
        <v>3</v>
      </c>
      <c r="DB25">
        <v>18</v>
      </c>
      <c r="DC25">
        <v>0</v>
      </c>
      <c r="DD25">
        <v>21</v>
      </c>
      <c r="DO25" t="s">
        <v>418</v>
      </c>
      <c r="DP25">
        <v>20</v>
      </c>
      <c r="DQ25">
        <v>181.6</v>
      </c>
      <c r="DR25">
        <v>19</v>
      </c>
      <c r="DS25">
        <v>482.4</v>
      </c>
      <c r="DV25" t="s">
        <v>418</v>
      </c>
      <c r="DW25">
        <v>-57.11</v>
      </c>
      <c r="DX25">
        <v>20</v>
      </c>
      <c r="DZ25" t="s">
        <v>682</v>
      </c>
      <c r="EA25">
        <v>19</v>
      </c>
      <c r="EB25">
        <v>-68.569999999999993</v>
      </c>
      <c r="EE25" t="s">
        <v>418</v>
      </c>
      <c r="EF25">
        <v>-48.033000000000001</v>
      </c>
      <c r="EG25">
        <v>20</v>
      </c>
      <c r="EI25" t="s">
        <v>684</v>
      </c>
      <c r="EJ25">
        <v>-47.081699999999998</v>
      </c>
      <c r="EK25">
        <v>19</v>
      </c>
      <c r="EM25" t="s">
        <v>684</v>
      </c>
      <c r="EN25">
        <v>-71.37</v>
      </c>
      <c r="EP25" t="s">
        <v>684</v>
      </c>
      <c r="EQ25">
        <f t="shared" si="0"/>
        <v>24.288300000000007</v>
      </c>
      <c r="GK25">
        <v>190123</v>
      </c>
      <c r="GL25">
        <v>56</v>
      </c>
      <c r="GM25">
        <v>56</v>
      </c>
      <c r="GN25">
        <v>0</v>
      </c>
      <c r="GR25">
        <v>47</v>
      </c>
      <c r="HC25" t="s">
        <v>419</v>
      </c>
      <c r="HD25">
        <v>55.3</v>
      </c>
      <c r="HE25">
        <v>49</v>
      </c>
      <c r="HH25" t="s">
        <v>505</v>
      </c>
      <c r="HI25">
        <v>46</v>
      </c>
      <c r="HJ25">
        <v>204.22</v>
      </c>
      <c r="HL25" t="s">
        <v>419</v>
      </c>
      <c r="HM25">
        <v>-52.48</v>
      </c>
      <c r="HN25">
        <v>49</v>
      </c>
      <c r="HP25">
        <v>46</v>
      </c>
      <c r="HQ25">
        <v>-63.18</v>
      </c>
      <c r="HS25" t="s">
        <v>419</v>
      </c>
      <c r="HT25">
        <v>-52.48</v>
      </c>
      <c r="HU25">
        <f t="shared" si="1"/>
        <v>98.47999999999999</v>
      </c>
      <c r="HV25">
        <v>49</v>
      </c>
      <c r="HW25">
        <v>-41.096499999999999</v>
      </c>
      <c r="HX25">
        <v>46</v>
      </c>
      <c r="HY25">
        <v>22.083500000000001</v>
      </c>
      <c r="HZ25">
        <v>46</v>
      </c>
    </row>
    <row r="26" spans="1:249" ht="13.15" x14ac:dyDescent="0.4">
      <c r="A26">
        <v>3101242</v>
      </c>
      <c r="B26">
        <v>42</v>
      </c>
      <c r="C26">
        <v>56</v>
      </c>
      <c r="D26">
        <v>0</v>
      </c>
      <c r="E26">
        <v>6</v>
      </c>
      <c r="F26">
        <v>36</v>
      </c>
      <c r="G26">
        <v>0</v>
      </c>
      <c r="H26">
        <v>7</v>
      </c>
      <c r="J26">
        <v>7</v>
      </c>
      <c r="K26">
        <v>6.82</v>
      </c>
      <c r="M26">
        <v>8</v>
      </c>
      <c r="N26">
        <v>0.56999999999999995</v>
      </c>
      <c r="P26" t="s">
        <v>533</v>
      </c>
      <c r="Q26">
        <v>613.20000000000005</v>
      </c>
      <c r="R26">
        <v>7</v>
      </c>
      <c r="T26" t="s">
        <v>417</v>
      </c>
      <c r="U26">
        <v>-53.9</v>
      </c>
      <c r="V26">
        <v>7</v>
      </c>
      <c r="X26">
        <v>-36.520000000000003</v>
      </c>
      <c r="Y26">
        <v>7</v>
      </c>
      <c r="AA26">
        <v>17.48</v>
      </c>
      <c r="AB26">
        <v>7</v>
      </c>
      <c r="AD26">
        <v>400</v>
      </c>
      <c r="AE26">
        <v>12</v>
      </c>
      <c r="AF26">
        <v>2</v>
      </c>
      <c r="AG26">
        <v>21</v>
      </c>
      <c r="AH26">
        <v>3</v>
      </c>
      <c r="AI26">
        <v>22</v>
      </c>
      <c r="AJ26">
        <v>19</v>
      </c>
      <c r="AK26">
        <v>7</v>
      </c>
      <c r="AL26">
        <v>25</v>
      </c>
      <c r="AM26">
        <v>1</v>
      </c>
      <c r="AN26">
        <v>17</v>
      </c>
      <c r="AO26">
        <v>3</v>
      </c>
      <c r="AP26">
        <v>12</v>
      </c>
      <c r="AQ26">
        <v>31</v>
      </c>
      <c r="AR26">
        <v>3</v>
      </c>
      <c r="AS26">
        <v>13</v>
      </c>
      <c r="AT26">
        <v>25.5</v>
      </c>
      <c r="AU26">
        <f>37/2</f>
        <v>18.5</v>
      </c>
      <c r="AV26">
        <v>18</v>
      </c>
      <c r="AW26">
        <v>14</v>
      </c>
      <c r="AX26">
        <v>16.5</v>
      </c>
      <c r="AY26">
        <v>4.5</v>
      </c>
      <c r="AZ26">
        <v>13.5</v>
      </c>
      <c r="BA26">
        <v>23.5</v>
      </c>
      <c r="BB26">
        <v>8</v>
      </c>
      <c r="BC26">
        <v>6</v>
      </c>
      <c r="BD26">
        <v>15.5</v>
      </c>
      <c r="BE26">
        <v>2.5</v>
      </c>
      <c r="BF26">
        <v>9</v>
      </c>
      <c r="BG26">
        <v>14</v>
      </c>
      <c r="BH26">
        <v>4.5</v>
      </c>
      <c r="BI26">
        <v>14.5</v>
      </c>
      <c r="BJ26">
        <v>8.5</v>
      </c>
      <c r="BK26">
        <v>28.5</v>
      </c>
      <c r="BL26">
        <v>3</v>
      </c>
      <c r="BM26">
        <v>2</v>
      </c>
      <c r="BN26">
        <v>10.5</v>
      </c>
      <c r="BO26">
        <v>2.5</v>
      </c>
      <c r="BP26">
        <v>5.5</v>
      </c>
      <c r="BQ26">
        <v>13</v>
      </c>
      <c r="BR26">
        <v>2</v>
      </c>
      <c r="BS26">
        <v>12.5</v>
      </c>
      <c r="BT26">
        <v>13</v>
      </c>
      <c r="BU26">
        <v>5.5</v>
      </c>
      <c r="BV26">
        <v>10.5</v>
      </c>
      <c r="BW26">
        <v>8.5</v>
      </c>
      <c r="BX26">
        <v>26.5</v>
      </c>
      <c r="BY26">
        <v>34.5</v>
      </c>
      <c r="BZ26">
        <v>2.5</v>
      </c>
      <c r="CA26">
        <v>27.5</v>
      </c>
      <c r="CB26">
        <v>11.5</v>
      </c>
      <c r="CC26">
        <v>20</v>
      </c>
      <c r="CD26">
        <f>76/2</f>
        <v>38</v>
      </c>
      <c r="CE26">
        <v>13.5</v>
      </c>
      <c r="CF26">
        <v>9.5</v>
      </c>
      <c r="CG26">
        <v>19</v>
      </c>
      <c r="CH26">
        <v>2</v>
      </c>
      <c r="CI26">
        <v>18.5</v>
      </c>
      <c r="CJ26">
        <v>15.5</v>
      </c>
      <c r="CK26">
        <v>32</v>
      </c>
      <c r="CL26">
        <v>11</v>
      </c>
      <c r="CM26">
        <v>12</v>
      </c>
      <c r="CN26">
        <v>22</v>
      </c>
      <c r="CO26">
        <v>35</v>
      </c>
      <c r="CP26">
        <v>9.5</v>
      </c>
      <c r="CQ26">
        <v>14.5</v>
      </c>
      <c r="CR26">
        <v>19.5</v>
      </c>
      <c r="CS26">
        <v>2.5</v>
      </c>
      <c r="CT26" s="1">
        <f t="shared" si="6"/>
        <v>13.746268656716419</v>
      </c>
      <c r="CX26" s="1">
        <f>SUM(CX3:CX25)</f>
        <v>1016</v>
      </c>
      <c r="CZ26" s="1">
        <f>SUM(CZ3:CZ25)</f>
        <v>17</v>
      </c>
      <c r="DB26" s="1">
        <f>SUM(DB3:DB25)</f>
        <v>516</v>
      </c>
      <c r="DC26" s="1">
        <f>SUM(DC3:DC25)</f>
        <v>15</v>
      </c>
      <c r="DO26" t="s">
        <v>422</v>
      </c>
      <c r="DP26">
        <v>20</v>
      </c>
      <c r="DQ26">
        <v>243.17</v>
      </c>
      <c r="DR26">
        <v>19</v>
      </c>
      <c r="DS26">
        <v>352.6</v>
      </c>
      <c r="DV26" t="s">
        <v>422</v>
      </c>
      <c r="DW26">
        <v>-71.83</v>
      </c>
      <c r="DX26">
        <v>20</v>
      </c>
      <c r="DZ26" t="s">
        <v>684</v>
      </c>
      <c r="EA26">
        <v>19</v>
      </c>
      <c r="EB26">
        <v>-71.37</v>
      </c>
      <c r="EE26" t="s">
        <v>422</v>
      </c>
      <c r="EF26">
        <v>-46.237200000000001</v>
      </c>
      <c r="EG26">
        <v>20</v>
      </c>
      <c r="EI26" t="s">
        <v>686</v>
      </c>
      <c r="EJ26">
        <v>-51.3352</v>
      </c>
      <c r="EK26">
        <v>19</v>
      </c>
      <c r="EM26" t="s">
        <v>686</v>
      </c>
      <c r="EN26">
        <v>-71.73</v>
      </c>
      <c r="EP26" t="s">
        <v>686</v>
      </c>
      <c r="EQ26">
        <f t="shared" si="0"/>
        <v>20.394800000000004</v>
      </c>
      <c r="GK26">
        <v>10623</v>
      </c>
      <c r="GL26">
        <v>42</v>
      </c>
      <c r="GM26">
        <v>42</v>
      </c>
      <c r="GN26">
        <v>0</v>
      </c>
      <c r="GO26">
        <v>4</v>
      </c>
      <c r="GP26">
        <v>24</v>
      </c>
      <c r="GQ26">
        <v>0</v>
      </c>
      <c r="GR26">
        <v>47</v>
      </c>
      <c r="HC26" t="s">
        <v>423</v>
      </c>
      <c r="HD26">
        <v>76.62</v>
      </c>
      <c r="HE26">
        <v>49</v>
      </c>
      <c r="HH26" t="s">
        <v>734</v>
      </c>
      <c r="HI26">
        <v>46</v>
      </c>
      <c r="HJ26">
        <v>230.4</v>
      </c>
      <c r="HL26" t="s">
        <v>423</v>
      </c>
      <c r="HM26">
        <v>-52</v>
      </c>
      <c r="HN26">
        <v>49</v>
      </c>
      <c r="HP26">
        <v>46</v>
      </c>
      <c r="HQ26">
        <v>-68.2</v>
      </c>
      <c r="HS26" t="s">
        <v>423</v>
      </c>
      <c r="HT26">
        <v>-52</v>
      </c>
      <c r="HU26">
        <f t="shared" si="1"/>
        <v>98</v>
      </c>
      <c r="HV26">
        <v>49</v>
      </c>
      <c r="HW26">
        <v>-45.94</v>
      </c>
      <c r="HX26">
        <v>46</v>
      </c>
      <c r="HY26">
        <v>22.26</v>
      </c>
      <c r="HZ26">
        <v>46</v>
      </c>
    </row>
    <row r="27" spans="1:249" ht="15" x14ac:dyDescent="0.5">
      <c r="A27">
        <v>20224</v>
      </c>
      <c r="B27">
        <v>56</v>
      </c>
      <c r="C27">
        <v>56</v>
      </c>
      <c r="D27">
        <v>0</v>
      </c>
      <c r="E27" s="8">
        <v>3</v>
      </c>
      <c r="F27">
        <v>21</v>
      </c>
      <c r="G27" s="8">
        <v>0</v>
      </c>
      <c r="H27">
        <v>7</v>
      </c>
      <c r="J27">
        <v>7</v>
      </c>
      <c r="K27">
        <v>1.28</v>
      </c>
      <c r="M27">
        <v>8</v>
      </c>
      <c r="N27">
        <v>0.67</v>
      </c>
      <c r="P27" t="s">
        <v>569</v>
      </c>
      <c r="Q27">
        <v>696.7</v>
      </c>
      <c r="R27">
        <v>7</v>
      </c>
      <c r="T27" t="s">
        <v>421</v>
      </c>
      <c r="U27">
        <v>-54</v>
      </c>
      <c r="V27">
        <v>7</v>
      </c>
      <c r="X27">
        <v>-36.11</v>
      </c>
      <c r="Y27">
        <v>7</v>
      </c>
      <c r="AA27">
        <v>13.39</v>
      </c>
      <c r="AB27">
        <v>7</v>
      </c>
      <c r="DG27" t="s">
        <v>339</v>
      </c>
      <c r="DH27" t="s">
        <v>878</v>
      </c>
      <c r="DI27" t="s">
        <v>869</v>
      </c>
      <c r="DJ27" t="s">
        <v>19</v>
      </c>
      <c r="DO27" t="s">
        <v>426</v>
      </c>
      <c r="DP27">
        <v>20</v>
      </c>
      <c r="DQ27">
        <v>409.4</v>
      </c>
      <c r="DR27">
        <v>19</v>
      </c>
      <c r="DS27">
        <v>341.37</v>
      </c>
      <c r="DV27" t="s">
        <v>426</v>
      </c>
      <c r="DW27">
        <v>-71.599999999999994</v>
      </c>
      <c r="DX27">
        <v>20</v>
      </c>
      <c r="DZ27" t="s">
        <v>686</v>
      </c>
      <c r="EA27">
        <v>19</v>
      </c>
      <c r="EB27">
        <v>-71.73</v>
      </c>
      <c r="EE27" t="s">
        <v>426</v>
      </c>
      <c r="EF27">
        <v>-56.1218</v>
      </c>
      <c r="EG27">
        <v>20</v>
      </c>
      <c r="EI27" t="s">
        <v>688</v>
      </c>
      <c r="EJ27">
        <v>-44.637300000000003</v>
      </c>
      <c r="EK27">
        <v>19</v>
      </c>
      <c r="EM27" t="s">
        <v>688</v>
      </c>
      <c r="EN27">
        <v>-60.9</v>
      </c>
      <c r="EP27" t="s">
        <v>688</v>
      </c>
      <c r="EQ27">
        <f t="shared" si="0"/>
        <v>16.262699999999995</v>
      </c>
      <c r="ET27" s="59">
        <v>20</v>
      </c>
      <c r="EU27" s="59">
        <v>20</v>
      </c>
      <c r="EV27" s="59">
        <v>20</v>
      </c>
      <c r="EW27" s="59">
        <v>20</v>
      </c>
      <c r="EX27" s="59">
        <v>20</v>
      </c>
      <c r="EY27" s="59">
        <v>20</v>
      </c>
      <c r="EZ27" s="59">
        <v>20</v>
      </c>
      <c r="FA27" s="59">
        <v>20</v>
      </c>
      <c r="FB27" s="59">
        <v>20</v>
      </c>
      <c r="FC27" s="59">
        <v>20</v>
      </c>
      <c r="FD27" s="59">
        <v>20</v>
      </c>
      <c r="FE27" s="59">
        <v>20</v>
      </c>
      <c r="FF27" s="59">
        <v>20</v>
      </c>
      <c r="FG27" s="59">
        <v>20</v>
      </c>
      <c r="FH27" s="59">
        <v>20</v>
      </c>
      <c r="FI27" s="59">
        <v>20</v>
      </c>
      <c r="FJ27" s="59">
        <v>20</v>
      </c>
      <c r="FK27" s="59">
        <v>20</v>
      </c>
      <c r="FL27" s="59">
        <v>20</v>
      </c>
      <c r="FM27" s="59">
        <v>20</v>
      </c>
      <c r="FN27" s="59">
        <v>20</v>
      </c>
      <c r="FO27" s="59">
        <v>20</v>
      </c>
      <c r="FP27" s="59">
        <v>20</v>
      </c>
      <c r="FQ27" s="59">
        <v>20</v>
      </c>
      <c r="FR27" s="59">
        <v>20</v>
      </c>
      <c r="FS27" s="59">
        <v>20</v>
      </c>
      <c r="FT27" s="59">
        <v>20</v>
      </c>
      <c r="FU27" s="59">
        <v>20</v>
      </c>
      <c r="FV27" s="59">
        <v>20</v>
      </c>
      <c r="FW27" s="59">
        <v>20</v>
      </c>
      <c r="FX27" s="59">
        <v>20</v>
      </c>
      <c r="FY27" s="59">
        <v>20</v>
      </c>
      <c r="FZ27" s="59">
        <v>20</v>
      </c>
      <c r="GK27">
        <v>131223</v>
      </c>
      <c r="GL27">
        <v>56</v>
      </c>
      <c r="GM27">
        <v>56</v>
      </c>
      <c r="GN27">
        <v>0</v>
      </c>
      <c r="GO27">
        <v>2</v>
      </c>
      <c r="GP27">
        <v>14</v>
      </c>
      <c r="GQ27">
        <v>0</v>
      </c>
      <c r="GR27">
        <v>47</v>
      </c>
      <c r="HC27" t="s">
        <v>427</v>
      </c>
      <c r="HD27">
        <v>119.5</v>
      </c>
      <c r="HE27">
        <v>49</v>
      </c>
      <c r="HH27" t="s">
        <v>892</v>
      </c>
      <c r="HI27">
        <v>46</v>
      </c>
      <c r="HJ27">
        <v>90.92</v>
      </c>
      <c r="HL27" t="s">
        <v>427</v>
      </c>
      <c r="HM27">
        <v>-73.91</v>
      </c>
      <c r="HN27">
        <v>49</v>
      </c>
      <c r="HP27">
        <v>46</v>
      </c>
      <c r="HQ27">
        <v>-58.2</v>
      </c>
      <c r="HS27" t="s">
        <v>427</v>
      </c>
      <c r="HT27">
        <v>-73.91</v>
      </c>
      <c r="HU27">
        <f t="shared" si="1"/>
        <v>119.91</v>
      </c>
      <c r="HV27">
        <v>49</v>
      </c>
      <c r="HW27">
        <v>-50.605714285714299</v>
      </c>
      <c r="HX27">
        <v>46</v>
      </c>
      <c r="HY27">
        <v>7.5942857142857196</v>
      </c>
      <c r="HZ27">
        <v>46</v>
      </c>
      <c r="IC27" s="60">
        <v>47</v>
      </c>
      <c r="ID27" s="60">
        <v>47</v>
      </c>
      <c r="IE27" s="60">
        <v>47</v>
      </c>
      <c r="IF27" s="60">
        <v>47</v>
      </c>
      <c r="IG27" s="60">
        <v>47</v>
      </c>
      <c r="IH27" s="60">
        <v>47</v>
      </c>
      <c r="II27" s="60"/>
      <c r="IJ27" s="60"/>
      <c r="IK27" s="60"/>
      <c r="IL27" s="60"/>
      <c r="IM27" s="60"/>
    </row>
    <row r="28" spans="1:249" ht="13.15" x14ac:dyDescent="0.4">
      <c r="A28">
        <v>202242</v>
      </c>
      <c r="B28">
        <v>42</v>
      </c>
      <c r="C28">
        <v>56</v>
      </c>
      <c r="D28">
        <v>0</v>
      </c>
      <c r="E28">
        <v>6</v>
      </c>
      <c r="F28">
        <v>36</v>
      </c>
      <c r="G28">
        <v>0</v>
      </c>
      <c r="H28">
        <v>7</v>
      </c>
      <c r="J28">
        <v>7</v>
      </c>
      <c r="K28">
        <v>5.03</v>
      </c>
      <c r="M28">
        <v>8</v>
      </c>
      <c r="N28">
        <v>0.52</v>
      </c>
      <c r="P28" t="s">
        <v>573</v>
      </c>
      <c r="Q28">
        <v>797.9</v>
      </c>
      <c r="R28">
        <v>7</v>
      </c>
      <c r="T28" t="s">
        <v>425</v>
      </c>
      <c r="U28">
        <v>-49.5</v>
      </c>
      <c r="V28">
        <v>7</v>
      </c>
      <c r="X28">
        <v>-39.92</v>
      </c>
      <c r="Y28">
        <v>7</v>
      </c>
      <c r="AA28">
        <v>17.57</v>
      </c>
      <c r="AB28">
        <v>7</v>
      </c>
      <c r="CW28" s="43" t="s">
        <v>898</v>
      </c>
      <c r="CX28" s="43"/>
      <c r="CY28" s="43"/>
      <c r="DB28" s="43" t="s">
        <v>899</v>
      </c>
      <c r="DC28" s="43"/>
      <c r="DD28" s="43"/>
      <c r="DF28" t="s">
        <v>69</v>
      </c>
      <c r="DJ28">
        <v>18</v>
      </c>
      <c r="DO28" t="s">
        <v>429</v>
      </c>
      <c r="DP28">
        <v>20</v>
      </c>
      <c r="DQ28">
        <v>331.77</v>
      </c>
      <c r="DR28">
        <v>19</v>
      </c>
      <c r="DS28">
        <v>350.97</v>
      </c>
      <c r="DV28" t="s">
        <v>429</v>
      </c>
      <c r="DW28">
        <v>-68.72</v>
      </c>
      <c r="DX28">
        <v>20</v>
      </c>
      <c r="DZ28" t="s">
        <v>688</v>
      </c>
      <c r="EA28">
        <v>19</v>
      </c>
      <c r="EB28">
        <v>-60.9</v>
      </c>
      <c r="EE28" t="s">
        <v>429</v>
      </c>
      <c r="EF28">
        <v>-46.0792</v>
      </c>
      <c r="EG28">
        <v>20</v>
      </c>
      <c r="EI28" t="s">
        <v>689</v>
      </c>
      <c r="EJ28">
        <v>-39.748399999999997</v>
      </c>
      <c r="EK28">
        <v>19</v>
      </c>
      <c r="EM28" t="s">
        <v>689</v>
      </c>
      <c r="EN28">
        <v>-65.739999999999995</v>
      </c>
      <c r="EP28" t="s">
        <v>689</v>
      </c>
      <c r="EQ28">
        <f t="shared" si="0"/>
        <v>25.991599999999998</v>
      </c>
      <c r="ES28" t="s">
        <v>887</v>
      </c>
      <c r="ET28" t="s">
        <v>379</v>
      </c>
      <c r="EU28" t="s">
        <v>383</v>
      </c>
      <c r="EV28" t="s">
        <v>386</v>
      </c>
      <c r="EW28" t="s">
        <v>389</v>
      </c>
      <c r="EX28" t="s">
        <v>392</v>
      </c>
      <c r="EY28" t="s">
        <v>395</v>
      </c>
      <c r="EZ28" t="s">
        <v>399</v>
      </c>
      <c r="FA28" t="s">
        <v>402</v>
      </c>
      <c r="FB28" t="s">
        <v>405</v>
      </c>
      <c r="FC28" t="s">
        <v>408</v>
      </c>
      <c r="FD28" t="s">
        <v>412</v>
      </c>
      <c r="FE28" t="s">
        <v>415</v>
      </c>
      <c r="FF28" t="s">
        <v>418</v>
      </c>
      <c r="FG28" t="s">
        <v>422</v>
      </c>
      <c r="FH28" t="s">
        <v>426</v>
      </c>
      <c r="FI28" t="s">
        <v>429</v>
      </c>
      <c r="FJ28" t="s">
        <v>432</v>
      </c>
      <c r="FK28" t="s">
        <v>435</v>
      </c>
      <c r="FL28" t="s">
        <v>438</v>
      </c>
      <c r="FM28" t="s">
        <v>441</v>
      </c>
      <c r="FN28" t="s">
        <v>444</v>
      </c>
      <c r="FO28" t="s">
        <v>447</v>
      </c>
      <c r="FP28" t="s">
        <v>450</v>
      </c>
      <c r="FQ28" t="s">
        <v>453</v>
      </c>
      <c r="FR28" t="s">
        <v>456</v>
      </c>
      <c r="FS28" t="s">
        <v>459</v>
      </c>
      <c r="FT28" t="s">
        <v>480</v>
      </c>
      <c r="FU28" t="s">
        <v>483</v>
      </c>
      <c r="FV28" t="s">
        <v>486</v>
      </c>
      <c r="FW28" t="s">
        <v>489</v>
      </c>
      <c r="FX28" t="s">
        <v>492</v>
      </c>
      <c r="FY28" t="s">
        <v>495</v>
      </c>
      <c r="FZ28" t="s">
        <v>498</v>
      </c>
      <c r="GK28">
        <v>160124</v>
      </c>
      <c r="GL28">
        <v>56</v>
      </c>
      <c r="GM28">
        <v>56</v>
      </c>
      <c r="GN28">
        <v>0</v>
      </c>
      <c r="GO28">
        <v>5</v>
      </c>
      <c r="GP28">
        <v>35</v>
      </c>
      <c r="GQ28">
        <v>0</v>
      </c>
      <c r="GR28">
        <v>47</v>
      </c>
      <c r="HC28" t="s">
        <v>430</v>
      </c>
      <c r="HD28">
        <v>139.57</v>
      </c>
      <c r="HE28">
        <v>49</v>
      </c>
      <c r="HH28" t="s">
        <v>893</v>
      </c>
      <c r="HI28">
        <v>46</v>
      </c>
      <c r="HJ28">
        <v>239.65</v>
      </c>
      <c r="HL28" t="s">
        <v>430</v>
      </c>
      <c r="HM28">
        <v>-73.48</v>
      </c>
      <c r="HN28">
        <v>49</v>
      </c>
      <c r="HP28">
        <v>46</v>
      </c>
      <c r="HQ28">
        <v>-65</v>
      </c>
      <c r="HS28" t="s">
        <v>430</v>
      </c>
      <c r="HT28">
        <v>-73.48</v>
      </c>
      <c r="HU28">
        <f t="shared" si="1"/>
        <v>119.48</v>
      </c>
      <c r="HV28">
        <v>49</v>
      </c>
      <c r="HW28">
        <v>-49.74</v>
      </c>
      <c r="HX28">
        <v>46</v>
      </c>
      <c r="HY28">
        <v>15.26</v>
      </c>
      <c r="HZ28">
        <v>46</v>
      </c>
      <c r="IB28" t="s">
        <v>887</v>
      </c>
      <c r="IC28" t="s">
        <v>508</v>
      </c>
      <c r="ID28" t="s">
        <v>511</v>
      </c>
      <c r="IE28" t="s">
        <v>514</v>
      </c>
      <c r="IF28" t="s">
        <v>517</v>
      </c>
      <c r="IG28" t="s">
        <v>520</v>
      </c>
      <c r="IH28" t="s">
        <v>523</v>
      </c>
      <c r="II28" t="s">
        <v>900</v>
      </c>
      <c r="IJ28" t="s">
        <v>901</v>
      </c>
      <c r="IK28" t="s">
        <v>218</v>
      </c>
      <c r="IL28" t="s">
        <v>902</v>
      </c>
      <c r="IM28" s="1" t="s">
        <v>897</v>
      </c>
    </row>
    <row r="29" spans="1:249" ht="13.15" x14ac:dyDescent="0.4">
      <c r="A29">
        <v>50224</v>
      </c>
      <c r="B29">
        <v>42</v>
      </c>
      <c r="C29">
        <v>42</v>
      </c>
      <c r="D29">
        <v>0</v>
      </c>
      <c r="E29">
        <v>3</v>
      </c>
      <c r="F29">
        <v>18</v>
      </c>
      <c r="G29">
        <v>0</v>
      </c>
      <c r="H29">
        <v>7</v>
      </c>
      <c r="J29">
        <v>8</v>
      </c>
      <c r="K29">
        <v>3.59</v>
      </c>
      <c r="M29">
        <v>8</v>
      </c>
      <c r="N29">
        <v>0.64</v>
      </c>
      <c r="P29" t="s">
        <v>576</v>
      </c>
      <c r="Q29">
        <v>779.6</v>
      </c>
      <c r="R29">
        <v>7</v>
      </c>
      <c r="T29" t="s">
        <v>428</v>
      </c>
      <c r="U29">
        <v>-57.49</v>
      </c>
      <c r="V29">
        <v>7</v>
      </c>
      <c r="X29">
        <v>-37.25</v>
      </c>
      <c r="Y29">
        <v>7</v>
      </c>
      <c r="AA29">
        <v>22.31</v>
      </c>
      <c r="AB29">
        <v>7</v>
      </c>
      <c r="CW29" t="s">
        <v>8</v>
      </c>
      <c r="CX29" t="s">
        <v>131</v>
      </c>
      <c r="CY29" t="s">
        <v>132</v>
      </c>
      <c r="DB29" t="s">
        <v>8</v>
      </c>
      <c r="DC29" t="s">
        <v>131</v>
      </c>
      <c r="DD29" t="s">
        <v>132</v>
      </c>
      <c r="DF29" t="s">
        <v>903</v>
      </c>
      <c r="DJ29">
        <v>18</v>
      </c>
      <c r="DO29" t="s">
        <v>432</v>
      </c>
      <c r="DP29">
        <v>20</v>
      </c>
      <c r="DQ29">
        <v>350.1</v>
      </c>
      <c r="DR29">
        <v>19</v>
      </c>
      <c r="DS29">
        <v>310.05</v>
      </c>
      <c r="DV29" t="s">
        <v>432</v>
      </c>
      <c r="DW29">
        <v>-81.709999999999994</v>
      </c>
      <c r="DX29">
        <v>20</v>
      </c>
      <c r="DZ29" t="s">
        <v>689</v>
      </c>
      <c r="EA29">
        <v>19</v>
      </c>
      <c r="EB29">
        <v>-65.739999999999995</v>
      </c>
      <c r="EE29" t="s">
        <v>432</v>
      </c>
      <c r="EF29">
        <v>-53.945900000000002</v>
      </c>
      <c r="EG29">
        <v>20</v>
      </c>
      <c r="EI29" t="s">
        <v>690</v>
      </c>
      <c r="EJ29">
        <v>-43.095399999999998</v>
      </c>
      <c r="EK29">
        <v>19</v>
      </c>
      <c r="EM29" t="s">
        <v>690</v>
      </c>
      <c r="EN29">
        <v>-66.150000000000006</v>
      </c>
      <c r="EP29" t="s">
        <v>690</v>
      </c>
      <c r="EQ29">
        <f t="shared" si="0"/>
        <v>23.054600000000008</v>
      </c>
      <c r="ES29">
        <v>50</v>
      </c>
      <c r="ET29">
        <v>0</v>
      </c>
      <c r="EU29">
        <v>0</v>
      </c>
      <c r="EV29">
        <v>1</v>
      </c>
      <c r="EW29">
        <v>0</v>
      </c>
      <c r="EX29">
        <v>0</v>
      </c>
      <c r="EY29">
        <v>1</v>
      </c>
      <c r="EZ29">
        <v>0</v>
      </c>
      <c r="FA29">
        <v>0.5</v>
      </c>
      <c r="FB29">
        <v>0.5</v>
      </c>
      <c r="FC29">
        <v>0.5</v>
      </c>
      <c r="FD29">
        <v>0.5</v>
      </c>
      <c r="FE29">
        <v>1</v>
      </c>
      <c r="FF29">
        <v>0.5</v>
      </c>
      <c r="FG29">
        <v>0</v>
      </c>
      <c r="FH29">
        <v>0.5</v>
      </c>
      <c r="FI29">
        <v>0</v>
      </c>
      <c r="FJ29">
        <v>0</v>
      </c>
      <c r="FK29">
        <v>0.5</v>
      </c>
      <c r="FL29">
        <v>5</v>
      </c>
      <c r="FM29">
        <v>3.5</v>
      </c>
      <c r="FN29">
        <v>4</v>
      </c>
      <c r="FO29">
        <v>0</v>
      </c>
      <c r="FP29">
        <v>0</v>
      </c>
      <c r="FQ29">
        <v>0</v>
      </c>
      <c r="FR29">
        <v>0</v>
      </c>
      <c r="FS29">
        <v>1</v>
      </c>
      <c r="FT29">
        <v>0.5</v>
      </c>
      <c r="FU29">
        <v>0.5</v>
      </c>
      <c r="FV29">
        <v>2</v>
      </c>
      <c r="FW29">
        <v>4.5</v>
      </c>
      <c r="FX29">
        <v>0</v>
      </c>
      <c r="FY29">
        <v>0</v>
      </c>
      <c r="FZ29">
        <v>0</v>
      </c>
      <c r="GA29" s="1">
        <f t="shared" ref="GA29:GA36" si="7">AVERAGE(ET29:FZ29)</f>
        <v>0.83333333333333337</v>
      </c>
      <c r="GK29">
        <v>1601242</v>
      </c>
      <c r="GL29">
        <v>20</v>
      </c>
      <c r="GM29">
        <v>20</v>
      </c>
      <c r="GN29">
        <v>0</v>
      </c>
      <c r="GO29">
        <v>2</v>
      </c>
      <c r="GP29">
        <v>8</v>
      </c>
      <c r="GQ29">
        <v>0</v>
      </c>
      <c r="GR29">
        <v>47</v>
      </c>
      <c r="HC29" t="s">
        <v>433</v>
      </c>
      <c r="HD29">
        <v>180.22</v>
      </c>
      <c r="HE29">
        <v>49</v>
      </c>
      <c r="HH29" t="s">
        <v>894</v>
      </c>
      <c r="HI29">
        <v>46</v>
      </c>
      <c r="HJ29">
        <v>227.25</v>
      </c>
      <c r="HL29" t="s">
        <v>433</v>
      </c>
      <c r="HM29">
        <v>-66.08</v>
      </c>
      <c r="HN29">
        <v>49</v>
      </c>
      <c r="HP29">
        <v>46</v>
      </c>
      <c r="HQ29">
        <v>-77</v>
      </c>
      <c r="HS29" t="s">
        <v>433</v>
      </c>
      <c r="HT29">
        <v>-66.08</v>
      </c>
      <c r="HU29">
        <f t="shared" si="1"/>
        <v>112.08</v>
      </c>
      <c r="HV29">
        <v>49</v>
      </c>
      <c r="HW29">
        <v>-46.15</v>
      </c>
      <c r="HX29">
        <v>46</v>
      </c>
      <c r="HY29">
        <v>30.85</v>
      </c>
      <c r="HZ29">
        <v>46</v>
      </c>
      <c r="IB29">
        <v>50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 s="1">
        <f t="shared" ref="IM29:IM36" si="8">AVERAGE(IC29:IL29)</f>
        <v>0</v>
      </c>
    </row>
    <row r="30" spans="1:249" ht="13.15" x14ac:dyDescent="0.4">
      <c r="A30" s="2">
        <v>502242</v>
      </c>
      <c r="B30" s="2">
        <v>12</v>
      </c>
      <c r="C30" s="2">
        <v>12</v>
      </c>
      <c r="D30" s="2">
        <v>2</v>
      </c>
      <c r="E30" s="2">
        <v>3</v>
      </c>
      <c r="F30" s="2">
        <v>9</v>
      </c>
      <c r="G30" s="2">
        <v>2</v>
      </c>
      <c r="H30" s="2">
        <v>7</v>
      </c>
      <c r="J30">
        <v>8</v>
      </c>
      <c r="K30">
        <v>1.44</v>
      </c>
      <c r="M30">
        <v>8</v>
      </c>
      <c r="N30">
        <v>0.92</v>
      </c>
      <c r="P30" t="s">
        <v>579</v>
      </c>
      <c r="Q30">
        <v>680.5</v>
      </c>
      <c r="R30">
        <v>7</v>
      </c>
      <c r="T30" t="s">
        <v>431</v>
      </c>
      <c r="U30">
        <v>-59.56</v>
      </c>
      <c r="V30">
        <v>7</v>
      </c>
      <c r="X30">
        <v>-34.090000000000003</v>
      </c>
      <c r="Y30">
        <v>7</v>
      </c>
      <c r="AA30">
        <v>35.15</v>
      </c>
      <c r="AB30">
        <v>7</v>
      </c>
      <c r="CW30">
        <v>17</v>
      </c>
      <c r="CX30">
        <v>1016</v>
      </c>
      <c r="CY30" s="1">
        <f>Supplementary_Fig4!CW30*100/Supplementary_Fig4!CX30</f>
        <v>1.6732283464566928</v>
      </c>
      <c r="DB30">
        <v>15</v>
      </c>
      <c r="DC30">
        <v>516</v>
      </c>
      <c r="DD30" s="1">
        <f>Supplementary_Fig4!DB30*100/Supplementary_Fig4!DC30</f>
        <v>2.9069767441860463</v>
      </c>
      <c r="DF30" t="s">
        <v>66</v>
      </c>
      <c r="DG30">
        <v>1.42</v>
      </c>
      <c r="DH30">
        <v>309.14999999999998</v>
      </c>
      <c r="DJ30">
        <v>18</v>
      </c>
      <c r="DO30" t="s">
        <v>435</v>
      </c>
      <c r="DP30">
        <v>20</v>
      </c>
      <c r="DQ30">
        <v>477.8</v>
      </c>
      <c r="DR30">
        <v>19</v>
      </c>
      <c r="DS30">
        <v>293.92</v>
      </c>
      <c r="DV30" t="s">
        <v>435</v>
      </c>
      <c r="DW30">
        <v>-64.41</v>
      </c>
      <c r="DX30">
        <v>20</v>
      </c>
      <c r="DZ30" t="s">
        <v>690</v>
      </c>
      <c r="EA30">
        <v>19</v>
      </c>
      <c r="EB30">
        <v>-66.150000000000006</v>
      </c>
      <c r="EE30" t="s">
        <v>435</v>
      </c>
      <c r="EF30">
        <v>-43.243400000000001</v>
      </c>
      <c r="EG30">
        <v>20</v>
      </c>
      <c r="EI30" t="s">
        <v>691</v>
      </c>
      <c r="EJ30">
        <v>-43.231900000000003</v>
      </c>
      <c r="EK30">
        <v>19</v>
      </c>
      <c r="EM30" t="s">
        <v>691</v>
      </c>
      <c r="EN30">
        <v>-67.040000000000006</v>
      </c>
      <c r="EP30" t="s">
        <v>691</v>
      </c>
      <c r="EQ30">
        <f t="shared" si="0"/>
        <v>23.808100000000003</v>
      </c>
      <c r="ES30">
        <v>100</v>
      </c>
      <c r="ET30">
        <v>1.5</v>
      </c>
      <c r="EU30">
        <v>0.5</v>
      </c>
      <c r="EV30">
        <v>2.5</v>
      </c>
      <c r="EW30">
        <v>1</v>
      </c>
      <c r="EX30">
        <v>1</v>
      </c>
      <c r="EY30">
        <v>2.5</v>
      </c>
      <c r="EZ30">
        <v>1</v>
      </c>
      <c r="FA30">
        <v>3.5</v>
      </c>
      <c r="FB30">
        <v>2</v>
      </c>
      <c r="FC30">
        <v>1</v>
      </c>
      <c r="FD30">
        <v>2.5</v>
      </c>
      <c r="FE30">
        <v>4</v>
      </c>
      <c r="FF30">
        <v>1.5</v>
      </c>
      <c r="FG30">
        <v>0</v>
      </c>
      <c r="FH30">
        <v>2.5</v>
      </c>
      <c r="FI30">
        <v>0.5</v>
      </c>
      <c r="FJ30">
        <v>0</v>
      </c>
      <c r="FK30">
        <v>1.5</v>
      </c>
      <c r="FL30">
        <v>11</v>
      </c>
      <c r="FM30">
        <v>9</v>
      </c>
      <c r="FN30">
        <v>11.5</v>
      </c>
      <c r="FO30">
        <v>0</v>
      </c>
      <c r="FP30">
        <v>0.5</v>
      </c>
      <c r="FQ30">
        <v>1.5</v>
      </c>
      <c r="FR30">
        <v>1.5</v>
      </c>
      <c r="FS30">
        <v>5.5</v>
      </c>
      <c r="FT30">
        <v>1.5</v>
      </c>
      <c r="FU30">
        <v>1</v>
      </c>
      <c r="FV30">
        <v>4</v>
      </c>
      <c r="FW30">
        <v>8</v>
      </c>
      <c r="FX30">
        <v>0</v>
      </c>
      <c r="FY30">
        <v>0.5</v>
      </c>
      <c r="FZ30">
        <v>1.5</v>
      </c>
      <c r="GA30" s="1">
        <f t="shared" si="7"/>
        <v>2.606060606060606</v>
      </c>
      <c r="GK30" s="2">
        <v>70324</v>
      </c>
      <c r="GL30" s="2">
        <v>56</v>
      </c>
      <c r="GM30" s="2">
        <v>56</v>
      </c>
      <c r="GN30" s="2">
        <v>1</v>
      </c>
      <c r="GO30" s="10">
        <v>4</v>
      </c>
      <c r="GP30" s="2">
        <v>28</v>
      </c>
      <c r="GQ30" s="2">
        <v>1</v>
      </c>
      <c r="GR30" s="2">
        <v>47</v>
      </c>
      <c r="HC30" t="s">
        <v>436</v>
      </c>
      <c r="HD30">
        <v>312.82</v>
      </c>
      <c r="HE30">
        <v>49</v>
      </c>
      <c r="HH30" t="s">
        <v>895</v>
      </c>
      <c r="HI30">
        <v>46</v>
      </c>
      <c r="HJ30">
        <v>254.32499999999999</v>
      </c>
      <c r="HL30" t="s">
        <v>436</v>
      </c>
      <c r="HM30">
        <v>-69.33</v>
      </c>
      <c r="HN30">
        <v>49</v>
      </c>
      <c r="HP30">
        <v>46</v>
      </c>
      <c r="HQ30">
        <v>-68</v>
      </c>
      <c r="HS30" t="s">
        <v>436</v>
      </c>
      <c r="HT30">
        <v>-69.33</v>
      </c>
      <c r="HU30">
        <f t="shared" si="1"/>
        <v>115.33</v>
      </c>
      <c r="HV30">
        <v>45</v>
      </c>
      <c r="HW30">
        <v>-55.78</v>
      </c>
      <c r="HX30">
        <v>46</v>
      </c>
      <c r="HY30">
        <v>12.22</v>
      </c>
      <c r="HZ30">
        <v>46</v>
      </c>
      <c r="IB30">
        <v>100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 s="1">
        <f t="shared" si="8"/>
        <v>0</v>
      </c>
    </row>
    <row r="31" spans="1:249" ht="13.15" x14ac:dyDescent="0.4">
      <c r="B31" s="1">
        <f t="shared" ref="B31:G31" si="9">SUM(B3:B30)</f>
        <v>1122</v>
      </c>
      <c r="C31" s="1">
        <f t="shared" si="9"/>
        <v>1160</v>
      </c>
      <c r="D31" s="1">
        <f t="shared" si="9"/>
        <v>35</v>
      </c>
      <c r="E31" s="1">
        <f t="shared" si="9"/>
        <v>84</v>
      </c>
      <c r="F31" s="1">
        <f t="shared" si="9"/>
        <v>522</v>
      </c>
      <c r="G31" s="1">
        <f t="shared" si="9"/>
        <v>27</v>
      </c>
      <c r="J31">
        <v>8</v>
      </c>
      <c r="K31">
        <v>1.34</v>
      </c>
      <c r="M31">
        <v>8</v>
      </c>
      <c r="N31">
        <v>0.17</v>
      </c>
      <c r="P31" t="s">
        <v>582</v>
      </c>
      <c r="Q31">
        <v>485.93</v>
      </c>
      <c r="R31">
        <v>7</v>
      </c>
      <c r="T31" t="s">
        <v>434</v>
      </c>
      <c r="U31">
        <v>-69.239999999999995</v>
      </c>
      <c r="V31">
        <v>7</v>
      </c>
      <c r="X31">
        <v>-34.090000000000003</v>
      </c>
      <c r="Y31">
        <v>7</v>
      </c>
      <c r="AA31">
        <v>20.37</v>
      </c>
      <c r="AB31">
        <v>7</v>
      </c>
      <c r="DF31" t="s">
        <v>63</v>
      </c>
      <c r="DG31">
        <v>1.73</v>
      </c>
      <c r="DH31">
        <v>303.8</v>
      </c>
      <c r="DI31">
        <f>31.64/62.64</f>
        <v>0.50510855683269473</v>
      </c>
      <c r="DJ31">
        <v>19</v>
      </c>
      <c r="DO31" t="s">
        <v>438</v>
      </c>
      <c r="DP31">
        <v>20</v>
      </c>
      <c r="DQ31">
        <v>587.5</v>
      </c>
      <c r="DR31">
        <v>19</v>
      </c>
      <c r="DS31">
        <v>292.42</v>
      </c>
      <c r="DV31" t="s">
        <v>438</v>
      </c>
      <c r="DW31">
        <v>-57.72</v>
      </c>
      <c r="DX31">
        <v>20</v>
      </c>
      <c r="DZ31" t="s">
        <v>691</v>
      </c>
      <c r="EA31">
        <v>19</v>
      </c>
      <c r="EB31">
        <v>-67.040000000000006</v>
      </c>
      <c r="EE31" t="s">
        <v>438</v>
      </c>
      <c r="EF31">
        <v>-46.586599999999997</v>
      </c>
      <c r="EG31">
        <v>20</v>
      </c>
      <c r="EI31" t="s">
        <v>692</v>
      </c>
      <c r="EJ31">
        <v>-53.041800000000002</v>
      </c>
      <c r="EK31">
        <v>19</v>
      </c>
      <c r="EM31" t="s">
        <v>692</v>
      </c>
      <c r="EN31">
        <v>-62.17</v>
      </c>
      <c r="EP31" t="s">
        <v>692</v>
      </c>
      <c r="EQ31">
        <f t="shared" si="0"/>
        <v>9.1281999999999996</v>
      </c>
      <c r="ES31">
        <v>150</v>
      </c>
      <c r="ET31">
        <v>2</v>
      </c>
      <c r="EU31">
        <v>1</v>
      </c>
      <c r="EV31">
        <v>3.5</v>
      </c>
      <c r="EW31">
        <v>1.5</v>
      </c>
      <c r="EX31">
        <v>2</v>
      </c>
      <c r="EY31">
        <v>4.5</v>
      </c>
      <c r="EZ31">
        <v>2</v>
      </c>
      <c r="FA31">
        <v>6</v>
      </c>
      <c r="FB31">
        <v>3</v>
      </c>
      <c r="FC31">
        <v>3.5</v>
      </c>
      <c r="FD31">
        <v>4</v>
      </c>
      <c r="FE31">
        <v>5.5</v>
      </c>
      <c r="FF31">
        <v>4</v>
      </c>
      <c r="FG31">
        <v>1</v>
      </c>
      <c r="FH31">
        <v>3.5</v>
      </c>
      <c r="FI31">
        <v>1.5</v>
      </c>
      <c r="FJ31">
        <v>1</v>
      </c>
      <c r="FK31">
        <v>1.5</v>
      </c>
      <c r="FL31">
        <v>15.5</v>
      </c>
      <c r="FM31">
        <v>11.5</v>
      </c>
      <c r="FN31">
        <v>15.5</v>
      </c>
      <c r="FO31">
        <v>1</v>
      </c>
      <c r="FP31">
        <v>1</v>
      </c>
      <c r="FQ31">
        <v>3</v>
      </c>
      <c r="FR31">
        <v>3.5</v>
      </c>
      <c r="FS31">
        <v>10</v>
      </c>
      <c r="FT31">
        <v>4</v>
      </c>
      <c r="FU31">
        <v>2</v>
      </c>
      <c r="FV31">
        <v>6</v>
      </c>
      <c r="FW31">
        <v>14</v>
      </c>
      <c r="FX31">
        <v>1</v>
      </c>
      <c r="FY31">
        <v>2.5</v>
      </c>
      <c r="FZ31">
        <v>2.5</v>
      </c>
      <c r="GA31" s="1">
        <f t="shared" si="7"/>
        <v>4.3636363636363633</v>
      </c>
      <c r="GK31">
        <v>200324</v>
      </c>
      <c r="GL31">
        <v>42</v>
      </c>
      <c r="GM31">
        <v>42</v>
      </c>
      <c r="GN31">
        <v>0</v>
      </c>
      <c r="GO31">
        <v>3</v>
      </c>
      <c r="GP31">
        <v>18</v>
      </c>
      <c r="GQ31">
        <v>0</v>
      </c>
      <c r="GR31">
        <v>47</v>
      </c>
      <c r="HC31" t="s">
        <v>439</v>
      </c>
      <c r="HD31">
        <v>176</v>
      </c>
      <c r="HE31">
        <v>45</v>
      </c>
      <c r="HH31" t="s">
        <v>896</v>
      </c>
      <c r="HI31">
        <v>46</v>
      </c>
      <c r="HJ31">
        <v>265.89999999999998</v>
      </c>
      <c r="HL31" t="s">
        <v>439</v>
      </c>
      <c r="HM31">
        <v>-65.38</v>
      </c>
      <c r="HN31">
        <v>45</v>
      </c>
      <c r="HP31">
        <v>46</v>
      </c>
      <c r="HQ31">
        <v>-69.849999999999994</v>
      </c>
      <c r="HS31" t="s">
        <v>442</v>
      </c>
      <c r="HT31">
        <v>-62.51</v>
      </c>
      <c r="HU31">
        <f t="shared" si="1"/>
        <v>108.50999999999999</v>
      </c>
      <c r="HV31">
        <v>45</v>
      </c>
      <c r="HW31">
        <v>-45.55</v>
      </c>
      <c r="HX31">
        <v>46</v>
      </c>
      <c r="HY31">
        <v>24.3</v>
      </c>
      <c r="HZ31">
        <v>46</v>
      </c>
      <c r="IB31">
        <v>150</v>
      </c>
      <c r="IC31">
        <v>2</v>
      </c>
      <c r="ID31">
        <v>0</v>
      </c>
      <c r="IE31">
        <v>0</v>
      </c>
      <c r="IF31">
        <v>0</v>
      </c>
      <c r="IG31">
        <v>1</v>
      </c>
      <c r="IH31">
        <v>1</v>
      </c>
      <c r="II31">
        <v>0</v>
      </c>
      <c r="IJ31">
        <v>0</v>
      </c>
      <c r="IK31">
        <v>0</v>
      </c>
      <c r="IL31">
        <v>0</v>
      </c>
      <c r="IM31" s="1">
        <f t="shared" si="8"/>
        <v>0.4</v>
      </c>
    </row>
    <row r="32" spans="1:249" ht="13.15" x14ac:dyDescent="0.4">
      <c r="J32">
        <v>8</v>
      </c>
      <c r="K32">
        <v>2.06</v>
      </c>
      <c r="M32">
        <v>8</v>
      </c>
      <c r="N32">
        <v>0.34</v>
      </c>
      <c r="P32" t="s">
        <v>585</v>
      </c>
      <c r="Q32">
        <v>499</v>
      </c>
      <c r="R32">
        <v>7</v>
      </c>
      <c r="T32" t="s">
        <v>437</v>
      </c>
      <c r="U32">
        <v>-54.46</v>
      </c>
      <c r="V32">
        <v>7</v>
      </c>
      <c r="X32">
        <v>-36.369999999999997</v>
      </c>
      <c r="Y32">
        <v>7</v>
      </c>
      <c r="AA32">
        <v>22.06</v>
      </c>
      <c r="AB32">
        <v>7</v>
      </c>
      <c r="DF32" t="s">
        <v>60</v>
      </c>
      <c r="DG32" s="9">
        <v>1.78</v>
      </c>
      <c r="DH32">
        <v>310.05</v>
      </c>
      <c r="DI32">
        <f>32.98/40.77</f>
        <v>0.80892813343144454</v>
      </c>
      <c r="DJ32">
        <v>19</v>
      </c>
      <c r="DO32" t="s">
        <v>441</v>
      </c>
      <c r="DP32">
        <v>20</v>
      </c>
      <c r="DQ32">
        <v>354.42</v>
      </c>
      <c r="DR32">
        <v>19</v>
      </c>
      <c r="DS32">
        <v>479.9</v>
      </c>
      <c r="DV32" t="s">
        <v>441</v>
      </c>
      <c r="DW32">
        <v>-59.39</v>
      </c>
      <c r="DX32">
        <v>20</v>
      </c>
      <c r="DZ32" t="s">
        <v>692</v>
      </c>
      <c r="EA32">
        <v>19</v>
      </c>
      <c r="EB32">
        <v>-62.17</v>
      </c>
      <c r="EE32" t="s">
        <v>441</v>
      </c>
      <c r="EF32">
        <v>-40.820300000000003</v>
      </c>
      <c r="EG32">
        <v>20</v>
      </c>
      <c r="EI32" t="s">
        <v>693</v>
      </c>
      <c r="EJ32">
        <v>-45.896099999999997</v>
      </c>
      <c r="EK32">
        <v>19</v>
      </c>
      <c r="EM32" t="s">
        <v>693</v>
      </c>
      <c r="EN32">
        <v>-65.599999999999994</v>
      </c>
      <c r="EP32" t="s">
        <v>693</v>
      </c>
      <c r="EQ32">
        <f t="shared" si="0"/>
        <v>19.703899999999997</v>
      </c>
      <c r="ES32">
        <v>200</v>
      </c>
      <c r="ET32">
        <v>3</v>
      </c>
      <c r="EU32">
        <v>2</v>
      </c>
      <c r="EV32">
        <v>5</v>
      </c>
      <c r="EW32">
        <v>3</v>
      </c>
      <c r="EX32">
        <v>2.5</v>
      </c>
      <c r="EY32">
        <v>5.5</v>
      </c>
      <c r="EZ32">
        <v>3</v>
      </c>
      <c r="FA32">
        <v>8</v>
      </c>
      <c r="FB32">
        <v>4</v>
      </c>
      <c r="FC32">
        <v>3.5</v>
      </c>
      <c r="FD32">
        <v>5.5</v>
      </c>
      <c r="FE32">
        <v>6</v>
      </c>
      <c r="FF32">
        <v>5</v>
      </c>
      <c r="FG32">
        <v>1.5</v>
      </c>
      <c r="FH32">
        <v>4.5</v>
      </c>
      <c r="FI32">
        <v>2.5</v>
      </c>
      <c r="FJ32">
        <v>1.5</v>
      </c>
      <c r="FK32">
        <v>2.5</v>
      </c>
      <c r="FL32">
        <v>13</v>
      </c>
      <c r="FM32">
        <v>12.5</v>
      </c>
      <c r="FN32">
        <v>17</v>
      </c>
      <c r="FO32">
        <v>1.5</v>
      </c>
      <c r="FP32">
        <v>1</v>
      </c>
      <c r="FQ32">
        <v>4</v>
      </c>
      <c r="FR32">
        <v>5</v>
      </c>
      <c r="FS32">
        <v>14.5</v>
      </c>
      <c r="FT32">
        <v>4.5</v>
      </c>
      <c r="FU32">
        <v>3</v>
      </c>
      <c r="FV32">
        <v>8.5</v>
      </c>
      <c r="FW32">
        <v>16.5</v>
      </c>
      <c r="FX32">
        <v>1</v>
      </c>
      <c r="FY32">
        <v>4</v>
      </c>
      <c r="FZ32">
        <v>6</v>
      </c>
      <c r="GA32" s="1">
        <f t="shared" si="7"/>
        <v>5.4696969696969697</v>
      </c>
      <c r="GK32">
        <v>1106242</v>
      </c>
      <c r="GL32">
        <v>56</v>
      </c>
      <c r="GM32">
        <v>56</v>
      </c>
      <c r="GN32">
        <v>0</v>
      </c>
      <c r="GO32">
        <v>2</v>
      </c>
      <c r="GP32">
        <v>14</v>
      </c>
      <c r="GQ32">
        <v>0</v>
      </c>
      <c r="GR32">
        <v>47</v>
      </c>
      <c r="HC32" t="s">
        <v>442</v>
      </c>
      <c r="HD32">
        <v>183.47</v>
      </c>
      <c r="HE32">
        <v>45</v>
      </c>
      <c r="HH32" t="s">
        <v>508</v>
      </c>
      <c r="HI32">
        <v>47</v>
      </c>
      <c r="HJ32">
        <v>186.12</v>
      </c>
      <c r="HL32" t="s">
        <v>442</v>
      </c>
      <c r="HM32">
        <v>-62.51</v>
      </c>
      <c r="HN32">
        <v>45</v>
      </c>
      <c r="HP32">
        <v>47</v>
      </c>
      <c r="HQ32">
        <v>-67.03</v>
      </c>
      <c r="HS32" t="s">
        <v>445</v>
      </c>
      <c r="HT32">
        <v>-58.75</v>
      </c>
      <c r="HU32">
        <f t="shared" si="1"/>
        <v>105.75</v>
      </c>
      <c r="HV32">
        <v>45</v>
      </c>
      <c r="HW32">
        <v>-40.578400000000002</v>
      </c>
      <c r="HX32">
        <v>47</v>
      </c>
      <c r="HY32">
        <v>26.451599999999999</v>
      </c>
      <c r="HZ32">
        <v>47</v>
      </c>
      <c r="IB32">
        <v>200</v>
      </c>
      <c r="IC32">
        <v>4</v>
      </c>
      <c r="ID32">
        <v>0</v>
      </c>
      <c r="IE32">
        <v>0</v>
      </c>
      <c r="IF32">
        <v>0</v>
      </c>
      <c r="IG32">
        <v>3.5</v>
      </c>
      <c r="IH32">
        <v>2</v>
      </c>
      <c r="II32">
        <v>2</v>
      </c>
      <c r="IJ32">
        <v>0</v>
      </c>
      <c r="IK32">
        <v>0</v>
      </c>
      <c r="IL32">
        <v>0</v>
      </c>
      <c r="IM32" s="1">
        <f t="shared" si="8"/>
        <v>1.1499999999999999</v>
      </c>
    </row>
    <row r="33" spans="1:262" ht="13.15" x14ac:dyDescent="0.4">
      <c r="J33">
        <v>8</v>
      </c>
      <c r="K33">
        <v>2.2999999999999998</v>
      </c>
      <c r="M33">
        <v>8</v>
      </c>
      <c r="N33">
        <v>0.41</v>
      </c>
      <c r="P33" t="s">
        <v>588</v>
      </c>
      <c r="Q33">
        <v>889</v>
      </c>
      <c r="R33">
        <v>7</v>
      </c>
      <c r="T33" t="s">
        <v>440</v>
      </c>
      <c r="U33">
        <v>-58.43</v>
      </c>
      <c r="V33">
        <v>7</v>
      </c>
      <c r="X33">
        <v>-40.49</v>
      </c>
      <c r="Y33">
        <v>7</v>
      </c>
      <c r="AA33">
        <v>10.28</v>
      </c>
      <c r="AB33">
        <v>7</v>
      </c>
      <c r="CW33" s="1" t="s">
        <v>2</v>
      </c>
      <c r="CX33" s="1" t="s">
        <v>5</v>
      </c>
      <c r="CY33" s="1" t="s">
        <v>7</v>
      </c>
      <c r="CZ33" s="1" t="s">
        <v>8</v>
      </c>
      <c r="DA33" s="1" t="s">
        <v>20</v>
      </c>
      <c r="DB33" s="1" t="s">
        <v>21</v>
      </c>
      <c r="DC33" s="1" t="s">
        <v>8</v>
      </c>
      <c r="DD33" s="1" t="s">
        <v>19</v>
      </c>
      <c r="DF33" t="s">
        <v>24</v>
      </c>
      <c r="DG33">
        <v>4.8899999999999997</v>
      </c>
      <c r="DH33">
        <v>421.9</v>
      </c>
      <c r="DI33">
        <f>47.78/83.31</f>
        <v>0.57352058576401388</v>
      </c>
      <c r="DJ33">
        <v>20</v>
      </c>
      <c r="DO33" t="s">
        <v>444</v>
      </c>
      <c r="DP33">
        <v>20</v>
      </c>
      <c r="DQ33">
        <v>365.62</v>
      </c>
      <c r="DR33">
        <v>19</v>
      </c>
      <c r="DS33">
        <v>349.5</v>
      </c>
      <c r="DV33" t="s">
        <v>444</v>
      </c>
      <c r="DW33">
        <v>-66.400000000000006</v>
      </c>
      <c r="DX33">
        <v>20</v>
      </c>
      <c r="DZ33" t="s">
        <v>693</v>
      </c>
      <c r="EA33">
        <v>19</v>
      </c>
      <c r="EB33">
        <v>-65.599999999999994</v>
      </c>
      <c r="EE33" t="s">
        <v>444</v>
      </c>
      <c r="EF33">
        <v>-34.067500000000003</v>
      </c>
      <c r="EG33">
        <v>20</v>
      </c>
      <c r="EI33" t="s">
        <v>694</v>
      </c>
      <c r="EJ33">
        <v>-39.820900000000002</v>
      </c>
      <c r="EK33">
        <v>19</v>
      </c>
      <c r="EM33" t="s">
        <v>694</v>
      </c>
      <c r="EN33">
        <v>-65.569999999999993</v>
      </c>
      <c r="EP33" t="s">
        <v>694</v>
      </c>
      <c r="EQ33">
        <f t="shared" si="0"/>
        <v>25.749099999999991</v>
      </c>
      <c r="ES33">
        <v>250</v>
      </c>
      <c r="ET33">
        <v>3.5</v>
      </c>
      <c r="EU33">
        <v>2</v>
      </c>
      <c r="EV33">
        <v>5.5</v>
      </c>
      <c r="EW33">
        <v>3.5</v>
      </c>
      <c r="EX33">
        <v>4</v>
      </c>
      <c r="EY33">
        <v>6.5</v>
      </c>
      <c r="EZ33">
        <v>4</v>
      </c>
      <c r="FA33">
        <v>10</v>
      </c>
      <c r="FB33">
        <v>5</v>
      </c>
      <c r="FC33">
        <v>5.5</v>
      </c>
      <c r="FD33">
        <v>6.5</v>
      </c>
      <c r="FE33">
        <v>9.5</v>
      </c>
      <c r="FF33">
        <v>6</v>
      </c>
      <c r="FG33">
        <v>2</v>
      </c>
      <c r="FH33">
        <v>6.5</v>
      </c>
      <c r="FI33">
        <v>3</v>
      </c>
      <c r="FJ33">
        <v>2.5</v>
      </c>
      <c r="FK33">
        <v>3.5</v>
      </c>
      <c r="FL33">
        <v>10</v>
      </c>
      <c r="FM33">
        <v>12.5</v>
      </c>
      <c r="FN33">
        <v>18.5</v>
      </c>
      <c r="FO33">
        <v>2.5</v>
      </c>
      <c r="FP33">
        <v>1.5</v>
      </c>
      <c r="FQ33">
        <v>5.5</v>
      </c>
      <c r="FR33">
        <v>7</v>
      </c>
      <c r="FS33">
        <v>17</v>
      </c>
      <c r="FT33">
        <v>6</v>
      </c>
      <c r="FU33">
        <v>4</v>
      </c>
      <c r="FV33">
        <v>10.5</v>
      </c>
      <c r="FW33">
        <v>19.5</v>
      </c>
      <c r="FX33">
        <v>1.5</v>
      </c>
      <c r="FY33">
        <v>4.5</v>
      </c>
      <c r="FZ33">
        <v>8.5</v>
      </c>
      <c r="GA33" s="1">
        <f t="shared" si="7"/>
        <v>6.6060606060606064</v>
      </c>
      <c r="GK33">
        <v>130624</v>
      </c>
      <c r="GL33">
        <v>56</v>
      </c>
      <c r="GM33">
        <v>56</v>
      </c>
      <c r="GN33">
        <v>0</v>
      </c>
      <c r="GO33">
        <v>7</v>
      </c>
      <c r="GP33">
        <v>49</v>
      </c>
      <c r="GQ33">
        <v>0</v>
      </c>
      <c r="GR33">
        <v>47</v>
      </c>
      <c r="HC33" t="s">
        <v>445</v>
      </c>
      <c r="HD33">
        <v>171.15</v>
      </c>
      <c r="HE33">
        <v>45</v>
      </c>
      <c r="HH33" t="s">
        <v>511</v>
      </c>
      <c r="HI33">
        <v>47</v>
      </c>
      <c r="HJ33">
        <v>142.47</v>
      </c>
      <c r="HL33" t="s">
        <v>445</v>
      </c>
      <c r="HM33">
        <v>-58.75</v>
      </c>
      <c r="HN33">
        <v>45</v>
      </c>
      <c r="HP33">
        <v>47</v>
      </c>
      <c r="HQ33">
        <v>-54.94</v>
      </c>
      <c r="HS33" t="s">
        <v>448</v>
      </c>
      <c r="HT33">
        <v>-64.39</v>
      </c>
      <c r="HU33">
        <f t="shared" si="1"/>
        <v>111.39</v>
      </c>
      <c r="HV33">
        <v>45</v>
      </c>
      <c r="HW33">
        <v>-28.3416</v>
      </c>
      <c r="HX33">
        <v>47</v>
      </c>
      <c r="HY33">
        <v>26.598400000000002</v>
      </c>
      <c r="HZ33">
        <v>47</v>
      </c>
      <c r="IB33">
        <v>250</v>
      </c>
      <c r="IC33">
        <v>5</v>
      </c>
      <c r="ID33">
        <v>0</v>
      </c>
      <c r="IE33">
        <v>0</v>
      </c>
      <c r="IF33">
        <v>0</v>
      </c>
      <c r="IG33">
        <v>5</v>
      </c>
      <c r="IH33">
        <v>3</v>
      </c>
      <c r="II33">
        <v>2.5</v>
      </c>
      <c r="IJ33">
        <v>1</v>
      </c>
      <c r="IK33">
        <v>0</v>
      </c>
      <c r="IL33">
        <v>0</v>
      </c>
      <c r="IM33" s="1">
        <f t="shared" si="8"/>
        <v>1.65</v>
      </c>
    </row>
    <row r="34" spans="1:262" ht="13.15" x14ac:dyDescent="0.4">
      <c r="J34">
        <v>8</v>
      </c>
      <c r="K34">
        <v>1.23</v>
      </c>
      <c r="M34">
        <v>8</v>
      </c>
      <c r="N34">
        <v>0.31</v>
      </c>
      <c r="P34" t="s">
        <v>591</v>
      </c>
      <c r="Q34">
        <v>213.57</v>
      </c>
      <c r="R34">
        <v>7</v>
      </c>
      <c r="T34" t="s">
        <v>443</v>
      </c>
      <c r="U34">
        <v>-50.77</v>
      </c>
      <c r="V34">
        <v>7</v>
      </c>
      <c r="X34">
        <v>-36.01</v>
      </c>
      <c r="Y34">
        <v>7</v>
      </c>
      <c r="AA34">
        <v>22.47</v>
      </c>
      <c r="AB34">
        <v>7</v>
      </c>
      <c r="CW34">
        <v>20822</v>
      </c>
      <c r="CX34">
        <v>56</v>
      </c>
      <c r="CY34">
        <v>56</v>
      </c>
      <c r="CZ34">
        <v>0</v>
      </c>
      <c r="DA34">
        <v>3</v>
      </c>
      <c r="DB34">
        <v>21</v>
      </c>
      <c r="DC34">
        <v>0</v>
      </c>
      <c r="DD34">
        <v>22</v>
      </c>
      <c r="DF34" t="s">
        <v>34</v>
      </c>
      <c r="DG34">
        <v>1.28</v>
      </c>
      <c r="DH34">
        <v>387.25</v>
      </c>
      <c r="DI34">
        <f>9.39/14.08</f>
        <v>0.66690340909090917</v>
      </c>
      <c r="DJ34">
        <v>20</v>
      </c>
      <c r="DO34" t="s">
        <v>447</v>
      </c>
      <c r="DP34">
        <v>20</v>
      </c>
      <c r="DQ34">
        <v>282.55</v>
      </c>
      <c r="DR34">
        <v>19</v>
      </c>
      <c r="DS34">
        <v>303.8</v>
      </c>
      <c r="DV34" t="s">
        <v>447</v>
      </c>
      <c r="DW34">
        <v>-66.650000000000006</v>
      </c>
      <c r="DX34">
        <v>20</v>
      </c>
      <c r="DZ34" t="s">
        <v>694</v>
      </c>
      <c r="EA34">
        <v>19</v>
      </c>
      <c r="EB34">
        <v>-65.569999999999993</v>
      </c>
      <c r="EE34" t="s">
        <v>447</v>
      </c>
      <c r="EF34">
        <v>-40.341900000000003</v>
      </c>
      <c r="EG34">
        <v>20</v>
      </c>
      <c r="EI34" t="s">
        <v>695</v>
      </c>
      <c r="EJ34">
        <v>-48.929600000000001</v>
      </c>
      <c r="EK34">
        <v>19</v>
      </c>
      <c r="EM34" t="s">
        <v>695</v>
      </c>
      <c r="EN34">
        <v>-63.57</v>
      </c>
      <c r="EP34" t="s">
        <v>695</v>
      </c>
      <c r="EQ34">
        <f t="shared" si="0"/>
        <v>14.6404</v>
      </c>
      <c r="ES34">
        <v>300</v>
      </c>
      <c r="ET34">
        <v>4.5</v>
      </c>
      <c r="EU34">
        <v>3.5</v>
      </c>
      <c r="EV34">
        <v>6.5</v>
      </c>
      <c r="EW34">
        <v>4</v>
      </c>
      <c r="EX34">
        <v>5</v>
      </c>
      <c r="EY34">
        <v>7.5</v>
      </c>
      <c r="EZ34">
        <v>4</v>
      </c>
      <c r="FA34">
        <v>11.5</v>
      </c>
      <c r="FB34">
        <v>6</v>
      </c>
      <c r="FC34">
        <v>6</v>
      </c>
      <c r="FD34">
        <v>7</v>
      </c>
      <c r="FE34">
        <v>10</v>
      </c>
      <c r="FF34">
        <v>6</v>
      </c>
      <c r="FG34">
        <v>3</v>
      </c>
      <c r="FH34">
        <v>9</v>
      </c>
      <c r="FI34">
        <v>3</v>
      </c>
      <c r="FJ34">
        <v>2.5</v>
      </c>
      <c r="FK34">
        <v>4.5</v>
      </c>
      <c r="FL34">
        <v>6</v>
      </c>
      <c r="FM34">
        <v>15</v>
      </c>
      <c r="FN34">
        <v>20.5</v>
      </c>
      <c r="FO34">
        <v>3</v>
      </c>
      <c r="FP34">
        <v>1.5</v>
      </c>
      <c r="FQ34">
        <v>7.5</v>
      </c>
      <c r="FR34">
        <v>8</v>
      </c>
      <c r="FS34">
        <v>17</v>
      </c>
      <c r="FT34">
        <v>6</v>
      </c>
      <c r="FU34">
        <v>5</v>
      </c>
      <c r="FV34">
        <v>12.5</v>
      </c>
      <c r="FW34">
        <v>21.5</v>
      </c>
      <c r="FX34">
        <v>3</v>
      </c>
      <c r="FY34">
        <v>6.5</v>
      </c>
      <c r="FZ34">
        <v>12</v>
      </c>
      <c r="GA34" s="1">
        <f t="shared" si="7"/>
        <v>7.5303030303030303</v>
      </c>
      <c r="GK34" s="2">
        <v>1306242</v>
      </c>
      <c r="GL34" s="2">
        <v>56</v>
      </c>
      <c r="GM34" s="2">
        <v>56</v>
      </c>
      <c r="GN34" s="2">
        <v>2</v>
      </c>
      <c r="GO34" s="2">
        <v>6</v>
      </c>
      <c r="GP34" s="2">
        <v>42</v>
      </c>
      <c r="GQ34" s="2">
        <v>2</v>
      </c>
      <c r="GR34" s="2">
        <v>47</v>
      </c>
      <c r="HC34" t="s">
        <v>448</v>
      </c>
      <c r="HD34">
        <v>240.27</v>
      </c>
      <c r="HE34">
        <v>45</v>
      </c>
      <c r="HH34" t="s">
        <v>514</v>
      </c>
      <c r="HI34">
        <v>47</v>
      </c>
      <c r="HJ34">
        <v>132.44999999999999</v>
      </c>
      <c r="HL34" t="s">
        <v>448</v>
      </c>
      <c r="HM34">
        <v>-64.39</v>
      </c>
      <c r="HN34">
        <v>45</v>
      </c>
      <c r="HP34">
        <v>47</v>
      </c>
      <c r="HQ34">
        <v>-65.39</v>
      </c>
      <c r="HS34" t="s">
        <v>451</v>
      </c>
      <c r="HT34">
        <v>-63.81</v>
      </c>
      <c r="HU34">
        <f t="shared" si="1"/>
        <v>110.81</v>
      </c>
      <c r="HV34">
        <v>45</v>
      </c>
      <c r="HW34">
        <v>-47.1999</v>
      </c>
      <c r="HX34">
        <v>47</v>
      </c>
      <c r="HY34">
        <v>18.190100000000001</v>
      </c>
      <c r="HZ34">
        <v>47</v>
      </c>
      <c r="IB34">
        <v>300</v>
      </c>
      <c r="IC34">
        <v>6</v>
      </c>
      <c r="ID34">
        <v>0</v>
      </c>
      <c r="IE34">
        <v>0</v>
      </c>
      <c r="IF34">
        <v>1</v>
      </c>
      <c r="IG34">
        <v>7.5</v>
      </c>
      <c r="IH34">
        <v>4</v>
      </c>
      <c r="II34">
        <v>3</v>
      </c>
      <c r="IJ34">
        <v>2</v>
      </c>
      <c r="IK34">
        <v>0.5</v>
      </c>
      <c r="IL34">
        <v>1</v>
      </c>
      <c r="IM34" s="1">
        <f t="shared" si="8"/>
        <v>2.5</v>
      </c>
    </row>
    <row r="35" spans="1:262" ht="13.15" x14ac:dyDescent="0.4">
      <c r="J35">
        <v>8</v>
      </c>
      <c r="K35">
        <v>1.07</v>
      </c>
      <c r="P35" t="s">
        <v>594</v>
      </c>
      <c r="Q35">
        <v>541.5</v>
      </c>
      <c r="R35">
        <v>7</v>
      </c>
      <c r="T35" t="s">
        <v>446</v>
      </c>
      <c r="U35">
        <v>-58.48</v>
      </c>
      <c r="V35">
        <v>7</v>
      </c>
      <c r="X35">
        <v>-43.34</v>
      </c>
      <c r="Y35">
        <v>7</v>
      </c>
      <c r="AA35">
        <v>16.78</v>
      </c>
      <c r="AB35">
        <v>7</v>
      </c>
      <c r="CW35">
        <v>208222</v>
      </c>
      <c r="CX35">
        <v>30</v>
      </c>
      <c r="CY35">
        <v>30</v>
      </c>
      <c r="CZ35">
        <v>0</v>
      </c>
      <c r="DD35">
        <v>22</v>
      </c>
      <c r="DF35" t="s">
        <v>37</v>
      </c>
      <c r="DG35">
        <v>1.03</v>
      </c>
      <c r="DH35">
        <v>441.5</v>
      </c>
      <c r="DI35">
        <f>2.86/11.08</f>
        <v>0.25812274368231047</v>
      </c>
      <c r="DJ35">
        <v>20</v>
      </c>
      <c r="DO35" t="s">
        <v>450</v>
      </c>
      <c r="DP35">
        <v>20</v>
      </c>
      <c r="DQ35">
        <v>346.15</v>
      </c>
      <c r="DR35">
        <v>20</v>
      </c>
      <c r="DS35">
        <v>297.27</v>
      </c>
      <c r="DV35" t="s">
        <v>450</v>
      </c>
      <c r="DW35">
        <v>-61.38</v>
      </c>
      <c r="DX35">
        <v>20</v>
      </c>
      <c r="DZ35" t="s">
        <v>695</v>
      </c>
      <c r="EA35">
        <v>19</v>
      </c>
      <c r="EB35">
        <v>-63.57</v>
      </c>
      <c r="EE35" t="s">
        <v>450</v>
      </c>
      <c r="EF35">
        <v>-41.102600000000002</v>
      </c>
      <c r="EG35">
        <v>20</v>
      </c>
      <c r="EI35" t="s">
        <v>379</v>
      </c>
      <c r="EJ35">
        <v>-42.966000000000001</v>
      </c>
      <c r="EK35">
        <v>20</v>
      </c>
      <c r="EM35" t="s">
        <v>379</v>
      </c>
      <c r="EN35">
        <v>-59.3</v>
      </c>
      <c r="EP35" t="s">
        <v>379</v>
      </c>
      <c r="EQ35">
        <f t="shared" ref="EQ35:EQ66" si="10">EJ35-EN35</f>
        <v>16.333999999999996</v>
      </c>
      <c r="ES35">
        <v>350</v>
      </c>
      <c r="ET35">
        <v>5.5</v>
      </c>
      <c r="EU35">
        <v>4</v>
      </c>
      <c r="EV35">
        <v>7</v>
      </c>
      <c r="EW35">
        <v>5</v>
      </c>
      <c r="EX35">
        <v>7</v>
      </c>
      <c r="EY35">
        <v>8.5</v>
      </c>
      <c r="EZ35">
        <v>5.5</v>
      </c>
      <c r="FA35">
        <v>12.5</v>
      </c>
      <c r="FB35">
        <v>7</v>
      </c>
      <c r="FC35">
        <v>7.5</v>
      </c>
      <c r="FD35">
        <v>8</v>
      </c>
      <c r="FE35">
        <v>11.5</v>
      </c>
      <c r="FF35">
        <v>8</v>
      </c>
      <c r="FG35">
        <v>3</v>
      </c>
      <c r="FH35">
        <v>10</v>
      </c>
      <c r="FI35">
        <v>4</v>
      </c>
      <c r="FJ35">
        <v>3.5</v>
      </c>
      <c r="FK35">
        <v>5</v>
      </c>
      <c r="FL35">
        <v>3</v>
      </c>
      <c r="FM35">
        <v>15.5</v>
      </c>
      <c r="FN35">
        <v>20.5</v>
      </c>
      <c r="FO35">
        <v>4</v>
      </c>
      <c r="FP35">
        <v>3</v>
      </c>
      <c r="FQ35">
        <v>8.5</v>
      </c>
      <c r="FR35">
        <v>9</v>
      </c>
      <c r="FS35">
        <v>18.5</v>
      </c>
      <c r="FT35">
        <v>8</v>
      </c>
      <c r="FU35">
        <v>6</v>
      </c>
      <c r="FV35">
        <v>14</v>
      </c>
      <c r="FW35">
        <v>23.5</v>
      </c>
      <c r="FX35">
        <v>3.5</v>
      </c>
      <c r="FY35">
        <v>7.5</v>
      </c>
      <c r="FZ35">
        <v>14</v>
      </c>
      <c r="GA35" s="1">
        <f t="shared" si="7"/>
        <v>8.5151515151515156</v>
      </c>
      <c r="GL35" s="1">
        <f t="shared" ref="GL35:GQ35" si="11">SUM(GL3:GL34)</f>
        <v>1224</v>
      </c>
      <c r="GM35" s="1">
        <f t="shared" si="11"/>
        <v>1238</v>
      </c>
      <c r="GN35" s="1">
        <f t="shared" si="11"/>
        <v>13</v>
      </c>
      <c r="GO35" s="1">
        <f t="shared" si="11"/>
        <v>74</v>
      </c>
      <c r="GP35" s="1">
        <f t="shared" si="11"/>
        <v>456</v>
      </c>
      <c r="GQ35" s="1">
        <f t="shared" si="11"/>
        <v>9</v>
      </c>
      <c r="HC35" t="s">
        <v>451</v>
      </c>
      <c r="HD35">
        <v>236.2</v>
      </c>
      <c r="HE35">
        <v>45</v>
      </c>
      <c r="HH35" t="s">
        <v>517</v>
      </c>
      <c r="HI35">
        <v>47</v>
      </c>
      <c r="HJ35">
        <v>150.66999999999999</v>
      </c>
      <c r="HL35" t="s">
        <v>451</v>
      </c>
      <c r="HM35">
        <v>-63.81</v>
      </c>
      <c r="HN35">
        <v>45</v>
      </c>
      <c r="HP35">
        <v>47</v>
      </c>
      <c r="HQ35">
        <v>-72.680000000000007</v>
      </c>
      <c r="HS35" t="s">
        <v>454</v>
      </c>
      <c r="HT35">
        <v>-54.31</v>
      </c>
      <c r="HU35">
        <f t="shared" ref="HU35:HU66" si="12">HP35-HT35</f>
        <v>101.31</v>
      </c>
      <c r="HV35">
        <v>45</v>
      </c>
      <c r="HW35">
        <v>-41.105600000000003</v>
      </c>
      <c r="HX35">
        <v>47</v>
      </c>
      <c r="HY35">
        <v>31.574400000000001</v>
      </c>
      <c r="HZ35">
        <v>47</v>
      </c>
      <c r="IB35">
        <v>350</v>
      </c>
      <c r="IC35">
        <v>8</v>
      </c>
      <c r="ID35">
        <v>1</v>
      </c>
      <c r="IE35">
        <v>1</v>
      </c>
      <c r="IF35">
        <v>2</v>
      </c>
      <c r="IG35">
        <v>8.5</v>
      </c>
      <c r="IH35">
        <v>4.5</v>
      </c>
      <c r="II35">
        <v>4</v>
      </c>
      <c r="IJ35">
        <v>2.5</v>
      </c>
      <c r="IK35">
        <v>1</v>
      </c>
      <c r="IL35">
        <v>1</v>
      </c>
      <c r="IM35" s="1">
        <f t="shared" si="8"/>
        <v>3.35</v>
      </c>
    </row>
    <row r="36" spans="1:262" ht="13.15" x14ac:dyDescent="0.4">
      <c r="A36" s="43" t="s">
        <v>904</v>
      </c>
      <c r="B36" s="43"/>
      <c r="C36" s="43"/>
      <c r="E36" s="43" t="s">
        <v>905</v>
      </c>
      <c r="F36" s="43"/>
      <c r="G36" s="43"/>
      <c r="J36">
        <v>8</v>
      </c>
      <c r="K36">
        <v>1.42</v>
      </c>
      <c r="P36" t="s">
        <v>743</v>
      </c>
      <c r="Q36">
        <v>1297.3499999999999</v>
      </c>
      <c r="R36">
        <v>7</v>
      </c>
      <c r="T36" s="8" t="s">
        <v>449</v>
      </c>
      <c r="U36">
        <v>-60.12</v>
      </c>
      <c r="V36">
        <v>7</v>
      </c>
      <c r="X36">
        <v>-36.96</v>
      </c>
      <c r="Y36">
        <v>7</v>
      </c>
      <c r="AA36">
        <v>21.77</v>
      </c>
      <c r="AB36">
        <v>7</v>
      </c>
      <c r="CW36">
        <v>90822</v>
      </c>
      <c r="CX36">
        <v>42</v>
      </c>
      <c r="CY36">
        <v>42</v>
      </c>
      <c r="CZ36">
        <v>0</v>
      </c>
      <c r="DA36">
        <v>4</v>
      </c>
      <c r="DB36">
        <v>16</v>
      </c>
      <c r="DC36">
        <v>0</v>
      </c>
      <c r="DD36">
        <v>22</v>
      </c>
      <c r="DF36" t="s">
        <v>72</v>
      </c>
      <c r="DG36">
        <v>1.73</v>
      </c>
      <c r="DH36">
        <v>423.35</v>
      </c>
      <c r="DI36">
        <v>0.74</v>
      </c>
      <c r="DJ36">
        <v>20</v>
      </c>
      <c r="DO36" t="s">
        <v>453</v>
      </c>
      <c r="DP36">
        <v>20</v>
      </c>
      <c r="DQ36">
        <v>307.64999999999998</v>
      </c>
      <c r="DR36">
        <v>20</v>
      </c>
      <c r="DS36">
        <v>421.9</v>
      </c>
      <c r="DV36" t="s">
        <v>453</v>
      </c>
      <c r="DW36">
        <v>-57.46</v>
      </c>
      <c r="DX36">
        <v>20</v>
      </c>
      <c r="DZ36" t="s">
        <v>379</v>
      </c>
      <c r="EA36">
        <v>20</v>
      </c>
      <c r="EB36">
        <v>-59.3</v>
      </c>
      <c r="EE36" t="s">
        <v>453</v>
      </c>
      <c r="EF36">
        <v>-38.666499999999999</v>
      </c>
      <c r="EG36">
        <v>20</v>
      </c>
      <c r="EI36" t="s">
        <v>383</v>
      </c>
      <c r="EJ36">
        <v>-45.091999999999999</v>
      </c>
      <c r="EK36">
        <v>20</v>
      </c>
      <c r="EM36" t="s">
        <v>383</v>
      </c>
      <c r="EN36">
        <v>-67.42</v>
      </c>
      <c r="EP36" t="s">
        <v>383</v>
      </c>
      <c r="EQ36">
        <f t="shared" si="10"/>
        <v>22.328000000000003</v>
      </c>
      <c r="ES36">
        <v>400</v>
      </c>
      <c r="ET36">
        <v>6.5</v>
      </c>
      <c r="EU36">
        <v>4.5</v>
      </c>
      <c r="EV36">
        <v>7.5</v>
      </c>
      <c r="EW36">
        <v>5</v>
      </c>
      <c r="EX36">
        <v>6.5</v>
      </c>
      <c r="EY36">
        <v>9</v>
      </c>
      <c r="EZ36">
        <v>6</v>
      </c>
      <c r="FA36">
        <v>12.5</v>
      </c>
      <c r="FB36">
        <v>8</v>
      </c>
      <c r="FC36">
        <v>8.5</v>
      </c>
      <c r="FD36">
        <v>9</v>
      </c>
      <c r="FE36">
        <v>12.5</v>
      </c>
      <c r="FF36">
        <v>7.5</v>
      </c>
      <c r="FG36">
        <v>3</v>
      </c>
      <c r="FH36">
        <v>11</v>
      </c>
      <c r="FI36">
        <v>5</v>
      </c>
      <c r="FJ36">
        <v>3.5</v>
      </c>
      <c r="FK36">
        <v>6</v>
      </c>
      <c r="FL36">
        <v>3</v>
      </c>
      <c r="FM36">
        <v>17</v>
      </c>
      <c r="FN36">
        <v>20</v>
      </c>
      <c r="FO36">
        <v>5</v>
      </c>
      <c r="FP36">
        <v>3</v>
      </c>
      <c r="FQ36">
        <v>9.5</v>
      </c>
      <c r="FR36">
        <v>10</v>
      </c>
      <c r="FS36">
        <v>20</v>
      </c>
      <c r="FT36">
        <v>8</v>
      </c>
      <c r="FU36">
        <v>7</v>
      </c>
      <c r="FV36">
        <v>13</v>
      </c>
      <c r="FW36">
        <v>24.5</v>
      </c>
      <c r="FX36">
        <v>4</v>
      </c>
      <c r="FY36">
        <v>8.5</v>
      </c>
      <c r="FZ36">
        <v>15</v>
      </c>
      <c r="GA36" s="1">
        <f t="shared" si="7"/>
        <v>9.0606060606060606</v>
      </c>
      <c r="HC36" t="s">
        <v>454</v>
      </c>
      <c r="HD36">
        <v>245.5</v>
      </c>
      <c r="HE36">
        <v>45</v>
      </c>
      <c r="HH36" t="s">
        <v>520</v>
      </c>
      <c r="HI36">
        <v>47</v>
      </c>
      <c r="HJ36">
        <v>144.94999999999999</v>
      </c>
      <c r="HL36" t="s">
        <v>454</v>
      </c>
      <c r="HM36">
        <v>-54.31</v>
      </c>
      <c r="HN36">
        <v>45</v>
      </c>
      <c r="HP36">
        <v>47</v>
      </c>
      <c r="HQ36">
        <v>-69.38</v>
      </c>
      <c r="HS36" t="s">
        <v>457</v>
      </c>
      <c r="HT36">
        <v>-56.24</v>
      </c>
      <c r="HU36">
        <f t="shared" si="12"/>
        <v>103.24000000000001</v>
      </c>
      <c r="HV36">
        <v>45</v>
      </c>
      <c r="HW36">
        <v>-34.5443</v>
      </c>
      <c r="HX36">
        <v>47</v>
      </c>
      <c r="HY36">
        <v>34.835700000000003</v>
      </c>
      <c r="HZ36">
        <v>47</v>
      </c>
      <c r="IB36">
        <v>400</v>
      </c>
      <c r="IC36">
        <v>9.5</v>
      </c>
      <c r="ID36">
        <v>1</v>
      </c>
      <c r="IE36">
        <v>1.5</v>
      </c>
      <c r="IF36">
        <v>2.5</v>
      </c>
      <c r="IG36">
        <v>9.5</v>
      </c>
      <c r="IH36">
        <v>6</v>
      </c>
      <c r="II36">
        <v>5</v>
      </c>
      <c r="IJ36">
        <v>3</v>
      </c>
      <c r="IK36" s="8">
        <v>1</v>
      </c>
      <c r="IL36" s="8">
        <v>1.5</v>
      </c>
      <c r="IM36" s="1">
        <f t="shared" si="8"/>
        <v>4.05</v>
      </c>
    </row>
    <row r="37" spans="1:262" x14ac:dyDescent="0.35">
      <c r="A37" t="s">
        <v>8</v>
      </c>
      <c r="B37" t="s">
        <v>131</v>
      </c>
      <c r="C37" t="s">
        <v>132</v>
      </c>
      <c r="E37" t="s">
        <v>8</v>
      </c>
      <c r="F37" t="s">
        <v>131</v>
      </c>
      <c r="G37" t="s">
        <v>132</v>
      </c>
      <c r="J37">
        <v>8</v>
      </c>
      <c r="K37">
        <v>1.38</v>
      </c>
      <c r="P37" t="s">
        <v>597</v>
      </c>
      <c r="Q37">
        <v>717.7</v>
      </c>
      <c r="R37">
        <v>7</v>
      </c>
      <c r="T37" t="s">
        <v>452</v>
      </c>
      <c r="U37">
        <v>-58.73</v>
      </c>
      <c r="V37">
        <v>7</v>
      </c>
      <c r="X37">
        <v>-35.880000000000003</v>
      </c>
      <c r="Y37">
        <v>7</v>
      </c>
      <c r="AA37">
        <v>10.02</v>
      </c>
      <c r="AB37">
        <v>7</v>
      </c>
      <c r="CW37" s="2">
        <v>908222</v>
      </c>
      <c r="CX37" s="2">
        <v>42</v>
      </c>
      <c r="CY37" s="2">
        <v>56</v>
      </c>
      <c r="CZ37" s="2">
        <v>1</v>
      </c>
      <c r="DA37">
        <v>6</v>
      </c>
      <c r="DB37">
        <v>36</v>
      </c>
      <c r="DC37">
        <v>1</v>
      </c>
      <c r="DD37">
        <v>22</v>
      </c>
      <c r="DF37" t="s">
        <v>40</v>
      </c>
      <c r="DG37">
        <v>0.65</v>
      </c>
      <c r="DH37">
        <v>283.89999999999998</v>
      </c>
      <c r="DI37">
        <f>12.45/40.46</f>
        <v>0.30771131982204641</v>
      </c>
      <c r="DJ37">
        <v>21</v>
      </c>
      <c r="DO37" t="s">
        <v>456</v>
      </c>
      <c r="DP37">
        <v>20</v>
      </c>
      <c r="DQ37">
        <v>400.66</v>
      </c>
      <c r="DR37">
        <v>20</v>
      </c>
      <c r="DS37">
        <v>387.25</v>
      </c>
      <c r="DV37" t="s">
        <v>456</v>
      </c>
      <c r="DW37">
        <v>-57.83</v>
      </c>
      <c r="DX37">
        <v>20</v>
      </c>
      <c r="DZ37" t="s">
        <v>383</v>
      </c>
      <c r="EA37">
        <v>20</v>
      </c>
      <c r="EB37">
        <v>-67.42</v>
      </c>
      <c r="EE37" t="s">
        <v>456</v>
      </c>
      <c r="EF37">
        <v>-30.176500000000001</v>
      </c>
      <c r="EG37">
        <v>20</v>
      </c>
      <c r="EI37" t="s">
        <v>386</v>
      </c>
      <c r="EJ37">
        <v>-41.587800000000001</v>
      </c>
      <c r="EK37">
        <v>20</v>
      </c>
      <c r="EM37" t="s">
        <v>386</v>
      </c>
      <c r="EN37">
        <v>-51.63</v>
      </c>
      <c r="EP37" t="s">
        <v>386</v>
      </c>
      <c r="EQ37">
        <f t="shared" si="10"/>
        <v>10.042200000000001</v>
      </c>
      <c r="HC37" t="s">
        <v>457</v>
      </c>
      <c r="HD37">
        <v>218.87</v>
      </c>
      <c r="HE37">
        <v>45</v>
      </c>
      <c r="HH37" t="s">
        <v>523</v>
      </c>
      <c r="HI37">
        <v>47</v>
      </c>
      <c r="HJ37">
        <v>154.25</v>
      </c>
      <c r="HL37" t="s">
        <v>457</v>
      </c>
      <c r="HM37">
        <v>-56.24</v>
      </c>
      <c r="HN37">
        <v>45</v>
      </c>
      <c r="HP37">
        <v>47</v>
      </c>
      <c r="HQ37">
        <v>-73.44</v>
      </c>
      <c r="HS37" t="s">
        <v>460</v>
      </c>
      <c r="HT37">
        <v>-70.7</v>
      </c>
      <c r="HU37">
        <f t="shared" si="12"/>
        <v>117.7</v>
      </c>
      <c r="HV37">
        <v>45</v>
      </c>
      <c r="HW37">
        <v>-40.5426</v>
      </c>
      <c r="HX37">
        <v>47</v>
      </c>
      <c r="HY37">
        <v>32.897399999999998</v>
      </c>
      <c r="HZ37">
        <v>47</v>
      </c>
    </row>
    <row r="38" spans="1:262" ht="13.15" x14ac:dyDescent="0.4">
      <c r="A38">
        <v>35</v>
      </c>
      <c r="B38">
        <v>1160</v>
      </c>
      <c r="C38" s="1">
        <f>Supplementary_Fig4!A38*100/Supplementary_Fig4!B38</f>
        <v>3.0172413793103448</v>
      </c>
      <c r="E38">
        <v>27</v>
      </c>
      <c r="F38">
        <v>522</v>
      </c>
      <c r="G38" s="1">
        <f>Supplementary_Fig4!E38*100/Supplementary_Fig4!F38</f>
        <v>5.1724137931034484</v>
      </c>
      <c r="J38">
        <v>8</v>
      </c>
      <c r="K38">
        <v>2.12</v>
      </c>
      <c r="P38" t="s">
        <v>600</v>
      </c>
      <c r="Q38">
        <v>566.59</v>
      </c>
      <c r="R38">
        <v>7</v>
      </c>
      <c r="T38" t="s">
        <v>455</v>
      </c>
      <c r="U38">
        <v>-45.9</v>
      </c>
      <c r="V38">
        <v>7</v>
      </c>
      <c r="X38">
        <v>-36.72</v>
      </c>
      <c r="Y38">
        <v>7</v>
      </c>
      <c r="AA38">
        <v>30.77</v>
      </c>
      <c r="AB38">
        <v>7</v>
      </c>
      <c r="CW38">
        <v>100822</v>
      </c>
      <c r="CX38">
        <v>30</v>
      </c>
      <c r="CY38">
        <v>30</v>
      </c>
      <c r="CZ38">
        <v>0</v>
      </c>
      <c r="DD38">
        <v>22</v>
      </c>
      <c r="DF38" t="s">
        <v>43</v>
      </c>
      <c r="DG38">
        <v>0.43</v>
      </c>
      <c r="DH38">
        <v>312.10000000000002</v>
      </c>
      <c r="DJ38">
        <v>21</v>
      </c>
      <c r="DO38" t="s">
        <v>459</v>
      </c>
      <c r="DP38">
        <v>20</v>
      </c>
      <c r="DQ38">
        <v>494</v>
      </c>
      <c r="DR38">
        <v>20</v>
      </c>
      <c r="DS38">
        <v>339.17</v>
      </c>
      <c r="DV38" t="s">
        <v>459</v>
      </c>
      <c r="DW38">
        <v>-54.15</v>
      </c>
      <c r="DX38">
        <v>20</v>
      </c>
      <c r="DZ38" t="s">
        <v>386</v>
      </c>
      <c r="EA38">
        <v>20</v>
      </c>
      <c r="EB38">
        <v>-51.63</v>
      </c>
      <c r="EE38" t="s">
        <v>459</v>
      </c>
      <c r="EF38">
        <v>-26.4617</v>
      </c>
      <c r="EG38">
        <v>20</v>
      </c>
      <c r="EI38" t="s">
        <v>389</v>
      </c>
      <c r="EJ38">
        <v>-32.436999999999998</v>
      </c>
      <c r="EK38">
        <v>20</v>
      </c>
      <c r="EM38" t="s">
        <v>389</v>
      </c>
      <c r="EN38">
        <v>-65.739999999999995</v>
      </c>
      <c r="EP38" t="s">
        <v>389</v>
      </c>
      <c r="EQ38">
        <f t="shared" si="10"/>
        <v>33.302999999999997</v>
      </c>
      <c r="GK38" s="43" t="s">
        <v>906</v>
      </c>
      <c r="GL38" s="43"/>
      <c r="GM38" s="43"/>
      <c r="GP38" s="43" t="s">
        <v>907</v>
      </c>
      <c r="GQ38" s="43"/>
      <c r="GR38" s="43"/>
      <c r="HC38" t="s">
        <v>460</v>
      </c>
      <c r="HD38">
        <v>160.44999999999999</v>
      </c>
      <c r="HE38">
        <v>45</v>
      </c>
      <c r="HH38" t="s">
        <v>900</v>
      </c>
      <c r="HI38">
        <v>47</v>
      </c>
      <c r="HJ38">
        <v>147.57499999999999</v>
      </c>
      <c r="HL38" t="s">
        <v>460</v>
      </c>
      <c r="HM38">
        <v>-70.7</v>
      </c>
      <c r="HN38">
        <v>45</v>
      </c>
      <c r="HP38">
        <v>47</v>
      </c>
      <c r="HQ38">
        <v>-74.3</v>
      </c>
      <c r="HS38" t="s">
        <v>463</v>
      </c>
      <c r="HT38">
        <v>-52.72</v>
      </c>
      <c r="HU38">
        <f t="shared" si="12"/>
        <v>99.72</v>
      </c>
      <c r="HV38">
        <v>45</v>
      </c>
      <c r="HW38">
        <v>-45.95</v>
      </c>
      <c r="HX38">
        <v>47</v>
      </c>
      <c r="HY38">
        <v>28.35</v>
      </c>
      <c r="HZ38">
        <v>47</v>
      </c>
    </row>
    <row r="39" spans="1:262" ht="13.15" x14ac:dyDescent="0.4">
      <c r="J39">
        <v>8</v>
      </c>
      <c r="K39">
        <v>2.2000000000000002</v>
      </c>
      <c r="P39" t="s">
        <v>627</v>
      </c>
      <c r="Q39">
        <v>708.3</v>
      </c>
      <c r="R39">
        <v>7</v>
      </c>
      <c r="T39" t="s">
        <v>458</v>
      </c>
      <c r="U39">
        <v>-67.489999999999995</v>
      </c>
      <c r="V39">
        <v>7</v>
      </c>
      <c r="X39">
        <v>-39.049999999999997</v>
      </c>
      <c r="Y39">
        <v>7</v>
      </c>
      <c r="AA39">
        <v>18.11</v>
      </c>
      <c r="AB39">
        <v>7</v>
      </c>
      <c r="CW39">
        <v>270224</v>
      </c>
      <c r="CX39">
        <v>42</v>
      </c>
      <c r="CY39">
        <v>42</v>
      </c>
      <c r="CZ39">
        <v>0</v>
      </c>
      <c r="DA39">
        <v>4</v>
      </c>
      <c r="DB39">
        <v>20</v>
      </c>
      <c r="DC39">
        <v>0</v>
      </c>
      <c r="DD39">
        <v>22</v>
      </c>
      <c r="DF39" t="s">
        <v>46</v>
      </c>
      <c r="DG39">
        <v>0.61</v>
      </c>
      <c r="DH39">
        <v>342.6</v>
      </c>
      <c r="DJ39">
        <v>21</v>
      </c>
      <c r="DO39" t="s">
        <v>462</v>
      </c>
      <c r="DP39">
        <v>19</v>
      </c>
      <c r="DQ39">
        <v>366.4</v>
      </c>
      <c r="DR39">
        <v>20</v>
      </c>
      <c r="DS39">
        <v>348.2</v>
      </c>
      <c r="DV39" t="s">
        <v>462</v>
      </c>
      <c r="DW39">
        <v>-71.22</v>
      </c>
      <c r="DX39">
        <v>19</v>
      </c>
      <c r="DZ39" t="s">
        <v>389</v>
      </c>
      <c r="EA39">
        <v>20</v>
      </c>
      <c r="EB39">
        <v>-65.739999999999995</v>
      </c>
      <c r="EE39" t="s">
        <v>462</v>
      </c>
      <c r="EF39">
        <v>-47.363999999999997</v>
      </c>
      <c r="EG39">
        <v>19</v>
      </c>
      <c r="EI39" t="s">
        <v>392</v>
      </c>
      <c r="EJ39">
        <v>-40.549399999999999</v>
      </c>
      <c r="EK39">
        <v>20</v>
      </c>
      <c r="EM39" t="s">
        <v>392</v>
      </c>
      <c r="EN39">
        <v>-59.47</v>
      </c>
      <c r="EP39" t="s">
        <v>392</v>
      </c>
      <c r="EQ39">
        <f t="shared" si="10"/>
        <v>18.9206</v>
      </c>
      <c r="ET39" s="61">
        <v>21</v>
      </c>
      <c r="EU39" s="61">
        <v>21</v>
      </c>
      <c r="EV39" s="61">
        <v>21</v>
      </c>
      <c r="EW39" s="61">
        <v>21</v>
      </c>
      <c r="EX39" s="61">
        <v>21</v>
      </c>
      <c r="EY39" s="61">
        <v>21</v>
      </c>
      <c r="EZ39" s="61">
        <v>21</v>
      </c>
      <c r="FA39" s="61">
        <v>21</v>
      </c>
      <c r="FB39" s="61">
        <v>21</v>
      </c>
      <c r="FC39" s="61">
        <v>21</v>
      </c>
      <c r="FD39" s="61">
        <v>21</v>
      </c>
      <c r="FE39" s="61">
        <v>21</v>
      </c>
      <c r="FF39" s="61">
        <v>21</v>
      </c>
      <c r="FG39" s="61">
        <v>21</v>
      </c>
      <c r="FH39" s="61">
        <v>21</v>
      </c>
      <c r="FI39" s="61">
        <v>21</v>
      </c>
      <c r="FJ39" s="61">
        <v>21</v>
      </c>
      <c r="FK39" s="61">
        <v>21</v>
      </c>
      <c r="FL39" s="61">
        <v>21</v>
      </c>
      <c r="FM39" s="61">
        <v>21</v>
      </c>
      <c r="FN39" s="61">
        <v>21</v>
      </c>
      <c r="FO39" s="61">
        <v>21</v>
      </c>
      <c r="FP39" s="61">
        <v>21</v>
      </c>
      <c r="FQ39" s="61">
        <v>21</v>
      </c>
      <c r="FR39" s="61">
        <v>21</v>
      </c>
      <c r="FS39" s="61">
        <v>21</v>
      </c>
      <c r="FT39" s="61">
        <v>21</v>
      </c>
      <c r="FU39" s="61">
        <v>21</v>
      </c>
      <c r="FV39" s="61">
        <v>21</v>
      </c>
      <c r="FW39" s="61">
        <v>21</v>
      </c>
      <c r="FX39" s="61">
        <v>21</v>
      </c>
      <c r="FY39" s="61">
        <v>21</v>
      </c>
      <c r="FZ39" s="61">
        <v>21</v>
      </c>
      <c r="GA39" s="61">
        <v>21</v>
      </c>
      <c r="GB39" s="61">
        <v>21</v>
      </c>
      <c r="GC39" s="61">
        <v>21</v>
      </c>
      <c r="GD39" s="61">
        <v>21</v>
      </c>
      <c r="GE39" s="61">
        <v>21</v>
      </c>
      <c r="GF39" s="61">
        <v>21</v>
      </c>
      <c r="GG39" s="61">
        <v>21</v>
      </c>
      <c r="GH39" s="61">
        <v>21</v>
      </c>
      <c r="GK39" t="s">
        <v>8</v>
      </c>
      <c r="GL39" t="s">
        <v>131</v>
      </c>
      <c r="GM39" t="s">
        <v>132</v>
      </c>
      <c r="GP39" t="s">
        <v>8</v>
      </c>
      <c r="GQ39" t="s">
        <v>131</v>
      </c>
      <c r="GR39" t="s">
        <v>132</v>
      </c>
      <c r="HC39" t="s">
        <v>463</v>
      </c>
      <c r="HD39">
        <v>79.12</v>
      </c>
      <c r="HE39">
        <v>45</v>
      </c>
      <c r="HH39" t="s">
        <v>901</v>
      </c>
      <c r="HI39">
        <v>47</v>
      </c>
      <c r="HJ39">
        <v>147</v>
      </c>
      <c r="HL39" t="s">
        <v>463</v>
      </c>
      <c r="HM39">
        <v>-52.72</v>
      </c>
      <c r="HN39">
        <v>45</v>
      </c>
      <c r="HP39">
        <v>47</v>
      </c>
      <c r="HQ39">
        <v>-73.599999999999994</v>
      </c>
      <c r="HS39" t="s">
        <v>466</v>
      </c>
      <c r="HT39">
        <v>-58.8</v>
      </c>
      <c r="HU39">
        <f t="shared" si="12"/>
        <v>105.8</v>
      </c>
      <c r="HV39">
        <v>45</v>
      </c>
      <c r="HW39">
        <v>-44.58</v>
      </c>
      <c r="HX39">
        <v>47</v>
      </c>
      <c r="HY39">
        <v>29.02</v>
      </c>
      <c r="HZ39">
        <v>47</v>
      </c>
      <c r="IC39" s="62">
        <v>48</v>
      </c>
      <c r="ID39" s="62">
        <v>48</v>
      </c>
      <c r="IE39" s="62">
        <v>48</v>
      </c>
      <c r="IF39" s="62">
        <v>48</v>
      </c>
      <c r="IG39" s="62">
        <v>48</v>
      </c>
      <c r="IH39" s="62">
        <v>48</v>
      </c>
      <c r="II39" s="62">
        <v>48</v>
      </c>
      <c r="IJ39" s="62">
        <v>48</v>
      </c>
      <c r="IK39" s="62">
        <v>48</v>
      </c>
      <c r="IL39" s="62">
        <v>48</v>
      </c>
      <c r="IM39" s="62">
        <v>48</v>
      </c>
      <c r="IN39" s="62">
        <v>48</v>
      </c>
      <c r="IO39" s="62">
        <v>48</v>
      </c>
      <c r="IP39" s="62">
        <v>48</v>
      </c>
      <c r="IQ39" s="62">
        <v>48</v>
      </c>
      <c r="IR39" s="62">
        <v>48</v>
      </c>
      <c r="IS39" s="62">
        <v>48</v>
      </c>
      <c r="IT39" s="62">
        <v>48</v>
      </c>
      <c r="IU39" s="62">
        <v>48</v>
      </c>
      <c r="IV39" s="62">
        <v>48</v>
      </c>
      <c r="IW39" s="62">
        <v>48</v>
      </c>
      <c r="IX39" s="62">
        <v>48</v>
      </c>
      <c r="IY39" s="62">
        <v>48</v>
      </c>
      <c r="IZ39" s="62">
        <v>48</v>
      </c>
      <c r="JA39" s="62">
        <v>48</v>
      </c>
    </row>
    <row r="40" spans="1:262" ht="13.15" x14ac:dyDescent="0.4">
      <c r="J40">
        <v>8</v>
      </c>
      <c r="K40">
        <v>2.93</v>
      </c>
      <c r="P40" t="s">
        <v>630</v>
      </c>
      <c r="Q40">
        <v>330.8</v>
      </c>
      <c r="R40">
        <v>7</v>
      </c>
      <c r="T40" t="s">
        <v>461</v>
      </c>
      <c r="U40">
        <v>-57.16</v>
      </c>
      <c r="V40">
        <v>7</v>
      </c>
      <c r="X40">
        <v>-37.57</v>
      </c>
      <c r="Y40">
        <v>7</v>
      </c>
      <c r="AA40">
        <v>21.08</v>
      </c>
      <c r="AB40">
        <v>7</v>
      </c>
      <c r="CW40">
        <v>130224</v>
      </c>
      <c r="CX40">
        <v>30</v>
      </c>
      <c r="CY40">
        <v>30</v>
      </c>
      <c r="CZ40">
        <v>0</v>
      </c>
      <c r="DA40">
        <v>2</v>
      </c>
      <c r="DB40">
        <v>10</v>
      </c>
      <c r="DC40">
        <v>0</v>
      </c>
      <c r="DD40">
        <v>23</v>
      </c>
      <c r="DF40" t="s">
        <v>52</v>
      </c>
      <c r="DG40">
        <v>2.08</v>
      </c>
      <c r="DH40">
        <v>415.02</v>
      </c>
      <c r="DI40">
        <f>15.32/23.13</f>
        <v>0.66234327712926944</v>
      </c>
      <c r="DJ40">
        <v>21</v>
      </c>
      <c r="DO40" t="s">
        <v>465</v>
      </c>
      <c r="DP40">
        <v>19</v>
      </c>
      <c r="DQ40">
        <v>291.7</v>
      </c>
      <c r="DR40">
        <v>20</v>
      </c>
      <c r="DS40">
        <v>513.4</v>
      </c>
      <c r="DV40" t="s">
        <v>465</v>
      </c>
      <c r="DW40">
        <v>-71.48</v>
      </c>
      <c r="DX40">
        <v>19</v>
      </c>
      <c r="DZ40" t="s">
        <v>392</v>
      </c>
      <c r="EA40">
        <v>20</v>
      </c>
      <c r="EB40">
        <v>-59.47</v>
      </c>
      <c r="EE40" t="s">
        <v>465</v>
      </c>
      <c r="EF40">
        <v>-50.0824</v>
      </c>
      <c r="EG40">
        <v>19</v>
      </c>
      <c r="EI40" t="s">
        <v>395</v>
      </c>
      <c r="EJ40">
        <v>-49.143999999999998</v>
      </c>
      <c r="EK40">
        <v>20</v>
      </c>
      <c r="EM40" t="s">
        <v>395</v>
      </c>
      <c r="EN40">
        <v>-64.34</v>
      </c>
      <c r="EP40" t="s">
        <v>395</v>
      </c>
      <c r="EQ40">
        <f t="shared" si="10"/>
        <v>15.196000000000005</v>
      </c>
      <c r="ES40" t="s">
        <v>887</v>
      </c>
      <c r="ET40" t="s">
        <v>343</v>
      </c>
      <c r="EU40" t="s">
        <v>908</v>
      </c>
      <c r="EV40" t="s">
        <v>346</v>
      </c>
      <c r="EW40" t="s">
        <v>349</v>
      </c>
      <c r="EX40" t="s">
        <v>352</v>
      </c>
      <c r="EY40" t="s">
        <v>501</v>
      </c>
      <c r="EZ40" t="s">
        <v>504</v>
      </c>
      <c r="FA40" t="s">
        <v>507</v>
      </c>
      <c r="FB40" t="s">
        <v>510</v>
      </c>
      <c r="FC40" t="s">
        <v>513</v>
      </c>
      <c r="FD40" t="s">
        <v>558</v>
      </c>
      <c r="FE40" t="s">
        <v>562</v>
      </c>
      <c r="FF40" t="s">
        <v>566</v>
      </c>
      <c r="FG40" t="s">
        <v>570</v>
      </c>
      <c r="FH40" t="s">
        <v>574</v>
      </c>
      <c r="FI40" t="s">
        <v>577</v>
      </c>
      <c r="FJ40" t="s">
        <v>580</v>
      </c>
      <c r="FK40" t="s">
        <v>583</v>
      </c>
      <c r="FL40" t="s">
        <v>586</v>
      </c>
      <c r="FM40" t="s">
        <v>589</v>
      </c>
      <c r="FN40" t="s">
        <v>592</v>
      </c>
      <c r="FO40" t="s">
        <v>595</v>
      </c>
      <c r="FP40" t="s">
        <v>598</v>
      </c>
      <c r="FQ40" t="s">
        <v>601</v>
      </c>
      <c r="FR40" t="s">
        <v>604</v>
      </c>
      <c r="FS40" t="s">
        <v>607</v>
      </c>
      <c r="FT40" t="s">
        <v>631</v>
      </c>
      <c r="FU40" t="s">
        <v>634</v>
      </c>
      <c r="FV40" t="s">
        <v>637</v>
      </c>
      <c r="FW40" t="s">
        <v>640</v>
      </c>
      <c r="FX40" t="s">
        <v>642</v>
      </c>
      <c r="FY40" t="s">
        <v>644</v>
      </c>
      <c r="FZ40" t="s">
        <v>646</v>
      </c>
      <c r="GA40" t="s">
        <v>648</v>
      </c>
      <c r="GB40" t="s">
        <v>650</v>
      </c>
      <c r="GC40" t="s">
        <v>652</v>
      </c>
      <c r="GD40" t="s">
        <v>654</v>
      </c>
      <c r="GE40" t="s">
        <v>656</v>
      </c>
      <c r="GF40" t="s">
        <v>658</v>
      </c>
      <c r="GG40" t="s">
        <v>660</v>
      </c>
      <c r="GH40" t="s">
        <v>662</v>
      </c>
      <c r="GK40">
        <v>13</v>
      </c>
      <c r="GL40">
        <v>1224</v>
      </c>
      <c r="GM40" s="1">
        <f>Supplementary_Fig4!GK40*100/Supplementary_Fig4!GL40</f>
        <v>1.0620915032679739</v>
      </c>
      <c r="GP40">
        <v>9</v>
      </c>
      <c r="GQ40">
        <v>456</v>
      </c>
      <c r="GR40" s="1">
        <f>Supplementary_Fig4!GP40*100/Supplementary_Fig4!GQ40</f>
        <v>1.9736842105263157</v>
      </c>
      <c r="HC40" t="s">
        <v>466</v>
      </c>
      <c r="HD40">
        <v>210.9</v>
      </c>
      <c r="HE40">
        <v>45</v>
      </c>
      <c r="HH40" t="s">
        <v>218</v>
      </c>
      <c r="HI40">
        <v>47</v>
      </c>
      <c r="HJ40">
        <v>167.65</v>
      </c>
      <c r="HL40" t="s">
        <v>466</v>
      </c>
      <c r="HM40">
        <v>-58.8</v>
      </c>
      <c r="HN40">
        <v>45</v>
      </c>
      <c r="HP40">
        <v>47</v>
      </c>
      <c r="HQ40">
        <v>-62.7</v>
      </c>
      <c r="HS40" t="s">
        <v>469</v>
      </c>
      <c r="HT40">
        <v>-63.4</v>
      </c>
      <c r="HU40">
        <f t="shared" si="12"/>
        <v>110.4</v>
      </c>
      <c r="HV40">
        <v>45</v>
      </c>
      <c r="HW40">
        <v>-38.18</v>
      </c>
      <c r="HX40">
        <v>47</v>
      </c>
      <c r="HY40">
        <v>24.52</v>
      </c>
      <c r="HZ40">
        <v>47</v>
      </c>
      <c r="IB40" t="s">
        <v>887</v>
      </c>
      <c r="IC40" t="s">
        <v>344</v>
      </c>
      <c r="ID40" t="s">
        <v>347</v>
      </c>
      <c r="IE40" t="s">
        <v>350</v>
      </c>
      <c r="IF40" t="s">
        <v>353</v>
      </c>
      <c r="IG40" t="s">
        <v>356</v>
      </c>
      <c r="IH40" t="s">
        <v>360</v>
      </c>
      <c r="II40" t="s">
        <v>527</v>
      </c>
      <c r="IJ40" t="s">
        <v>531</v>
      </c>
      <c r="IK40" t="s">
        <v>535</v>
      </c>
      <c r="IL40" t="s">
        <v>539</v>
      </c>
      <c r="IM40" t="s">
        <v>543</v>
      </c>
      <c r="IN40" t="s">
        <v>547</v>
      </c>
      <c r="IO40" t="s">
        <v>551</v>
      </c>
      <c r="IP40" t="s">
        <v>555</v>
      </c>
      <c r="IQ40" t="s">
        <v>559</v>
      </c>
      <c r="IR40" t="s">
        <v>563</v>
      </c>
      <c r="IS40" t="s">
        <v>567</v>
      </c>
      <c r="IT40" t="s">
        <v>571</v>
      </c>
      <c r="IU40" t="s">
        <v>575</v>
      </c>
      <c r="IV40" t="s">
        <v>578</v>
      </c>
      <c r="IW40" t="s">
        <v>581</v>
      </c>
      <c r="IX40" t="s">
        <v>584</v>
      </c>
      <c r="IY40" t="s">
        <v>587</v>
      </c>
      <c r="IZ40" t="s">
        <v>590</v>
      </c>
      <c r="JA40" t="s">
        <v>593</v>
      </c>
      <c r="JB40" s="1" t="s">
        <v>897</v>
      </c>
    </row>
    <row r="41" spans="1:262" ht="13.15" x14ac:dyDescent="0.4">
      <c r="J41">
        <v>8</v>
      </c>
      <c r="K41">
        <v>1.71</v>
      </c>
      <c r="P41" t="s">
        <v>633</v>
      </c>
      <c r="Q41">
        <v>552.4</v>
      </c>
      <c r="R41">
        <v>7</v>
      </c>
      <c r="T41" t="s">
        <v>464</v>
      </c>
      <c r="U41">
        <v>-58.65</v>
      </c>
      <c r="V41">
        <v>7</v>
      </c>
      <c r="X41">
        <v>-37.159700000000001</v>
      </c>
      <c r="Y41">
        <v>7</v>
      </c>
      <c r="AA41">
        <v>20.220300000000002</v>
      </c>
      <c r="AB41">
        <v>7</v>
      </c>
      <c r="CW41" s="2">
        <v>1302242</v>
      </c>
      <c r="CX41" s="2">
        <v>42</v>
      </c>
      <c r="CY41" s="2">
        <v>42</v>
      </c>
      <c r="CZ41" s="2">
        <v>1</v>
      </c>
      <c r="DA41">
        <v>5</v>
      </c>
      <c r="DB41">
        <v>30</v>
      </c>
      <c r="DC41">
        <v>1</v>
      </c>
      <c r="DD41">
        <v>23</v>
      </c>
      <c r="DF41" t="s">
        <v>55</v>
      </c>
      <c r="DG41">
        <v>1.6</v>
      </c>
      <c r="DH41">
        <v>452.5</v>
      </c>
      <c r="DI41">
        <f>6.16/15.58</f>
        <v>0.39537869062901154</v>
      </c>
      <c r="DJ41">
        <v>21</v>
      </c>
      <c r="DO41" t="s">
        <v>468</v>
      </c>
      <c r="DP41">
        <v>19</v>
      </c>
      <c r="DQ41">
        <v>395.1</v>
      </c>
      <c r="DR41">
        <v>20</v>
      </c>
      <c r="DS41">
        <v>379.25</v>
      </c>
      <c r="DV41" t="s">
        <v>468</v>
      </c>
      <c r="DW41">
        <v>-75.959999999999994</v>
      </c>
      <c r="DX41">
        <v>19</v>
      </c>
      <c r="DZ41" t="s">
        <v>395</v>
      </c>
      <c r="EA41">
        <v>20</v>
      </c>
      <c r="EB41">
        <v>-64.34</v>
      </c>
      <c r="EE41" t="s">
        <v>468</v>
      </c>
      <c r="EF41">
        <v>-47.550199999999997</v>
      </c>
      <c r="EG41">
        <v>19</v>
      </c>
      <c r="EI41" t="s">
        <v>399</v>
      </c>
      <c r="EJ41">
        <v>-42.749699999999997</v>
      </c>
      <c r="EK41">
        <v>20</v>
      </c>
      <c r="EM41" t="s">
        <v>399</v>
      </c>
      <c r="EN41">
        <v>-59.57</v>
      </c>
      <c r="EP41" t="s">
        <v>399</v>
      </c>
      <c r="EQ41">
        <f t="shared" si="10"/>
        <v>16.820300000000003</v>
      </c>
      <c r="ES41">
        <v>50</v>
      </c>
      <c r="ET41">
        <v>0.5</v>
      </c>
      <c r="EU41">
        <v>1.5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0.5</v>
      </c>
      <c r="FB41">
        <v>4</v>
      </c>
      <c r="FC41">
        <v>0.5</v>
      </c>
      <c r="FD41">
        <v>0</v>
      </c>
      <c r="FE41">
        <v>0</v>
      </c>
      <c r="FF41">
        <v>0</v>
      </c>
      <c r="FG41">
        <v>1</v>
      </c>
      <c r="FH41">
        <v>0</v>
      </c>
      <c r="FI41">
        <v>0</v>
      </c>
      <c r="FJ41">
        <v>1</v>
      </c>
      <c r="FK41">
        <v>0</v>
      </c>
      <c r="FL41">
        <v>0</v>
      </c>
      <c r="FM41">
        <v>0</v>
      </c>
      <c r="FN41">
        <v>0.5</v>
      </c>
      <c r="FO41">
        <v>0</v>
      </c>
      <c r="FP41">
        <v>0</v>
      </c>
      <c r="FQ41">
        <v>0</v>
      </c>
      <c r="FR41">
        <v>0.5</v>
      </c>
      <c r="FS41">
        <v>0</v>
      </c>
      <c r="FT41">
        <v>0</v>
      </c>
      <c r="FU41">
        <v>0.5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3.5</v>
      </c>
      <c r="GC41">
        <v>6</v>
      </c>
      <c r="GD41">
        <v>0</v>
      </c>
      <c r="GE41">
        <v>0.5</v>
      </c>
      <c r="GF41">
        <v>0.5</v>
      </c>
      <c r="GG41">
        <v>0.5</v>
      </c>
      <c r="GH41">
        <v>1.5</v>
      </c>
      <c r="GI41" s="1">
        <f t="shared" ref="GI41:GI48" si="13">AVERAGE(ET41:GH41)</f>
        <v>0.56097560975609762</v>
      </c>
      <c r="HC41" t="s">
        <v>469</v>
      </c>
      <c r="HD41">
        <v>143.5</v>
      </c>
      <c r="HE41">
        <v>45</v>
      </c>
      <c r="HH41" t="s">
        <v>902</v>
      </c>
      <c r="HI41">
        <v>47</v>
      </c>
      <c r="HJ41">
        <v>160.65</v>
      </c>
      <c r="HL41" t="s">
        <v>469</v>
      </c>
      <c r="HM41">
        <v>-63.4</v>
      </c>
      <c r="HN41">
        <v>45</v>
      </c>
      <c r="HP41">
        <v>47</v>
      </c>
      <c r="HQ41">
        <v>-75</v>
      </c>
      <c r="HS41" t="s">
        <v>472</v>
      </c>
      <c r="HT41">
        <v>-56.65</v>
      </c>
      <c r="HU41">
        <f t="shared" si="12"/>
        <v>103.65</v>
      </c>
      <c r="HV41">
        <v>45</v>
      </c>
      <c r="HW41">
        <v>-41.56</v>
      </c>
      <c r="HX41">
        <v>47</v>
      </c>
      <c r="HY41">
        <v>33.44</v>
      </c>
      <c r="HZ41">
        <v>47</v>
      </c>
      <c r="IB41">
        <v>50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1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 s="1">
        <f t="shared" ref="JB41:JB48" si="14">AVERAGE(IC41:JA41)</f>
        <v>0.04</v>
      </c>
    </row>
    <row r="42" spans="1:262" ht="13.15" x14ac:dyDescent="0.4">
      <c r="A42" s="1" t="s">
        <v>2</v>
      </c>
      <c r="B42" s="1" t="s">
        <v>5</v>
      </c>
      <c r="C42" s="1" t="s">
        <v>7</v>
      </c>
      <c r="D42" s="1" t="s">
        <v>8</v>
      </c>
      <c r="E42" s="1" t="s">
        <v>20</v>
      </c>
      <c r="F42" s="1" t="s">
        <v>21</v>
      </c>
      <c r="G42" s="1" t="s">
        <v>8</v>
      </c>
      <c r="H42" s="1" t="s">
        <v>19</v>
      </c>
      <c r="J42">
        <v>8</v>
      </c>
      <c r="K42">
        <v>1.52</v>
      </c>
      <c r="P42" t="s">
        <v>636</v>
      </c>
      <c r="Q42">
        <v>871</v>
      </c>
      <c r="R42">
        <v>7</v>
      </c>
      <c r="T42" t="s">
        <v>467</v>
      </c>
      <c r="U42">
        <v>-57.38</v>
      </c>
      <c r="V42">
        <v>7</v>
      </c>
      <c r="X42">
        <v>-37.673999999999999</v>
      </c>
      <c r="Y42">
        <v>7</v>
      </c>
      <c r="AA42">
        <v>18.806000000000001</v>
      </c>
      <c r="AB42">
        <v>7</v>
      </c>
      <c r="CW42" s="2">
        <v>280224</v>
      </c>
      <c r="CX42" s="2">
        <v>56</v>
      </c>
      <c r="CY42" s="2">
        <v>56</v>
      </c>
      <c r="CZ42" s="2">
        <v>2</v>
      </c>
      <c r="DA42">
        <v>6</v>
      </c>
      <c r="DB42">
        <v>42</v>
      </c>
      <c r="DC42">
        <v>2</v>
      </c>
      <c r="DD42">
        <v>23</v>
      </c>
      <c r="DF42" t="s">
        <v>49</v>
      </c>
      <c r="DG42">
        <v>1.62</v>
      </c>
      <c r="DH42">
        <v>271.35000000000002</v>
      </c>
      <c r="DI42">
        <f>16.75/39.96</f>
        <v>0.41916916916916919</v>
      </c>
      <c r="DJ42">
        <v>22</v>
      </c>
      <c r="DO42" t="s">
        <v>471</v>
      </c>
      <c r="DP42">
        <v>19</v>
      </c>
      <c r="DQ42">
        <v>394.5</v>
      </c>
      <c r="DR42">
        <v>20</v>
      </c>
      <c r="DS42">
        <v>307.67</v>
      </c>
      <c r="DV42" t="s">
        <v>471</v>
      </c>
      <c r="DW42">
        <v>-76.5</v>
      </c>
      <c r="DX42">
        <v>19</v>
      </c>
      <c r="DZ42" t="s">
        <v>399</v>
      </c>
      <c r="EA42">
        <v>20</v>
      </c>
      <c r="EB42">
        <v>-59.57</v>
      </c>
      <c r="EE42" t="s">
        <v>471</v>
      </c>
      <c r="EF42">
        <v>-450.60599999999999</v>
      </c>
      <c r="EG42">
        <v>19</v>
      </c>
      <c r="EI42" t="s">
        <v>402</v>
      </c>
      <c r="EJ42">
        <v>-41.889000000000003</v>
      </c>
      <c r="EK42">
        <v>20</v>
      </c>
      <c r="EM42" t="s">
        <v>402</v>
      </c>
      <c r="EN42">
        <v>-58.47</v>
      </c>
      <c r="EP42" t="s">
        <v>402</v>
      </c>
      <c r="EQ42">
        <f t="shared" si="10"/>
        <v>16.580999999999996</v>
      </c>
      <c r="ES42">
        <v>100</v>
      </c>
      <c r="ET42">
        <v>2</v>
      </c>
      <c r="EU42">
        <v>2</v>
      </c>
      <c r="EV42">
        <v>0.5</v>
      </c>
      <c r="EW42">
        <v>1</v>
      </c>
      <c r="EX42">
        <v>1</v>
      </c>
      <c r="EY42">
        <v>0</v>
      </c>
      <c r="EZ42">
        <v>1</v>
      </c>
      <c r="FA42">
        <v>1.5</v>
      </c>
      <c r="FB42">
        <v>7</v>
      </c>
      <c r="FC42">
        <v>1.5</v>
      </c>
      <c r="FD42">
        <v>0</v>
      </c>
      <c r="FE42">
        <v>0.5</v>
      </c>
      <c r="FF42">
        <v>0.5</v>
      </c>
      <c r="FG42">
        <v>2</v>
      </c>
      <c r="FH42">
        <v>0</v>
      </c>
      <c r="FI42">
        <v>0</v>
      </c>
      <c r="FJ42">
        <v>3</v>
      </c>
      <c r="FK42">
        <v>0.5</v>
      </c>
      <c r="FL42">
        <v>0.5</v>
      </c>
      <c r="FM42">
        <v>0</v>
      </c>
      <c r="FN42">
        <v>4</v>
      </c>
      <c r="FO42">
        <v>0</v>
      </c>
      <c r="FP42">
        <v>0</v>
      </c>
      <c r="FQ42">
        <v>0</v>
      </c>
      <c r="FR42">
        <v>1</v>
      </c>
      <c r="FS42">
        <v>1.5</v>
      </c>
      <c r="FT42">
        <v>0</v>
      </c>
      <c r="FU42">
        <v>2</v>
      </c>
      <c r="FV42">
        <v>1</v>
      </c>
      <c r="FW42">
        <v>0</v>
      </c>
      <c r="FX42">
        <v>0</v>
      </c>
      <c r="FY42">
        <v>0</v>
      </c>
      <c r="FZ42">
        <v>0.5</v>
      </c>
      <c r="GA42">
        <v>1</v>
      </c>
      <c r="GB42">
        <v>7</v>
      </c>
      <c r="GC42">
        <v>12.5</v>
      </c>
      <c r="GD42">
        <v>1.5</v>
      </c>
      <c r="GE42">
        <v>1.5</v>
      </c>
      <c r="GF42">
        <v>1.5</v>
      </c>
      <c r="GG42">
        <v>1.5</v>
      </c>
      <c r="GH42">
        <v>3.5</v>
      </c>
      <c r="GI42" s="1">
        <f t="shared" si="13"/>
        <v>1.5731707317073171</v>
      </c>
      <c r="HC42" t="s">
        <v>472</v>
      </c>
      <c r="HD42">
        <v>133.6</v>
      </c>
      <c r="HE42">
        <v>45</v>
      </c>
      <c r="HH42" t="s">
        <v>344</v>
      </c>
      <c r="HI42">
        <v>48</v>
      </c>
      <c r="HJ42">
        <v>194.3</v>
      </c>
      <c r="HL42" t="s">
        <v>472</v>
      </c>
      <c r="HM42">
        <v>-56.65</v>
      </c>
      <c r="HN42">
        <v>45</v>
      </c>
      <c r="HP42">
        <v>48</v>
      </c>
      <c r="HQ42">
        <v>-63.48</v>
      </c>
      <c r="HS42" t="s">
        <v>475</v>
      </c>
      <c r="HT42">
        <v>-55.57</v>
      </c>
      <c r="HU42">
        <f t="shared" si="12"/>
        <v>103.57</v>
      </c>
      <c r="HV42">
        <v>45</v>
      </c>
      <c r="HW42">
        <v>-39.881900000000002</v>
      </c>
      <c r="HX42">
        <v>48</v>
      </c>
      <c r="HY42">
        <v>23.598099999999999</v>
      </c>
      <c r="HZ42">
        <v>48</v>
      </c>
      <c r="IB42">
        <v>100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0.5</v>
      </c>
      <c r="IL42">
        <v>0</v>
      </c>
      <c r="IM42">
        <v>0</v>
      </c>
      <c r="IN42">
        <v>0</v>
      </c>
      <c r="IO42">
        <v>3</v>
      </c>
      <c r="IP42">
        <v>0</v>
      </c>
      <c r="IQ42">
        <v>0</v>
      </c>
      <c r="IR42">
        <v>0</v>
      </c>
      <c r="IS42">
        <v>3</v>
      </c>
      <c r="IT42">
        <v>0</v>
      </c>
      <c r="IU42">
        <v>1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 s="1">
        <f t="shared" si="14"/>
        <v>0.3</v>
      </c>
    </row>
    <row r="43" spans="1:262" ht="13.15" x14ac:dyDescent="0.4">
      <c r="A43" s="2">
        <v>291121</v>
      </c>
      <c r="B43" s="2">
        <v>30</v>
      </c>
      <c r="C43" s="2">
        <v>30</v>
      </c>
      <c r="D43" s="2">
        <v>3</v>
      </c>
      <c r="E43" s="2">
        <v>5</v>
      </c>
      <c r="F43" s="2">
        <v>25</v>
      </c>
      <c r="G43" s="2">
        <v>3</v>
      </c>
      <c r="H43" s="2">
        <v>8</v>
      </c>
      <c r="J43">
        <v>8</v>
      </c>
      <c r="K43">
        <v>2.9</v>
      </c>
      <c r="P43" t="s">
        <v>639</v>
      </c>
      <c r="Q43">
        <v>638.29999999999995</v>
      </c>
      <c r="R43">
        <v>7</v>
      </c>
      <c r="T43" t="s">
        <v>470</v>
      </c>
      <c r="U43">
        <v>-56.48</v>
      </c>
      <c r="V43">
        <v>7</v>
      </c>
      <c r="X43">
        <v>-35.667400000000001</v>
      </c>
      <c r="Y43">
        <v>7</v>
      </c>
      <c r="AA43">
        <v>26.512599999999999</v>
      </c>
      <c r="AB43">
        <v>7</v>
      </c>
      <c r="CW43" s="2">
        <v>290224</v>
      </c>
      <c r="CX43" s="2">
        <v>42</v>
      </c>
      <c r="CY43" s="2">
        <v>42</v>
      </c>
      <c r="CZ43" s="2">
        <v>2</v>
      </c>
      <c r="DA43">
        <v>5</v>
      </c>
      <c r="DB43">
        <v>30</v>
      </c>
      <c r="DC43">
        <v>2</v>
      </c>
      <c r="DD43">
        <v>23</v>
      </c>
      <c r="DF43" t="s">
        <v>75</v>
      </c>
      <c r="DG43">
        <v>0.8</v>
      </c>
      <c r="DH43">
        <v>250.97</v>
      </c>
      <c r="DJ43">
        <v>23</v>
      </c>
      <c r="DO43" t="s">
        <v>474</v>
      </c>
      <c r="DP43">
        <v>19</v>
      </c>
      <c r="DQ43">
        <v>360.5</v>
      </c>
      <c r="DR43">
        <v>20</v>
      </c>
      <c r="DS43">
        <v>243.75</v>
      </c>
      <c r="DV43" t="s">
        <v>474</v>
      </c>
      <c r="DW43">
        <v>-71.040000000000006</v>
      </c>
      <c r="DX43">
        <v>19</v>
      </c>
      <c r="DZ43" t="s">
        <v>402</v>
      </c>
      <c r="EA43">
        <v>20</v>
      </c>
      <c r="EB43">
        <v>-58.47</v>
      </c>
      <c r="EE43" t="s">
        <v>474</v>
      </c>
      <c r="EF43">
        <v>-45.439100000000003</v>
      </c>
      <c r="EG43">
        <v>19</v>
      </c>
      <c r="EI43" t="s">
        <v>405</v>
      </c>
      <c r="EJ43">
        <v>-42.662799999999997</v>
      </c>
      <c r="EK43">
        <v>20</v>
      </c>
      <c r="EM43" t="s">
        <v>405</v>
      </c>
      <c r="EN43">
        <v>-55.03</v>
      </c>
      <c r="EP43" t="s">
        <v>405</v>
      </c>
      <c r="EQ43">
        <f t="shared" si="10"/>
        <v>12.367200000000004</v>
      </c>
      <c r="ES43">
        <v>150</v>
      </c>
      <c r="ET43">
        <v>2</v>
      </c>
      <c r="EU43">
        <v>4</v>
      </c>
      <c r="EV43">
        <v>1.5</v>
      </c>
      <c r="EW43">
        <v>2</v>
      </c>
      <c r="EX43">
        <v>2</v>
      </c>
      <c r="EY43">
        <v>0</v>
      </c>
      <c r="EZ43">
        <v>2</v>
      </c>
      <c r="FA43">
        <v>3</v>
      </c>
      <c r="FB43">
        <v>10</v>
      </c>
      <c r="FC43">
        <v>2</v>
      </c>
      <c r="FD43">
        <v>1</v>
      </c>
      <c r="FE43">
        <v>0</v>
      </c>
      <c r="FF43">
        <v>0.5</v>
      </c>
      <c r="FG43">
        <v>3</v>
      </c>
      <c r="FH43">
        <v>0.5</v>
      </c>
      <c r="FI43">
        <v>0.5</v>
      </c>
      <c r="FJ43">
        <v>4</v>
      </c>
      <c r="FK43">
        <v>1.5</v>
      </c>
      <c r="FL43">
        <v>1.5</v>
      </c>
      <c r="FM43">
        <v>0</v>
      </c>
      <c r="FN43">
        <v>6.5</v>
      </c>
      <c r="FO43">
        <v>0</v>
      </c>
      <c r="FP43">
        <v>1</v>
      </c>
      <c r="FQ43">
        <v>1</v>
      </c>
      <c r="FR43">
        <v>1</v>
      </c>
      <c r="FS43">
        <v>2.5</v>
      </c>
      <c r="FT43">
        <v>0.5</v>
      </c>
      <c r="FU43">
        <v>2</v>
      </c>
      <c r="FV43">
        <v>2</v>
      </c>
      <c r="FW43">
        <v>1</v>
      </c>
      <c r="FX43">
        <v>0</v>
      </c>
      <c r="FY43">
        <v>0</v>
      </c>
      <c r="FZ43">
        <v>1.5</v>
      </c>
      <c r="GA43">
        <v>2</v>
      </c>
      <c r="GB43">
        <v>10.5</v>
      </c>
      <c r="GC43">
        <v>16.5</v>
      </c>
      <c r="GD43">
        <v>3.5</v>
      </c>
      <c r="GE43">
        <v>3</v>
      </c>
      <c r="GF43">
        <v>3.5</v>
      </c>
      <c r="GG43">
        <v>3.5</v>
      </c>
      <c r="GH43">
        <v>5</v>
      </c>
      <c r="GI43" s="1">
        <f t="shared" si="13"/>
        <v>2.6219512195121952</v>
      </c>
      <c r="GK43" s="1" t="s">
        <v>2</v>
      </c>
      <c r="GL43" s="1" t="s">
        <v>5</v>
      </c>
      <c r="GM43" s="1" t="s">
        <v>7</v>
      </c>
      <c r="GN43" s="1" t="s">
        <v>8</v>
      </c>
      <c r="GO43" s="1" t="s">
        <v>20</v>
      </c>
      <c r="GP43" s="1" t="s">
        <v>21</v>
      </c>
      <c r="GQ43" s="1" t="s">
        <v>8</v>
      </c>
      <c r="GR43" s="1" t="s">
        <v>19</v>
      </c>
      <c r="HC43" t="s">
        <v>475</v>
      </c>
      <c r="HD43">
        <v>179.1</v>
      </c>
      <c r="HE43">
        <v>45</v>
      </c>
      <c r="HH43" t="s">
        <v>347</v>
      </c>
      <c r="HI43">
        <v>48</v>
      </c>
      <c r="HJ43">
        <v>253.7</v>
      </c>
      <c r="HL43" t="s">
        <v>475</v>
      </c>
      <c r="HM43">
        <v>-55.57</v>
      </c>
      <c r="HN43">
        <v>45</v>
      </c>
      <c r="HP43">
        <v>48</v>
      </c>
      <c r="HQ43">
        <v>-63.9</v>
      </c>
      <c r="HS43" t="s">
        <v>478</v>
      </c>
      <c r="HT43">
        <v>-57.59</v>
      </c>
      <c r="HU43">
        <f t="shared" si="12"/>
        <v>105.59</v>
      </c>
      <c r="HV43">
        <v>45</v>
      </c>
      <c r="HW43">
        <v>-34.996000000000002</v>
      </c>
      <c r="HX43">
        <v>48</v>
      </c>
      <c r="HY43">
        <v>28.904</v>
      </c>
      <c r="HZ43">
        <v>48</v>
      </c>
      <c r="IB43">
        <v>150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13</v>
      </c>
      <c r="IJ43">
        <v>0</v>
      </c>
      <c r="IK43">
        <v>1</v>
      </c>
      <c r="IL43">
        <v>0</v>
      </c>
      <c r="IM43">
        <v>0</v>
      </c>
      <c r="IN43">
        <v>0</v>
      </c>
      <c r="IO43">
        <v>6</v>
      </c>
      <c r="IP43">
        <v>0</v>
      </c>
      <c r="IQ43">
        <v>0</v>
      </c>
      <c r="IR43">
        <v>0</v>
      </c>
      <c r="IS43">
        <v>5</v>
      </c>
      <c r="IT43">
        <v>0</v>
      </c>
      <c r="IU43">
        <v>2</v>
      </c>
      <c r="IV43">
        <v>1</v>
      </c>
      <c r="IW43">
        <v>0</v>
      </c>
      <c r="IX43">
        <v>0.5</v>
      </c>
      <c r="IY43">
        <v>1</v>
      </c>
      <c r="IZ43">
        <v>0</v>
      </c>
      <c r="JA43">
        <v>0.5</v>
      </c>
      <c r="JB43" s="1">
        <f t="shared" si="14"/>
        <v>1.2</v>
      </c>
    </row>
    <row r="44" spans="1:262" ht="13.15" x14ac:dyDescent="0.4">
      <c r="A44">
        <v>61221</v>
      </c>
      <c r="B44">
        <v>20</v>
      </c>
      <c r="C44">
        <v>20</v>
      </c>
      <c r="H44">
        <v>8</v>
      </c>
      <c r="J44">
        <v>8</v>
      </c>
      <c r="K44">
        <v>1.02</v>
      </c>
      <c r="P44" t="s">
        <v>641</v>
      </c>
      <c r="Q44">
        <v>591.4</v>
      </c>
      <c r="R44">
        <v>7</v>
      </c>
      <c r="T44" t="s">
        <v>473</v>
      </c>
      <c r="U44">
        <v>-62.18</v>
      </c>
      <c r="V44">
        <v>7</v>
      </c>
      <c r="X44">
        <v>-35.485799999999998</v>
      </c>
      <c r="Y44">
        <v>7</v>
      </c>
      <c r="AA44">
        <v>23.414200000000001</v>
      </c>
      <c r="AB44">
        <v>7</v>
      </c>
      <c r="CW44">
        <v>110723</v>
      </c>
      <c r="CX44">
        <v>30</v>
      </c>
      <c r="CY44">
        <v>30</v>
      </c>
      <c r="CZ44">
        <v>0</v>
      </c>
      <c r="DA44">
        <v>1</v>
      </c>
      <c r="DB44">
        <v>5</v>
      </c>
      <c r="DC44">
        <v>0</v>
      </c>
      <c r="DD44">
        <v>24</v>
      </c>
      <c r="DF44" t="s">
        <v>80</v>
      </c>
      <c r="DG44">
        <v>0.77</v>
      </c>
      <c r="DH44">
        <v>222.57</v>
      </c>
      <c r="DI44">
        <f>12.75/27.38</f>
        <v>0.46566837107377651</v>
      </c>
      <c r="DJ44">
        <v>23</v>
      </c>
      <c r="DO44" t="s">
        <v>477</v>
      </c>
      <c r="DP44">
        <v>19</v>
      </c>
      <c r="DQ44">
        <v>477.6</v>
      </c>
      <c r="DR44">
        <v>20</v>
      </c>
      <c r="DS44">
        <v>294.5</v>
      </c>
      <c r="DV44" t="s">
        <v>477</v>
      </c>
      <c r="DW44">
        <v>-70.92</v>
      </c>
      <c r="DX44">
        <v>19</v>
      </c>
      <c r="DZ44" t="s">
        <v>405</v>
      </c>
      <c r="EA44">
        <v>20</v>
      </c>
      <c r="EB44">
        <v>-55.03</v>
      </c>
      <c r="EE44" t="s">
        <v>477</v>
      </c>
      <c r="EF44">
        <v>-54.5242</v>
      </c>
      <c r="EG44">
        <v>19</v>
      </c>
      <c r="EI44" t="s">
        <v>408</v>
      </c>
      <c r="EJ44">
        <v>-44.055100000000003</v>
      </c>
      <c r="EK44">
        <v>20</v>
      </c>
      <c r="EM44" t="s">
        <v>408</v>
      </c>
      <c r="EN44">
        <v>-61.84</v>
      </c>
      <c r="EP44" t="s">
        <v>408</v>
      </c>
      <c r="EQ44">
        <f t="shared" si="10"/>
        <v>17.7849</v>
      </c>
      <c r="ES44">
        <v>200</v>
      </c>
      <c r="ET44">
        <v>3.5</v>
      </c>
      <c r="EU44">
        <v>4.5</v>
      </c>
      <c r="EV44">
        <v>2</v>
      </c>
      <c r="EW44">
        <v>3</v>
      </c>
      <c r="EX44">
        <v>3</v>
      </c>
      <c r="EY44">
        <v>0.5</v>
      </c>
      <c r="EZ44">
        <v>3</v>
      </c>
      <c r="FA44">
        <v>3.5</v>
      </c>
      <c r="FB44">
        <v>12.5</v>
      </c>
      <c r="FC44">
        <v>3.5</v>
      </c>
      <c r="FD44">
        <v>1</v>
      </c>
      <c r="FE44">
        <v>0</v>
      </c>
      <c r="FF44">
        <v>1</v>
      </c>
      <c r="FG44">
        <v>4</v>
      </c>
      <c r="FH44">
        <v>2</v>
      </c>
      <c r="FI44">
        <v>1</v>
      </c>
      <c r="FJ44">
        <v>5.5</v>
      </c>
      <c r="FK44">
        <v>3</v>
      </c>
      <c r="FL44">
        <v>2</v>
      </c>
      <c r="FM44">
        <v>1</v>
      </c>
      <c r="FN44">
        <v>9.5</v>
      </c>
      <c r="FO44">
        <v>0.5</v>
      </c>
      <c r="FP44">
        <v>1</v>
      </c>
      <c r="FQ44">
        <v>1.5</v>
      </c>
      <c r="FR44">
        <v>2</v>
      </c>
      <c r="FS44">
        <v>3.5</v>
      </c>
      <c r="FT44">
        <v>1</v>
      </c>
      <c r="FU44">
        <v>2.5</v>
      </c>
      <c r="FV44">
        <v>2.5</v>
      </c>
      <c r="FW44">
        <v>1.5</v>
      </c>
      <c r="FX44">
        <v>0</v>
      </c>
      <c r="FY44">
        <v>1</v>
      </c>
      <c r="FZ44">
        <v>4.5</v>
      </c>
      <c r="GA44">
        <v>3.5</v>
      </c>
      <c r="GB44">
        <v>12.5</v>
      </c>
      <c r="GC44">
        <v>20</v>
      </c>
      <c r="GD44">
        <v>5</v>
      </c>
      <c r="GE44">
        <v>3.5</v>
      </c>
      <c r="GF44">
        <v>4.5</v>
      </c>
      <c r="GG44">
        <v>5</v>
      </c>
      <c r="GH44">
        <v>8</v>
      </c>
      <c r="GI44" s="1">
        <f t="shared" si="13"/>
        <v>3.7195121951219514</v>
      </c>
      <c r="GK44">
        <v>20322</v>
      </c>
      <c r="GL44">
        <v>6</v>
      </c>
      <c r="GM44">
        <v>6</v>
      </c>
      <c r="GN44">
        <v>0</v>
      </c>
      <c r="GR44">
        <v>48</v>
      </c>
      <c r="HC44" t="s">
        <v>478</v>
      </c>
      <c r="HD44">
        <v>206.37</v>
      </c>
      <c r="HE44">
        <v>45</v>
      </c>
      <c r="HH44" t="s">
        <v>350</v>
      </c>
      <c r="HI44">
        <v>48</v>
      </c>
      <c r="HJ44">
        <v>164.97</v>
      </c>
      <c r="HL44" t="s">
        <v>478</v>
      </c>
      <c r="HM44">
        <v>-57.59</v>
      </c>
      <c r="HN44">
        <v>45</v>
      </c>
      <c r="HP44">
        <v>48</v>
      </c>
      <c r="HQ44">
        <v>-52.27</v>
      </c>
      <c r="HS44" t="s">
        <v>481</v>
      </c>
      <c r="HT44">
        <v>-70.58</v>
      </c>
      <c r="HU44">
        <f t="shared" si="12"/>
        <v>118.58</v>
      </c>
      <c r="HV44">
        <v>45</v>
      </c>
      <c r="HW44">
        <v>-32.926900000000003</v>
      </c>
      <c r="HX44">
        <v>48</v>
      </c>
      <c r="HY44">
        <v>19.3431</v>
      </c>
      <c r="HZ44">
        <v>48</v>
      </c>
      <c r="IB44">
        <v>200</v>
      </c>
      <c r="IC44">
        <v>0</v>
      </c>
      <c r="ID44">
        <v>0</v>
      </c>
      <c r="IE44">
        <v>0.5</v>
      </c>
      <c r="IF44">
        <v>1</v>
      </c>
      <c r="IG44">
        <v>0</v>
      </c>
      <c r="IH44">
        <v>0</v>
      </c>
      <c r="II44">
        <v>8.5</v>
      </c>
      <c r="IJ44">
        <v>0</v>
      </c>
      <c r="IK44">
        <v>1</v>
      </c>
      <c r="IL44">
        <v>0.5</v>
      </c>
      <c r="IM44">
        <v>0</v>
      </c>
      <c r="IN44">
        <v>0.5</v>
      </c>
      <c r="IO44">
        <v>9</v>
      </c>
      <c r="IP44">
        <v>0</v>
      </c>
      <c r="IQ44">
        <v>0</v>
      </c>
      <c r="IR44">
        <v>0</v>
      </c>
      <c r="IS44">
        <v>5</v>
      </c>
      <c r="IT44">
        <v>0</v>
      </c>
      <c r="IU44">
        <v>3</v>
      </c>
      <c r="IV44">
        <v>0.5</v>
      </c>
      <c r="IW44">
        <v>0</v>
      </c>
      <c r="IX44">
        <v>1</v>
      </c>
      <c r="IY44">
        <v>1.5</v>
      </c>
      <c r="IZ44">
        <v>0</v>
      </c>
      <c r="JA44">
        <v>1</v>
      </c>
      <c r="JB44" s="1">
        <f t="shared" si="14"/>
        <v>1.32</v>
      </c>
    </row>
    <row r="45" spans="1:262" ht="13.15" x14ac:dyDescent="0.4">
      <c r="A45">
        <v>612212</v>
      </c>
      <c r="B45">
        <v>56</v>
      </c>
      <c r="C45">
        <v>56</v>
      </c>
      <c r="H45">
        <v>8</v>
      </c>
      <c r="J45">
        <v>8</v>
      </c>
      <c r="K45">
        <v>3.66</v>
      </c>
      <c r="P45" t="s">
        <v>643</v>
      </c>
      <c r="Q45">
        <v>614.17999999999995</v>
      </c>
      <c r="R45">
        <v>7</v>
      </c>
      <c r="T45" t="s">
        <v>476</v>
      </c>
      <c r="U45">
        <v>-58.9</v>
      </c>
      <c r="V45">
        <v>7</v>
      </c>
      <c r="X45">
        <v>-30.088799999999999</v>
      </c>
      <c r="Y45">
        <v>7</v>
      </c>
      <c r="AA45">
        <v>17.911200000000001</v>
      </c>
      <c r="AB45">
        <v>7</v>
      </c>
      <c r="CW45">
        <v>1107232</v>
      </c>
      <c r="CX45">
        <v>42</v>
      </c>
      <c r="CY45">
        <v>42</v>
      </c>
      <c r="CZ45">
        <v>0</v>
      </c>
      <c r="DA45">
        <v>4</v>
      </c>
      <c r="DB45">
        <v>20</v>
      </c>
      <c r="DC45">
        <v>0</v>
      </c>
      <c r="DD45">
        <v>24</v>
      </c>
      <c r="DF45" t="s">
        <v>82</v>
      </c>
      <c r="DG45">
        <v>0.82</v>
      </c>
      <c r="DH45">
        <v>219.2</v>
      </c>
      <c r="DJ45">
        <v>23</v>
      </c>
      <c r="DO45" t="s">
        <v>480</v>
      </c>
      <c r="DP45">
        <v>20</v>
      </c>
      <c r="DQ45">
        <v>247.15</v>
      </c>
      <c r="DR45">
        <v>20</v>
      </c>
      <c r="DS45">
        <v>459.6</v>
      </c>
      <c r="DV45" t="s">
        <v>480</v>
      </c>
      <c r="DW45">
        <v>-51.67</v>
      </c>
      <c r="DX45">
        <v>20</v>
      </c>
      <c r="DZ45" t="s">
        <v>408</v>
      </c>
      <c r="EA45">
        <v>20</v>
      </c>
      <c r="EB45">
        <v>-61.84</v>
      </c>
      <c r="EE45" t="s">
        <v>480</v>
      </c>
      <c r="EF45">
        <v>-26.609000000000002</v>
      </c>
      <c r="EG45">
        <v>20</v>
      </c>
      <c r="EI45" t="s">
        <v>412</v>
      </c>
      <c r="EJ45">
        <v>-44.081000000000003</v>
      </c>
      <c r="EK45">
        <v>20</v>
      </c>
      <c r="EM45" t="s">
        <v>412</v>
      </c>
      <c r="EN45">
        <v>-76.47</v>
      </c>
      <c r="EP45" t="s">
        <v>412</v>
      </c>
      <c r="EQ45">
        <f t="shared" si="10"/>
        <v>32.388999999999996</v>
      </c>
      <c r="ES45">
        <v>250</v>
      </c>
      <c r="ET45">
        <v>4.5</v>
      </c>
      <c r="EU45">
        <v>5.5</v>
      </c>
      <c r="EV45">
        <v>2.5</v>
      </c>
      <c r="EW45">
        <v>4</v>
      </c>
      <c r="EX45">
        <v>4.5</v>
      </c>
      <c r="EY45">
        <v>1</v>
      </c>
      <c r="EZ45">
        <v>3.5</v>
      </c>
      <c r="FA45">
        <v>5.5</v>
      </c>
      <c r="FB45">
        <v>15</v>
      </c>
      <c r="FC45">
        <v>4.5</v>
      </c>
      <c r="FD45">
        <v>2</v>
      </c>
      <c r="FE45">
        <v>1</v>
      </c>
      <c r="FF45">
        <v>1.5</v>
      </c>
      <c r="FG45">
        <v>5</v>
      </c>
      <c r="FH45">
        <v>2.5</v>
      </c>
      <c r="FI45">
        <v>2</v>
      </c>
      <c r="FJ45">
        <v>6.5</v>
      </c>
      <c r="FK45">
        <v>4.5</v>
      </c>
      <c r="FL45">
        <v>3</v>
      </c>
      <c r="FM45">
        <v>1</v>
      </c>
      <c r="FN45">
        <v>9.5</v>
      </c>
      <c r="FO45">
        <v>1</v>
      </c>
      <c r="FP45">
        <v>2</v>
      </c>
      <c r="FQ45">
        <v>1.5</v>
      </c>
      <c r="FR45">
        <v>2</v>
      </c>
      <c r="FS45">
        <v>4.5</v>
      </c>
      <c r="FT45">
        <v>1.5</v>
      </c>
      <c r="FU45">
        <v>3.5</v>
      </c>
      <c r="FV45">
        <v>3</v>
      </c>
      <c r="FW45">
        <v>2</v>
      </c>
      <c r="FX45">
        <v>0</v>
      </c>
      <c r="FY45">
        <v>1</v>
      </c>
      <c r="FZ45">
        <v>5</v>
      </c>
      <c r="GA45">
        <v>4</v>
      </c>
      <c r="GB45">
        <v>15.5</v>
      </c>
      <c r="GC45">
        <v>22</v>
      </c>
      <c r="GD45">
        <v>5.5</v>
      </c>
      <c r="GE45">
        <v>4</v>
      </c>
      <c r="GF45">
        <v>5.5</v>
      </c>
      <c r="GG45">
        <v>5.5</v>
      </c>
      <c r="GH45">
        <v>9.5</v>
      </c>
      <c r="GI45" s="1">
        <f t="shared" si="13"/>
        <v>4.5731707317073171</v>
      </c>
      <c r="GK45" s="2">
        <v>203222</v>
      </c>
      <c r="GL45" s="2">
        <v>30</v>
      </c>
      <c r="GM45" s="2">
        <v>30</v>
      </c>
      <c r="GN45" s="2">
        <v>3</v>
      </c>
      <c r="GO45" s="2">
        <v>5</v>
      </c>
      <c r="GP45" s="2">
        <v>25</v>
      </c>
      <c r="GQ45" s="2">
        <v>3</v>
      </c>
      <c r="GR45" s="2">
        <v>48</v>
      </c>
      <c r="HC45" t="s">
        <v>481</v>
      </c>
      <c r="HD45">
        <v>325.39999999999998</v>
      </c>
      <c r="HE45">
        <v>45</v>
      </c>
      <c r="HH45" t="s">
        <v>353</v>
      </c>
      <c r="HI45">
        <v>48</v>
      </c>
      <c r="HJ45">
        <v>156.9</v>
      </c>
      <c r="HL45" t="s">
        <v>481</v>
      </c>
      <c r="HM45">
        <v>-70.58</v>
      </c>
      <c r="HN45">
        <v>45</v>
      </c>
      <c r="HP45">
        <v>48</v>
      </c>
      <c r="HQ45">
        <v>-59.22</v>
      </c>
      <c r="HS45" t="s">
        <v>484</v>
      </c>
      <c r="HT45">
        <v>-57.31</v>
      </c>
      <c r="HU45">
        <f t="shared" si="12"/>
        <v>105.31</v>
      </c>
      <c r="HV45">
        <v>45</v>
      </c>
      <c r="HW45">
        <v>-43.011499999999998</v>
      </c>
      <c r="HX45">
        <v>48</v>
      </c>
      <c r="HY45">
        <v>16.208500000000001</v>
      </c>
      <c r="HZ45">
        <v>48</v>
      </c>
      <c r="IB45">
        <v>250</v>
      </c>
      <c r="IC45">
        <v>0</v>
      </c>
      <c r="ID45">
        <v>0.5</v>
      </c>
      <c r="IE45">
        <v>1</v>
      </c>
      <c r="IF45">
        <v>0.5</v>
      </c>
      <c r="IG45">
        <v>0</v>
      </c>
      <c r="IH45">
        <v>0</v>
      </c>
      <c r="II45">
        <v>7</v>
      </c>
      <c r="IJ45">
        <v>1</v>
      </c>
      <c r="IK45">
        <v>1</v>
      </c>
      <c r="IL45">
        <v>1.5</v>
      </c>
      <c r="IM45">
        <v>1</v>
      </c>
      <c r="IN45">
        <v>1</v>
      </c>
      <c r="IO45">
        <v>11</v>
      </c>
      <c r="IP45">
        <v>1</v>
      </c>
      <c r="IQ45">
        <v>0</v>
      </c>
      <c r="IR45">
        <v>0</v>
      </c>
      <c r="IS45">
        <v>7</v>
      </c>
      <c r="IT45">
        <v>1</v>
      </c>
      <c r="IU45">
        <v>4</v>
      </c>
      <c r="IV45">
        <v>1</v>
      </c>
      <c r="IW45">
        <v>0</v>
      </c>
      <c r="IX45">
        <v>1</v>
      </c>
      <c r="IY45">
        <v>3</v>
      </c>
      <c r="IZ45">
        <v>0.5</v>
      </c>
      <c r="JA45">
        <v>2</v>
      </c>
      <c r="JB45" s="1">
        <f t="shared" si="14"/>
        <v>1.84</v>
      </c>
    </row>
    <row r="46" spans="1:262" ht="13.15" x14ac:dyDescent="0.4">
      <c r="A46" s="2">
        <v>712212</v>
      </c>
      <c r="B46" s="2">
        <v>20</v>
      </c>
      <c r="C46" s="2">
        <v>20</v>
      </c>
      <c r="D46" s="2">
        <v>1</v>
      </c>
      <c r="E46" s="2">
        <v>3</v>
      </c>
      <c r="F46" s="2">
        <v>12</v>
      </c>
      <c r="G46" s="2">
        <v>1</v>
      </c>
      <c r="H46" s="2">
        <v>8</v>
      </c>
      <c r="J46">
        <v>8</v>
      </c>
      <c r="K46">
        <v>2.5</v>
      </c>
      <c r="P46" t="s">
        <v>645</v>
      </c>
      <c r="Q46">
        <v>437.4</v>
      </c>
      <c r="R46">
        <v>7</v>
      </c>
      <c r="T46" t="s">
        <v>479</v>
      </c>
      <c r="U46">
        <v>-48</v>
      </c>
      <c r="V46">
        <v>7</v>
      </c>
      <c r="X46">
        <v>-36.856099999999998</v>
      </c>
      <c r="Y46">
        <v>7</v>
      </c>
      <c r="AA46">
        <v>12.303900000000001</v>
      </c>
      <c r="AB46">
        <v>7</v>
      </c>
      <c r="CW46" s="2">
        <v>190224</v>
      </c>
      <c r="CX46" s="2">
        <v>42</v>
      </c>
      <c r="CY46" s="2">
        <v>42</v>
      </c>
      <c r="CZ46" s="2">
        <v>1</v>
      </c>
      <c r="DA46">
        <v>5</v>
      </c>
      <c r="DB46">
        <v>30</v>
      </c>
      <c r="DC46">
        <v>1</v>
      </c>
      <c r="DD46">
        <v>24</v>
      </c>
      <c r="DF46" t="s">
        <v>84</v>
      </c>
      <c r="DG46">
        <v>0.53</v>
      </c>
      <c r="DH46">
        <v>219.2</v>
      </c>
      <c r="DJ46">
        <v>23</v>
      </c>
      <c r="DO46" t="s">
        <v>483</v>
      </c>
      <c r="DP46">
        <v>20</v>
      </c>
      <c r="DQ46">
        <v>386.36</v>
      </c>
      <c r="DR46">
        <v>20</v>
      </c>
      <c r="DS46">
        <v>353.95</v>
      </c>
      <c r="DV46" t="s">
        <v>483</v>
      </c>
      <c r="DW46">
        <v>-62.81</v>
      </c>
      <c r="DX46">
        <v>20</v>
      </c>
      <c r="DZ46" t="s">
        <v>412</v>
      </c>
      <c r="EA46">
        <v>20</v>
      </c>
      <c r="EB46">
        <v>-76.47</v>
      </c>
      <c r="EE46" t="s">
        <v>483</v>
      </c>
      <c r="EF46">
        <v>-46.296599999999998</v>
      </c>
      <c r="EG46">
        <v>20</v>
      </c>
      <c r="EI46" t="s">
        <v>415</v>
      </c>
      <c r="EJ46">
        <v>-42.718499999999999</v>
      </c>
      <c r="EK46">
        <v>20</v>
      </c>
      <c r="EM46" t="s">
        <v>415</v>
      </c>
      <c r="EN46">
        <v>-62.63</v>
      </c>
      <c r="EP46" t="s">
        <v>415</v>
      </c>
      <c r="EQ46">
        <f t="shared" si="10"/>
        <v>19.911500000000004</v>
      </c>
      <c r="ES46">
        <v>300</v>
      </c>
      <c r="ET46">
        <v>6.5</v>
      </c>
      <c r="EU46">
        <v>5.5</v>
      </c>
      <c r="EV46">
        <v>3</v>
      </c>
      <c r="EW46">
        <v>5</v>
      </c>
      <c r="EX46">
        <v>5</v>
      </c>
      <c r="EY46">
        <v>1.5</v>
      </c>
      <c r="EZ46">
        <v>4</v>
      </c>
      <c r="FA46">
        <v>6.5</v>
      </c>
      <c r="FB46">
        <v>17.5</v>
      </c>
      <c r="FC46">
        <v>5</v>
      </c>
      <c r="FD46">
        <v>2</v>
      </c>
      <c r="FE46">
        <v>1</v>
      </c>
      <c r="FF46">
        <v>1.5</v>
      </c>
      <c r="FG46">
        <v>6</v>
      </c>
      <c r="FH46">
        <v>2.5</v>
      </c>
      <c r="FI46">
        <v>2.5</v>
      </c>
      <c r="FJ46">
        <v>7.5</v>
      </c>
      <c r="FK46">
        <v>5.5</v>
      </c>
      <c r="FL46">
        <v>3</v>
      </c>
      <c r="FM46">
        <v>1.5</v>
      </c>
      <c r="FN46">
        <v>12</v>
      </c>
      <c r="FO46">
        <v>1</v>
      </c>
      <c r="FP46">
        <v>3</v>
      </c>
      <c r="FQ46">
        <v>2.5</v>
      </c>
      <c r="FR46">
        <v>2.5</v>
      </c>
      <c r="FS46">
        <v>5.5</v>
      </c>
      <c r="FT46">
        <v>2</v>
      </c>
      <c r="FU46">
        <v>4</v>
      </c>
      <c r="FV46">
        <v>3.5</v>
      </c>
      <c r="FW46">
        <v>3</v>
      </c>
      <c r="FX46">
        <v>1</v>
      </c>
      <c r="FY46">
        <v>1</v>
      </c>
      <c r="FZ46">
        <v>5.5</v>
      </c>
      <c r="GA46">
        <v>5.5</v>
      </c>
      <c r="GB46">
        <v>16</v>
      </c>
      <c r="GC46">
        <v>23.5</v>
      </c>
      <c r="GD46">
        <v>7</v>
      </c>
      <c r="GE46">
        <v>4.5</v>
      </c>
      <c r="GF46">
        <v>6.5</v>
      </c>
      <c r="GG46">
        <v>6.5</v>
      </c>
      <c r="GH46">
        <v>10</v>
      </c>
      <c r="GI46" s="1">
        <f t="shared" si="13"/>
        <v>5.3292682926829267</v>
      </c>
      <c r="GK46">
        <v>210422</v>
      </c>
      <c r="GL46">
        <v>42</v>
      </c>
      <c r="GM46">
        <v>43</v>
      </c>
      <c r="GN46">
        <v>0</v>
      </c>
      <c r="GO46">
        <v>5</v>
      </c>
      <c r="GP46">
        <v>30</v>
      </c>
      <c r="GQ46">
        <v>0</v>
      </c>
      <c r="GR46">
        <v>48</v>
      </c>
      <c r="HC46" t="s">
        <v>484</v>
      </c>
      <c r="HD46">
        <v>258.77</v>
      </c>
      <c r="HE46">
        <v>45</v>
      </c>
      <c r="HH46" t="s">
        <v>356</v>
      </c>
      <c r="HI46">
        <v>48</v>
      </c>
      <c r="HJ46">
        <v>213.35</v>
      </c>
      <c r="HL46" t="s">
        <v>484</v>
      </c>
      <c r="HM46">
        <v>-57.31</v>
      </c>
      <c r="HN46">
        <v>45</v>
      </c>
      <c r="HP46">
        <v>48</v>
      </c>
      <c r="HQ46">
        <v>-73.41</v>
      </c>
      <c r="HS46" t="s">
        <v>487</v>
      </c>
      <c r="HT46">
        <v>-62.88</v>
      </c>
      <c r="HU46">
        <f t="shared" si="12"/>
        <v>110.88</v>
      </c>
      <c r="HV46">
        <v>45</v>
      </c>
      <c r="HW46">
        <v>-42.619300000000003</v>
      </c>
      <c r="HX46">
        <v>48</v>
      </c>
      <c r="HY46">
        <v>30.790700000000001</v>
      </c>
      <c r="HZ46">
        <v>48</v>
      </c>
      <c r="IB46">
        <v>300</v>
      </c>
      <c r="IC46">
        <v>1</v>
      </c>
      <c r="ID46">
        <v>1</v>
      </c>
      <c r="IE46">
        <v>1</v>
      </c>
      <c r="IF46">
        <v>1</v>
      </c>
      <c r="IG46">
        <v>0.5</v>
      </c>
      <c r="IH46">
        <v>1.5</v>
      </c>
      <c r="II46">
        <v>6</v>
      </c>
      <c r="IJ46">
        <v>1</v>
      </c>
      <c r="IK46">
        <v>1</v>
      </c>
      <c r="IL46">
        <v>1</v>
      </c>
      <c r="IM46">
        <v>1</v>
      </c>
      <c r="IN46">
        <v>1</v>
      </c>
      <c r="IO46">
        <v>14</v>
      </c>
      <c r="IP46">
        <v>0</v>
      </c>
      <c r="IQ46">
        <v>0</v>
      </c>
      <c r="IR46">
        <v>1</v>
      </c>
      <c r="IS46">
        <v>6.5</v>
      </c>
      <c r="IT46">
        <v>1</v>
      </c>
      <c r="IU46">
        <v>4.5</v>
      </c>
      <c r="IV46">
        <v>1.5</v>
      </c>
      <c r="IW46">
        <v>0</v>
      </c>
      <c r="IX46">
        <v>1.5</v>
      </c>
      <c r="IY46">
        <v>3.5</v>
      </c>
      <c r="IZ46">
        <v>1</v>
      </c>
      <c r="JA46">
        <v>3</v>
      </c>
      <c r="JB46" s="1">
        <f t="shared" si="14"/>
        <v>2.1800000000000002</v>
      </c>
    </row>
    <row r="47" spans="1:262" ht="13.15" x14ac:dyDescent="0.4">
      <c r="A47">
        <v>91221</v>
      </c>
      <c r="B47">
        <v>20</v>
      </c>
      <c r="C47">
        <v>30</v>
      </c>
      <c r="H47">
        <v>8</v>
      </c>
      <c r="J47">
        <v>8</v>
      </c>
      <c r="K47">
        <v>1.02</v>
      </c>
      <c r="P47" t="s">
        <v>647</v>
      </c>
      <c r="Q47">
        <v>400.56</v>
      </c>
      <c r="R47">
        <v>7</v>
      </c>
      <c r="T47" t="s">
        <v>482</v>
      </c>
      <c r="U47">
        <v>-49.16</v>
      </c>
      <c r="V47">
        <v>7</v>
      </c>
      <c r="X47">
        <v>-38.439900000000002</v>
      </c>
      <c r="Y47">
        <v>7</v>
      </c>
      <c r="AA47">
        <v>24.620100000000001</v>
      </c>
      <c r="AB47">
        <v>7</v>
      </c>
      <c r="CW47" s="2">
        <v>2608222</v>
      </c>
      <c r="CX47" s="2">
        <v>30</v>
      </c>
      <c r="CY47" s="2">
        <v>30</v>
      </c>
      <c r="CZ47" s="2">
        <v>1</v>
      </c>
      <c r="DA47">
        <v>4</v>
      </c>
      <c r="DB47">
        <v>24</v>
      </c>
      <c r="DC47">
        <v>1</v>
      </c>
      <c r="DD47">
        <v>25</v>
      </c>
      <c r="DF47" t="s">
        <v>78</v>
      </c>
      <c r="DG47">
        <v>0.41</v>
      </c>
      <c r="DH47">
        <v>267.85000000000002</v>
      </c>
      <c r="DJ47">
        <v>24</v>
      </c>
      <c r="DO47" t="s">
        <v>486</v>
      </c>
      <c r="DP47">
        <v>20</v>
      </c>
      <c r="DQ47">
        <v>293.02999999999997</v>
      </c>
      <c r="DR47">
        <v>20</v>
      </c>
      <c r="DS47">
        <v>181.6</v>
      </c>
      <c r="DV47" t="s">
        <v>486</v>
      </c>
      <c r="DW47">
        <v>-65.819999999999993</v>
      </c>
      <c r="DX47">
        <v>20</v>
      </c>
      <c r="DZ47" t="s">
        <v>415</v>
      </c>
      <c r="EA47">
        <v>20</v>
      </c>
      <c r="EB47">
        <v>-62.63</v>
      </c>
      <c r="EE47" t="s">
        <v>486</v>
      </c>
      <c r="EF47">
        <v>-47.364800000000002</v>
      </c>
      <c r="EG47">
        <v>20</v>
      </c>
      <c r="EI47" t="s">
        <v>418</v>
      </c>
      <c r="EJ47">
        <v>-48.033000000000001</v>
      </c>
      <c r="EK47">
        <v>20</v>
      </c>
      <c r="EM47" t="s">
        <v>418</v>
      </c>
      <c r="EN47">
        <v>-57.11</v>
      </c>
      <c r="EP47" t="s">
        <v>418</v>
      </c>
      <c r="EQ47">
        <f t="shared" si="10"/>
        <v>9.0769999999999982</v>
      </c>
      <c r="ES47">
        <v>350</v>
      </c>
      <c r="ET47">
        <v>8</v>
      </c>
      <c r="EU47">
        <v>5</v>
      </c>
      <c r="EV47">
        <v>3.5</v>
      </c>
      <c r="EW47">
        <v>5.5</v>
      </c>
      <c r="EX47">
        <v>6</v>
      </c>
      <c r="EY47">
        <v>2.5</v>
      </c>
      <c r="EZ47">
        <v>4.5</v>
      </c>
      <c r="FA47">
        <v>7.5</v>
      </c>
      <c r="FB47">
        <v>19</v>
      </c>
      <c r="FC47">
        <v>6</v>
      </c>
      <c r="FD47">
        <v>3</v>
      </c>
      <c r="FE47">
        <v>1</v>
      </c>
      <c r="FF47">
        <v>2.5</v>
      </c>
      <c r="FG47">
        <v>6.5</v>
      </c>
      <c r="FH47">
        <v>2.5</v>
      </c>
      <c r="FI47">
        <v>3</v>
      </c>
      <c r="FJ47">
        <v>8</v>
      </c>
      <c r="FK47">
        <v>7</v>
      </c>
      <c r="FL47">
        <v>3.5</v>
      </c>
      <c r="FM47">
        <v>2</v>
      </c>
      <c r="FN47">
        <v>14</v>
      </c>
      <c r="FO47">
        <v>2</v>
      </c>
      <c r="FP47">
        <v>3</v>
      </c>
      <c r="FQ47">
        <v>2.5</v>
      </c>
      <c r="FR47">
        <v>3</v>
      </c>
      <c r="FS47">
        <v>6.5</v>
      </c>
      <c r="FT47">
        <v>3</v>
      </c>
      <c r="FU47">
        <v>4.5</v>
      </c>
      <c r="FV47">
        <v>4</v>
      </c>
      <c r="FW47">
        <v>3.5</v>
      </c>
      <c r="FX47">
        <v>1</v>
      </c>
      <c r="FY47">
        <v>1</v>
      </c>
      <c r="FZ47">
        <v>6.5</v>
      </c>
      <c r="GA47">
        <v>6.5</v>
      </c>
      <c r="GB47">
        <v>17</v>
      </c>
      <c r="GC47">
        <v>25</v>
      </c>
      <c r="GD47">
        <v>8</v>
      </c>
      <c r="GE47">
        <v>5</v>
      </c>
      <c r="GF47">
        <v>6.5</v>
      </c>
      <c r="GG47">
        <v>8</v>
      </c>
      <c r="GH47">
        <v>10.5</v>
      </c>
      <c r="GI47" s="1">
        <f t="shared" si="13"/>
        <v>6.0365853658536581</v>
      </c>
      <c r="GK47">
        <v>2104222</v>
      </c>
      <c r="GL47">
        <v>30</v>
      </c>
      <c r="GM47">
        <v>30</v>
      </c>
      <c r="GN47">
        <v>0</v>
      </c>
      <c r="GR47">
        <v>48</v>
      </c>
      <c r="HC47" t="s">
        <v>487</v>
      </c>
      <c r="HD47">
        <v>221.97</v>
      </c>
      <c r="HE47">
        <v>45</v>
      </c>
      <c r="HH47" t="s">
        <v>360</v>
      </c>
      <c r="HI47">
        <v>48</v>
      </c>
      <c r="HJ47">
        <v>263.77</v>
      </c>
      <c r="HL47" t="s">
        <v>487</v>
      </c>
      <c r="HM47">
        <v>-62.88</v>
      </c>
      <c r="HN47">
        <v>45</v>
      </c>
      <c r="HP47">
        <v>48</v>
      </c>
      <c r="HQ47">
        <v>-70.41</v>
      </c>
      <c r="HS47" t="s">
        <v>490</v>
      </c>
      <c r="HT47">
        <v>-57.82</v>
      </c>
      <c r="HU47">
        <f t="shared" si="12"/>
        <v>105.82</v>
      </c>
      <c r="HV47">
        <v>46</v>
      </c>
      <c r="HW47">
        <v>-37.919600000000003</v>
      </c>
      <c r="HX47">
        <v>48</v>
      </c>
      <c r="HY47">
        <v>32.490400000000001</v>
      </c>
      <c r="HZ47">
        <v>48</v>
      </c>
      <c r="IB47">
        <v>350</v>
      </c>
      <c r="IC47">
        <v>1</v>
      </c>
      <c r="ID47">
        <v>1</v>
      </c>
      <c r="IE47">
        <v>1</v>
      </c>
      <c r="IF47">
        <v>2</v>
      </c>
      <c r="IG47">
        <v>1</v>
      </c>
      <c r="IH47">
        <v>1</v>
      </c>
      <c r="II47">
        <v>4</v>
      </c>
      <c r="IJ47">
        <v>1</v>
      </c>
      <c r="IK47">
        <v>1</v>
      </c>
      <c r="IL47">
        <v>1.5</v>
      </c>
      <c r="IM47">
        <v>1</v>
      </c>
      <c r="IN47">
        <v>1</v>
      </c>
      <c r="IO47">
        <v>13</v>
      </c>
      <c r="IP47">
        <v>0.5</v>
      </c>
      <c r="IQ47">
        <v>0</v>
      </c>
      <c r="IR47">
        <v>1</v>
      </c>
      <c r="IS47">
        <v>10</v>
      </c>
      <c r="IT47">
        <v>1</v>
      </c>
      <c r="IU47">
        <v>5</v>
      </c>
      <c r="IV47">
        <v>4</v>
      </c>
      <c r="IW47">
        <v>0.5</v>
      </c>
      <c r="IX47">
        <v>2</v>
      </c>
      <c r="IY47">
        <v>4.5</v>
      </c>
      <c r="IZ47">
        <v>1</v>
      </c>
      <c r="JA47">
        <v>5</v>
      </c>
      <c r="JB47" s="1">
        <f t="shared" si="14"/>
        <v>2.56</v>
      </c>
    </row>
    <row r="48" spans="1:262" ht="13.15" x14ac:dyDescent="0.4">
      <c r="A48">
        <v>912212</v>
      </c>
      <c r="B48">
        <v>42</v>
      </c>
      <c r="C48">
        <v>56</v>
      </c>
      <c r="E48">
        <v>6</v>
      </c>
      <c r="F48">
        <v>36</v>
      </c>
      <c r="G48">
        <v>0</v>
      </c>
      <c r="H48">
        <v>8</v>
      </c>
      <c r="J48">
        <v>8</v>
      </c>
      <c r="K48">
        <v>3.03</v>
      </c>
      <c r="P48" t="s">
        <v>649</v>
      </c>
      <c r="Q48">
        <v>715.9</v>
      </c>
      <c r="R48">
        <v>7</v>
      </c>
      <c r="T48" t="s">
        <v>485</v>
      </c>
      <c r="U48">
        <v>-63.06</v>
      </c>
      <c r="V48">
        <v>7</v>
      </c>
      <c r="X48">
        <v>-35.000599999999999</v>
      </c>
      <c r="Y48">
        <v>7</v>
      </c>
      <c r="AA48">
        <v>17.429400000000001</v>
      </c>
      <c r="AB48">
        <v>7</v>
      </c>
      <c r="CW48">
        <v>200224</v>
      </c>
      <c r="CX48">
        <v>20</v>
      </c>
      <c r="CY48">
        <v>20</v>
      </c>
      <c r="CZ48">
        <v>0</v>
      </c>
      <c r="DA48">
        <v>2</v>
      </c>
      <c r="DB48">
        <v>8</v>
      </c>
      <c r="DC48">
        <v>0</v>
      </c>
      <c r="DD48" s="8"/>
      <c r="DF48" t="s">
        <v>57</v>
      </c>
      <c r="DG48">
        <v>0.67</v>
      </c>
      <c r="DH48">
        <v>264.55</v>
      </c>
      <c r="DI48" s="8">
        <f>9.73/11.43</f>
        <v>0.85126859142607181</v>
      </c>
      <c r="DJ48">
        <v>25</v>
      </c>
      <c r="DO48" t="s">
        <v>489</v>
      </c>
      <c r="DP48">
        <v>20</v>
      </c>
      <c r="DQ48">
        <v>248.92</v>
      </c>
      <c r="DR48">
        <v>20</v>
      </c>
      <c r="DS48">
        <v>243.17</v>
      </c>
      <c r="DV48" t="s">
        <v>489</v>
      </c>
      <c r="DW48">
        <v>-62.83</v>
      </c>
      <c r="DX48">
        <v>20</v>
      </c>
      <c r="DZ48" t="s">
        <v>418</v>
      </c>
      <c r="EA48">
        <v>20</v>
      </c>
      <c r="EB48">
        <v>-57.11</v>
      </c>
      <c r="EE48" t="s">
        <v>489</v>
      </c>
      <c r="EF48">
        <v>-54.877499999999998</v>
      </c>
      <c r="EG48">
        <v>20</v>
      </c>
      <c r="EI48" t="s">
        <v>422</v>
      </c>
      <c r="EJ48">
        <v>-46.237200000000001</v>
      </c>
      <c r="EK48">
        <v>20</v>
      </c>
      <c r="EM48" t="s">
        <v>422</v>
      </c>
      <c r="EN48">
        <v>-71.83</v>
      </c>
      <c r="EP48" t="s">
        <v>422</v>
      </c>
      <c r="EQ48">
        <f t="shared" si="10"/>
        <v>25.592799999999997</v>
      </c>
      <c r="ES48">
        <v>400</v>
      </c>
      <c r="ET48">
        <v>8</v>
      </c>
      <c r="EU48">
        <v>6.5</v>
      </c>
      <c r="EV48">
        <v>4</v>
      </c>
      <c r="EW48">
        <v>6.5</v>
      </c>
      <c r="EX48">
        <v>6.5</v>
      </c>
      <c r="EY48">
        <v>2.5</v>
      </c>
      <c r="EZ48">
        <v>5</v>
      </c>
      <c r="FA48">
        <v>10</v>
      </c>
      <c r="FB48">
        <f>37/2</f>
        <v>18.5</v>
      </c>
      <c r="FC48">
        <v>6.5</v>
      </c>
      <c r="FD48">
        <v>3</v>
      </c>
      <c r="FE48">
        <v>1.5</v>
      </c>
      <c r="FF48">
        <v>2.5</v>
      </c>
      <c r="FG48">
        <v>6.5</v>
      </c>
      <c r="FH48">
        <v>3.5</v>
      </c>
      <c r="FI48">
        <v>3.5</v>
      </c>
      <c r="FJ48">
        <v>9</v>
      </c>
      <c r="FK48">
        <v>7.5</v>
      </c>
      <c r="FL48">
        <v>4</v>
      </c>
      <c r="FM48">
        <v>2.5</v>
      </c>
      <c r="FN48">
        <v>13.5</v>
      </c>
      <c r="FO48">
        <v>2.5</v>
      </c>
      <c r="FP48">
        <v>4</v>
      </c>
      <c r="FQ48">
        <v>3</v>
      </c>
      <c r="FR48">
        <v>3</v>
      </c>
      <c r="FS48">
        <v>7.5</v>
      </c>
      <c r="FT48">
        <v>3</v>
      </c>
      <c r="FU48">
        <v>5</v>
      </c>
      <c r="FV48">
        <v>5</v>
      </c>
      <c r="FW48">
        <v>4</v>
      </c>
      <c r="FX48">
        <v>1</v>
      </c>
      <c r="FY48" s="8">
        <v>1</v>
      </c>
      <c r="FZ48">
        <v>8.5</v>
      </c>
      <c r="GA48">
        <v>6.5</v>
      </c>
      <c r="GB48">
        <v>18.5</v>
      </c>
      <c r="GC48">
        <v>26.5</v>
      </c>
      <c r="GD48">
        <v>9</v>
      </c>
      <c r="GE48">
        <v>5</v>
      </c>
      <c r="GF48">
        <v>7.5</v>
      </c>
      <c r="GG48">
        <v>8</v>
      </c>
      <c r="GH48">
        <v>12</v>
      </c>
      <c r="GI48" s="1">
        <f t="shared" si="13"/>
        <v>6.6219512195121952</v>
      </c>
      <c r="GK48">
        <v>260422</v>
      </c>
      <c r="GL48">
        <v>56</v>
      </c>
      <c r="GM48">
        <v>56</v>
      </c>
      <c r="GN48">
        <v>0</v>
      </c>
      <c r="GO48">
        <v>2</v>
      </c>
      <c r="GP48">
        <v>14</v>
      </c>
      <c r="GQ48">
        <v>0</v>
      </c>
      <c r="GR48">
        <v>48</v>
      </c>
      <c r="HC48" t="s">
        <v>490</v>
      </c>
      <c r="HD48">
        <v>195.5</v>
      </c>
      <c r="HE48">
        <v>46</v>
      </c>
      <c r="HH48" t="s">
        <v>527</v>
      </c>
      <c r="HI48">
        <v>48</v>
      </c>
      <c r="HJ48">
        <v>167.42</v>
      </c>
      <c r="HL48" t="s">
        <v>490</v>
      </c>
      <c r="HM48">
        <v>-57.82</v>
      </c>
      <c r="HN48">
        <v>46</v>
      </c>
      <c r="HP48">
        <v>48</v>
      </c>
      <c r="HQ48">
        <v>-59.96</v>
      </c>
      <c r="HS48" t="s">
        <v>493</v>
      </c>
      <c r="HT48">
        <v>-60.67</v>
      </c>
      <c r="HU48">
        <f t="shared" si="12"/>
        <v>108.67</v>
      </c>
      <c r="HV48">
        <v>46</v>
      </c>
      <c r="HW48">
        <v>-42.159199999999998</v>
      </c>
      <c r="HX48">
        <v>48</v>
      </c>
      <c r="HY48">
        <v>17.800799999999999</v>
      </c>
      <c r="HZ48">
        <v>48</v>
      </c>
      <c r="IB48">
        <v>400</v>
      </c>
      <c r="IC48">
        <v>2</v>
      </c>
      <c r="ID48">
        <v>1.5</v>
      </c>
      <c r="IE48">
        <v>1.5</v>
      </c>
      <c r="IF48">
        <v>2.5</v>
      </c>
      <c r="IG48">
        <v>1</v>
      </c>
      <c r="IH48">
        <v>1.5</v>
      </c>
      <c r="II48">
        <v>5</v>
      </c>
      <c r="IJ48">
        <v>1.5</v>
      </c>
      <c r="IK48">
        <v>1.5</v>
      </c>
      <c r="IL48">
        <v>2</v>
      </c>
      <c r="IM48">
        <v>2</v>
      </c>
      <c r="IN48">
        <v>1</v>
      </c>
      <c r="IO48">
        <v>9.5</v>
      </c>
      <c r="IP48">
        <v>1</v>
      </c>
      <c r="IQ48">
        <v>0.5</v>
      </c>
      <c r="IR48">
        <v>1</v>
      </c>
      <c r="IS48">
        <v>9.5</v>
      </c>
      <c r="IT48">
        <v>2.5</v>
      </c>
      <c r="IU48">
        <v>6</v>
      </c>
      <c r="IV48">
        <v>4</v>
      </c>
      <c r="IW48">
        <v>1</v>
      </c>
      <c r="IX48">
        <v>2.5</v>
      </c>
      <c r="IY48">
        <v>6</v>
      </c>
      <c r="IZ48">
        <v>1</v>
      </c>
      <c r="JA48">
        <v>5.5</v>
      </c>
      <c r="JB48" s="1">
        <f t="shared" si="14"/>
        <v>2.92</v>
      </c>
    </row>
    <row r="49" spans="1:255" x14ac:dyDescent="0.35">
      <c r="A49">
        <v>131221</v>
      </c>
      <c r="B49">
        <v>30</v>
      </c>
      <c r="C49">
        <v>30</v>
      </c>
      <c r="H49">
        <v>8</v>
      </c>
      <c r="J49">
        <v>8</v>
      </c>
      <c r="K49">
        <v>2.71</v>
      </c>
      <c r="P49" t="s">
        <v>669</v>
      </c>
      <c r="Q49">
        <v>463.75</v>
      </c>
      <c r="R49">
        <v>7</v>
      </c>
      <c r="T49" t="s">
        <v>488</v>
      </c>
      <c r="U49">
        <v>-52.43</v>
      </c>
      <c r="V49">
        <v>7</v>
      </c>
      <c r="X49">
        <v>-36.851500000000001</v>
      </c>
      <c r="Y49">
        <v>7</v>
      </c>
      <c r="AA49">
        <v>8.3085000000000004</v>
      </c>
      <c r="AB49">
        <v>7</v>
      </c>
      <c r="CW49">
        <v>2002242</v>
      </c>
      <c r="CX49">
        <v>42</v>
      </c>
      <c r="CY49">
        <v>42</v>
      </c>
      <c r="CZ49">
        <v>0</v>
      </c>
      <c r="DA49">
        <v>3</v>
      </c>
      <c r="DB49">
        <v>12</v>
      </c>
      <c r="DC49">
        <v>0</v>
      </c>
      <c r="DD49">
        <v>25</v>
      </c>
      <c r="DO49" t="s">
        <v>492</v>
      </c>
      <c r="DP49">
        <v>20</v>
      </c>
      <c r="DQ49">
        <v>441.5</v>
      </c>
      <c r="DR49">
        <v>20</v>
      </c>
      <c r="DS49">
        <v>409.4</v>
      </c>
      <c r="DV49" t="s">
        <v>492</v>
      </c>
      <c r="DW49">
        <v>-73.66</v>
      </c>
      <c r="DX49">
        <v>20</v>
      </c>
      <c r="DZ49" t="s">
        <v>422</v>
      </c>
      <c r="EA49">
        <v>20</v>
      </c>
      <c r="EB49">
        <v>-71.83</v>
      </c>
      <c r="EE49" t="s">
        <v>492</v>
      </c>
      <c r="EF49">
        <v>-48.198700000000002</v>
      </c>
      <c r="EG49">
        <v>20</v>
      </c>
      <c r="EI49" t="s">
        <v>426</v>
      </c>
      <c r="EJ49">
        <v>-56.1218</v>
      </c>
      <c r="EK49">
        <v>20</v>
      </c>
      <c r="EM49" t="s">
        <v>426</v>
      </c>
      <c r="EN49">
        <v>-71.599999999999994</v>
      </c>
      <c r="EP49" t="s">
        <v>426</v>
      </c>
      <c r="EQ49">
        <f t="shared" si="10"/>
        <v>15.478199999999994</v>
      </c>
      <c r="GK49">
        <v>2604222</v>
      </c>
      <c r="GL49">
        <v>42</v>
      </c>
      <c r="GM49">
        <v>42</v>
      </c>
      <c r="GN49">
        <v>0</v>
      </c>
      <c r="GO49">
        <v>3</v>
      </c>
      <c r="GP49">
        <v>18</v>
      </c>
      <c r="GQ49">
        <v>0</v>
      </c>
      <c r="GR49">
        <v>48</v>
      </c>
      <c r="HC49" t="s">
        <v>493</v>
      </c>
      <c r="HD49">
        <v>232.95</v>
      </c>
      <c r="HE49">
        <v>46</v>
      </c>
      <c r="HH49" t="s">
        <v>531</v>
      </c>
      <c r="HI49">
        <v>48</v>
      </c>
      <c r="HJ49">
        <v>172.3</v>
      </c>
      <c r="HL49" t="s">
        <v>493</v>
      </c>
      <c r="HM49">
        <v>-60.67</v>
      </c>
      <c r="HN49">
        <v>46</v>
      </c>
      <c r="HP49">
        <v>48</v>
      </c>
      <c r="HQ49">
        <v>-58.95</v>
      </c>
      <c r="HS49" t="s">
        <v>496</v>
      </c>
      <c r="HT49">
        <v>-58</v>
      </c>
      <c r="HU49">
        <f t="shared" si="12"/>
        <v>106</v>
      </c>
      <c r="HV49">
        <v>46</v>
      </c>
      <c r="HW49">
        <v>-41.203299999999999</v>
      </c>
      <c r="HX49">
        <v>48</v>
      </c>
      <c r="HY49">
        <v>17.746700000000001</v>
      </c>
      <c r="HZ49">
        <v>48</v>
      </c>
    </row>
    <row r="50" spans="1:255" ht="13.15" x14ac:dyDescent="0.4">
      <c r="A50" s="2">
        <v>1312212</v>
      </c>
      <c r="B50" s="2">
        <v>42</v>
      </c>
      <c r="C50" s="2">
        <v>42</v>
      </c>
      <c r="D50" s="2">
        <v>2</v>
      </c>
      <c r="E50" s="2">
        <v>6</v>
      </c>
      <c r="F50" s="2">
        <v>36</v>
      </c>
      <c r="G50" s="2">
        <v>2</v>
      </c>
      <c r="H50" s="2">
        <v>8</v>
      </c>
      <c r="J50">
        <v>8</v>
      </c>
      <c r="K50">
        <v>1.75</v>
      </c>
      <c r="P50" t="s">
        <v>671</v>
      </c>
      <c r="Q50">
        <v>525</v>
      </c>
      <c r="R50">
        <v>7</v>
      </c>
      <c r="T50" t="s">
        <v>491</v>
      </c>
      <c r="U50">
        <v>-45.16</v>
      </c>
      <c r="V50">
        <v>7</v>
      </c>
      <c r="X50">
        <v>-36.265599999999999</v>
      </c>
      <c r="Y50">
        <v>7</v>
      </c>
      <c r="AA50">
        <v>10.884399999999999</v>
      </c>
      <c r="AB50">
        <v>7</v>
      </c>
      <c r="CW50">
        <v>2507222</v>
      </c>
      <c r="CX50">
        <v>56</v>
      </c>
      <c r="CY50">
        <v>56</v>
      </c>
      <c r="CZ50">
        <v>0</v>
      </c>
      <c r="DO50" t="s">
        <v>495</v>
      </c>
      <c r="DP50">
        <v>20</v>
      </c>
      <c r="DQ50">
        <v>322.2</v>
      </c>
      <c r="DR50">
        <v>20</v>
      </c>
      <c r="DS50">
        <v>331.77</v>
      </c>
      <c r="DV50" t="s">
        <v>495</v>
      </c>
      <c r="DW50">
        <v>-61.8</v>
      </c>
      <c r="DX50">
        <v>20</v>
      </c>
      <c r="DZ50" t="s">
        <v>426</v>
      </c>
      <c r="EA50">
        <v>20</v>
      </c>
      <c r="EB50">
        <v>-71.599999999999994</v>
      </c>
      <c r="EE50" t="s">
        <v>495</v>
      </c>
      <c r="EF50">
        <v>-48.554200000000002</v>
      </c>
      <c r="EG50">
        <v>20</v>
      </c>
      <c r="EI50" t="s">
        <v>429</v>
      </c>
      <c r="EJ50">
        <v>-46.0792</v>
      </c>
      <c r="EK50">
        <v>20</v>
      </c>
      <c r="EM50" t="s">
        <v>429</v>
      </c>
      <c r="EN50">
        <v>-68.72</v>
      </c>
      <c r="EP50" t="s">
        <v>429</v>
      </c>
      <c r="EQ50">
        <f t="shared" si="10"/>
        <v>22.640799999999999</v>
      </c>
      <c r="ET50" s="63">
        <v>22</v>
      </c>
      <c r="EU50" s="63">
        <v>22</v>
      </c>
      <c r="EV50" s="63">
        <v>22</v>
      </c>
      <c r="EW50" s="63">
        <v>22</v>
      </c>
      <c r="EX50" s="63">
        <v>22</v>
      </c>
      <c r="EY50" s="63">
        <v>22</v>
      </c>
      <c r="EZ50" s="63">
        <v>22</v>
      </c>
      <c r="FA50" s="63">
        <v>22</v>
      </c>
      <c r="FB50" s="63">
        <v>22</v>
      </c>
      <c r="FC50" s="63">
        <v>22</v>
      </c>
      <c r="FD50" s="63">
        <v>22</v>
      </c>
      <c r="FE50" s="63">
        <v>22</v>
      </c>
      <c r="FF50" s="63">
        <v>22</v>
      </c>
      <c r="FG50" s="63">
        <v>22</v>
      </c>
      <c r="FH50" s="63">
        <v>22</v>
      </c>
      <c r="FI50" s="63">
        <v>22</v>
      </c>
      <c r="FJ50" s="63">
        <v>22</v>
      </c>
      <c r="FK50" s="63">
        <v>22</v>
      </c>
      <c r="GK50">
        <v>20622</v>
      </c>
      <c r="GL50">
        <v>12</v>
      </c>
      <c r="GM50">
        <v>30</v>
      </c>
      <c r="GN50">
        <v>0</v>
      </c>
      <c r="GR50">
        <v>48</v>
      </c>
      <c r="HC50" t="s">
        <v>496</v>
      </c>
      <c r="HD50">
        <v>197.25</v>
      </c>
      <c r="HE50">
        <v>46</v>
      </c>
      <c r="HH50" t="s">
        <v>535</v>
      </c>
      <c r="HI50">
        <v>48</v>
      </c>
      <c r="HJ50">
        <v>92.25</v>
      </c>
      <c r="HL50" t="s">
        <v>496</v>
      </c>
      <c r="HM50">
        <v>-58</v>
      </c>
      <c r="HN50">
        <v>46</v>
      </c>
      <c r="HP50">
        <v>48</v>
      </c>
      <c r="HQ50">
        <v>-54.61</v>
      </c>
      <c r="HS50" t="s">
        <v>499</v>
      </c>
      <c r="HT50">
        <v>-57.19</v>
      </c>
      <c r="HU50">
        <f t="shared" si="12"/>
        <v>105.19</v>
      </c>
      <c r="HV50">
        <v>46</v>
      </c>
      <c r="HW50">
        <v>-47.840899999999998</v>
      </c>
      <c r="HX50">
        <v>48</v>
      </c>
      <c r="HY50">
        <v>6.7690999999999999</v>
      </c>
      <c r="HZ50">
        <v>48</v>
      </c>
    </row>
    <row r="51" spans="1:255" ht="13.15" x14ac:dyDescent="0.4">
      <c r="A51" s="2">
        <v>201221</v>
      </c>
      <c r="B51" s="2">
        <v>20</v>
      </c>
      <c r="C51" s="2">
        <v>20</v>
      </c>
      <c r="D51" s="2">
        <v>1</v>
      </c>
      <c r="E51" s="2">
        <v>4</v>
      </c>
      <c r="F51" s="2">
        <v>16</v>
      </c>
      <c r="G51" s="2">
        <v>1</v>
      </c>
      <c r="H51" s="2">
        <v>8</v>
      </c>
      <c r="J51">
        <v>8</v>
      </c>
      <c r="K51">
        <v>1.61</v>
      </c>
      <c r="P51" t="s">
        <v>673</v>
      </c>
      <c r="Q51">
        <v>191.12</v>
      </c>
      <c r="R51">
        <v>7</v>
      </c>
      <c r="T51" t="s">
        <v>494</v>
      </c>
      <c r="U51">
        <v>-47.15</v>
      </c>
      <c r="V51">
        <v>7</v>
      </c>
      <c r="X51">
        <v>-38.467399999999998</v>
      </c>
      <c r="Y51">
        <v>7</v>
      </c>
      <c r="AA51">
        <v>23.492599999999999</v>
      </c>
      <c r="AB51">
        <v>7</v>
      </c>
      <c r="CX51" s="1">
        <f>SUM(CX34:CX50)</f>
        <v>674</v>
      </c>
      <c r="CZ51" s="1">
        <f>SUM(CZ34:CZ50)</f>
        <v>8</v>
      </c>
      <c r="DB51" s="1">
        <f>SUM(DB34:DB50)</f>
        <v>304</v>
      </c>
      <c r="DC51" s="1">
        <f>SUM(DC34:DC50)</f>
        <v>8</v>
      </c>
      <c r="DO51" t="s">
        <v>498</v>
      </c>
      <c r="DP51">
        <v>20</v>
      </c>
      <c r="DQ51">
        <v>492.8</v>
      </c>
      <c r="DR51">
        <v>20</v>
      </c>
      <c r="DS51">
        <v>350.1</v>
      </c>
      <c r="DV51" t="s">
        <v>498</v>
      </c>
      <c r="DW51">
        <v>-70.819999999999993</v>
      </c>
      <c r="DX51">
        <v>20</v>
      </c>
      <c r="DZ51" t="s">
        <v>429</v>
      </c>
      <c r="EA51">
        <v>20</v>
      </c>
      <c r="EB51">
        <v>-68.72</v>
      </c>
      <c r="EE51" t="s">
        <v>498</v>
      </c>
      <c r="EF51">
        <v>-36.601199999999999</v>
      </c>
      <c r="EG51">
        <v>20</v>
      </c>
      <c r="EI51" t="s">
        <v>432</v>
      </c>
      <c r="EJ51">
        <v>-53.945900000000002</v>
      </c>
      <c r="EK51">
        <v>20</v>
      </c>
      <c r="EM51" t="s">
        <v>432</v>
      </c>
      <c r="EN51">
        <v>-81.709999999999994</v>
      </c>
      <c r="EP51" t="s">
        <v>432</v>
      </c>
      <c r="EQ51">
        <f t="shared" si="10"/>
        <v>27.764099999999992</v>
      </c>
      <c r="ES51" t="s">
        <v>887</v>
      </c>
      <c r="ET51" t="s">
        <v>516</v>
      </c>
      <c r="EU51" t="s">
        <v>519</v>
      </c>
      <c r="EV51" t="s">
        <v>522</v>
      </c>
      <c r="EW51" t="s">
        <v>526</v>
      </c>
      <c r="EX51" t="s">
        <v>530</v>
      </c>
      <c r="EY51" t="s">
        <v>534</v>
      </c>
      <c r="EZ51" t="s">
        <v>538</v>
      </c>
      <c r="FA51" t="s">
        <v>542</v>
      </c>
      <c r="FB51" t="s">
        <v>546</v>
      </c>
      <c r="FC51" t="s">
        <v>550</v>
      </c>
      <c r="FD51" t="s">
        <v>554</v>
      </c>
      <c r="FE51" t="s">
        <v>610</v>
      </c>
      <c r="FF51" t="s">
        <v>613</v>
      </c>
      <c r="FG51" t="s">
        <v>616</v>
      </c>
      <c r="FH51" t="s">
        <v>619</v>
      </c>
      <c r="FI51" t="s">
        <v>622</v>
      </c>
      <c r="FJ51" t="s">
        <v>625</v>
      </c>
      <c r="FK51" t="s">
        <v>628</v>
      </c>
      <c r="GK51">
        <v>70622</v>
      </c>
      <c r="GL51">
        <v>56</v>
      </c>
      <c r="GM51">
        <v>56</v>
      </c>
      <c r="GN51">
        <v>0</v>
      </c>
      <c r="GO51">
        <v>1</v>
      </c>
      <c r="GP51">
        <v>7</v>
      </c>
      <c r="GQ51">
        <v>0</v>
      </c>
      <c r="GR51">
        <v>48</v>
      </c>
      <c r="HC51" t="s">
        <v>499</v>
      </c>
      <c r="HD51">
        <v>137.69999999999999</v>
      </c>
      <c r="HE51">
        <v>46</v>
      </c>
      <c r="HH51" t="s">
        <v>539</v>
      </c>
      <c r="HI51">
        <v>48</v>
      </c>
      <c r="HJ51">
        <v>248.15</v>
      </c>
      <c r="HL51" t="s">
        <v>499</v>
      </c>
      <c r="HM51">
        <v>-57.19</v>
      </c>
      <c r="HN51">
        <v>46</v>
      </c>
      <c r="HP51">
        <v>48</v>
      </c>
      <c r="HQ51">
        <v>-62.71</v>
      </c>
      <c r="HS51" t="s">
        <v>502</v>
      </c>
      <c r="HT51">
        <v>-44</v>
      </c>
      <c r="HU51">
        <f t="shared" si="12"/>
        <v>92</v>
      </c>
      <c r="HV51">
        <v>46</v>
      </c>
      <c r="HW51">
        <v>-40.499899999999997</v>
      </c>
      <c r="HX51">
        <v>48</v>
      </c>
      <c r="HY51">
        <v>22.210100000000001</v>
      </c>
      <c r="HZ51">
        <v>48</v>
      </c>
    </row>
    <row r="52" spans="1:255" ht="13.15" x14ac:dyDescent="0.4">
      <c r="A52" s="2">
        <v>221221</v>
      </c>
      <c r="B52" s="2">
        <v>56</v>
      </c>
      <c r="C52" s="2">
        <v>56</v>
      </c>
      <c r="D52" s="2">
        <v>2</v>
      </c>
      <c r="E52" s="2">
        <v>8</v>
      </c>
      <c r="F52" s="2">
        <v>56</v>
      </c>
      <c r="G52" s="2">
        <v>2</v>
      </c>
      <c r="H52" s="2">
        <v>8</v>
      </c>
      <c r="J52">
        <v>8</v>
      </c>
      <c r="K52">
        <v>2.27</v>
      </c>
      <c r="P52" t="s">
        <v>675</v>
      </c>
      <c r="Q52">
        <v>640.29999999999995</v>
      </c>
      <c r="R52">
        <v>7</v>
      </c>
      <c r="T52" t="s">
        <v>740</v>
      </c>
      <c r="U52">
        <v>-61.96</v>
      </c>
      <c r="V52">
        <v>7</v>
      </c>
      <c r="X52">
        <v>-37.659999999999997</v>
      </c>
      <c r="Y52">
        <v>7</v>
      </c>
      <c r="AA52">
        <v>16.34</v>
      </c>
      <c r="AB52">
        <v>7</v>
      </c>
      <c r="DO52" t="s">
        <v>501</v>
      </c>
      <c r="DP52">
        <v>21</v>
      </c>
      <c r="DQ52">
        <v>283.89999999999998</v>
      </c>
      <c r="DR52">
        <v>20</v>
      </c>
      <c r="DS52">
        <v>477.8</v>
      </c>
      <c r="DV52" t="s">
        <v>501</v>
      </c>
      <c r="DW52">
        <v>-74.62</v>
      </c>
      <c r="DX52">
        <v>21</v>
      </c>
      <c r="DZ52" t="s">
        <v>432</v>
      </c>
      <c r="EA52">
        <v>20</v>
      </c>
      <c r="EB52">
        <v>-81.709999999999994</v>
      </c>
      <c r="EE52" t="s">
        <v>501</v>
      </c>
      <c r="EF52">
        <v>-49.568899999999999</v>
      </c>
      <c r="EG52">
        <v>21</v>
      </c>
      <c r="EI52" t="s">
        <v>435</v>
      </c>
      <c r="EJ52">
        <v>-43.243400000000001</v>
      </c>
      <c r="EK52">
        <v>20</v>
      </c>
      <c r="EM52" t="s">
        <v>435</v>
      </c>
      <c r="EN52">
        <v>-64.41</v>
      </c>
      <c r="EP52" t="s">
        <v>435</v>
      </c>
      <c r="EQ52">
        <f t="shared" si="10"/>
        <v>21.166599999999995</v>
      </c>
      <c r="ES52">
        <v>50</v>
      </c>
      <c r="ET52">
        <v>0</v>
      </c>
      <c r="EU52">
        <v>0</v>
      </c>
      <c r="EV52">
        <v>0</v>
      </c>
      <c r="EW52">
        <v>3.5</v>
      </c>
      <c r="EX52">
        <v>0</v>
      </c>
      <c r="EY52">
        <v>0</v>
      </c>
      <c r="EZ52">
        <v>2</v>
      </c>
      <c r="FA52">
        <v>5.5</v>
      </c>
      <c r="FB52">
        <v>0</v>
      </c>
      <c r="FC52">
        <v>3</v>
      </c>
      <c r="FD52">
        <v>1.5</v>
      </c>
      <c r="FE52">
        <v>0</v>
      </c>
      <c r="FF52">
        <v>0</v>
      </c>
      <c r="FG52">
        <v>0.5</v>
      </c>
      <c r="FH52">
        <v>0.5</v>
      </c>
      <c r="FI52">
        <v>0</v>
      </c>
      <c r="FJ52">
        <v>1</v>
      </c>
      <c r="FK52">
        <v>0</v>
      </c>
      <c r="FL52" s="1">
        <f t="shared" ref="FL52:FL59" si="15">AVERAGE(ET52:FK52)</f>
        <v>0.97222222222222221</v>
      </c>
      <c r="GK52">
        <v>706222</v>
      </c>
      <c r="GL52">
        <v>42</v>
      </c>
      <c r="GM52">
        <v>56</v>
      </c>
      <c r="GN52">
        <v>0</v>
      </c>
      <c r="GR52">
        <v>48</v>
      </c>
      <c r="HC52" t="s">
        <v>502</v>
      </c>
      <c r="HD52">
        <v>64.92</v>
      </c>
      <c r="HE52">
        <v>46</v>
      </c>
      <c r="HH52" t="s">
        <v>543</v>
      </c>
      <c r="HI52">
        <v>48</v>
      </c>
      <c r="HJ52">
        <v>191.6</v>
      </c>
      <c r="HL52" t="s">
        <v>502</v>
      </c>
      <c r="HM52">
        <v>-44</v>
      </c>
      <c r="HN52">
        <v>46</v>
      </c>
      <c r="HP52">
        <v>48</v>
      </c>
      <c r="HQ52">
        <v>-61.55</v>
      </c>
      <c r="HS52" t="s">
        <v>505</v>
      </c>
      <c r="HT52">
        <v>-63.18</v>
      </c>
      <c r="HU52">
        <f t="shared" si="12"/>
        <v>111.18</v>
      </c>
      <c r="HV52">
        <v>46</v>
      </c>
      <c r="HW52">
        <v>-41.648099999999999</v>
      </c>
      <c r="HX52">
        <v>48</v>
      </c>
      <c r="HY52">
        <v>19.901900000000001</v>
      </c>
      <c r="HZ52">
        <v>48</v>
      </c>
      <c r="IC52" s="64">
        <v>49</v>
      </c>
      <c r="ID52" s="64">
        <v>49</v>
      </c>
      <c r="IE52" s="64">
        <v>49</v>
      </c>
      <c r="IF52" s="64">
        <v>49</v>
      </c>
      <c r="IG52" s="64">
        <v>49</v>
      </c>
      <c r="IH52" s="64">
        <v>49</v>
      </c>
      <c r="II52" s="64">
        <v>49</v>
      </c>
      <c r="IJ52" s="64">
        <v>49</v>
      </c>
      <c r="IK52" s="64">
        <v>49</v>
      </c>
      <c r="IL52" s="64">
        <v>49</v>
      </c>
      <c r="IM52" s="64">
        <v>49</v>
      </c>
      <c r="IN52" s="64">
        <v>49</v>
      </c>
      <c r="IO52" s="64">
        <v>49</v>
      </c>
      <c r="IP52" s="64">
        <v>49</v>
      </c>
      <c r="IQ52" s="64">
        <v>49</v>
      </c>
      <c r="IR52" s="64">
        <v>49</v>
      </c>
      <c r="IS52" s="64">
        <v>49</v>
      </c>
      <c r="IT52" s="64">
        <v>49</v>
      </c>
    </row>
    <row r="53" spans="1:255" ht="13.15" x14ac:dyDescent="0.4">
      <c r="A53">
        <v>250122</v>
      </c>
      <c r="B53">
        <v>12</v>
      </c>
      <c r="C53">
        <v>12</v>
      </c>
      <c r="H53">
        <v>8</v>
      </c>
      <c r="J53">
        <v>8</v>
      </c>
      <c r="K53">
        <v>3.5</v>
      </c>
      <c r="P53" t="s">
        <v>677</v>
      </c>
      <c r="Q53">
        <v>283.32</v>
      </c>
      <c r="R53">
        <v>7</v>
      </c>
      <c r="T53" t="s">
        <v>497</v>
      </c>
      <c r="U53">
        <v>-54</v>
      </c>
      <c r="V53">
        <v>7</v>
      </c>
      <c r="X53">
        <v>-33.999000000000002</v>
      </c>
      <c r="Y53">
        <v>7</v>
      </c>
      <c r="AA53">
        <v>23.221</v>
      </c>
      <c r="AB53">
        <v>7</v>
      </c>
      <c r="CW53" s="43" t="s">
        <v>909</v>
      </c>
      <c r="CX53" s="43"/>
      <c r="CY53" s="43"/>
      <c r="DB53" s="43" t="s">
        <v>909</v>
      </c>
      <c r="DC53" s="43"/>
      <c r="DD53" s="43"/>
      <c r="DO53" t="s">
        <v>504</v>
      </c>
      <c r="DP53">
        <v>21</v>
      </c>
      <c r="DQ53">
        <v>312.45</v>
      </c>
      <c r="DR53">
        <v>20</v>
      </c>
      <c r="DS53">
        <v>587.5</v>
      </c>
      <c r="DV53" t="s">
        <v>504</v>
      </c>
      <c r="DW53">
        <v>-67.290000000000006</v>
      </c>
      <c r="DX53">
        <v>21</v>
      </c>
      <c r="DZ53" t="s">
        <v>435</v>
      </c>
      <c r="EA53">
        <v>20</v>
      </c>
      <c r="EB53">
        <v>-64.41</v>
      </c>
      <c r="EE53" t="s">
        <v>504</v>
      </c>
      <c r="EF53">
        <v>-52.1721</v>
      </c>
      <c r="EG53">
        <v>21</v>
      </c>
      <c r="EI53" t="s">
        <v>438</v>
      </c>
      <c r="EJ53">
        <v>-46.586599999999997</v>
      </c>
      <c r="EK53">
        <v>20</v>
      </c>
      <c r="EM53" t="s">
        <v>438</v>
      </c>
      <c r="EN53">
        <v>-57.72</v>
      </c>
      <c r="EP53" t="s">
        <v>438</v>
      </c>
      <c r="EQ53">
        <f t="shared" si="10"/>
        <v>11.133400000000002</v>
      </c>
      <c r="ES53">
        <v>100</v>
      </c>
      <c r="ET53">
        <v>1</v>
      </c>
      <c r="EU53">
        <v>0</v>
      </c>
      <c r="EV53">
        <v>0</v>
      </c>
      <c r="EW53">
        <v>7.5</v>
      </c>
      <c r="EX53">
        <v>0</v>
      </c>
      <c r="EY53">
        <v>0.5</v>
      </c>
      <c r="EZ53">
        <v>5</v>
      </c>
      <c r="FA53">
        <v>6.5</v>
      </c>
      <c r="FB53">
        <v>0</v>
      </c>
      <c r="FC53">
        <v>4</v>
      </c>
      <c r="FD53">
        <v>4</v>
      </c>
      <c r="FE53">
        <v>0</v>
      </c>
      <c r="FF53">
        <v>0</v>
      </c>
      <c r="FG53">
        <v>3</v>
      </c>
      <c r="FH53">
        <v>2</v>
      </c>
      <c r="FI53">
        <v>0</v>
      </c>
      <c r="FJ53">
        <v>2</v>
      </c>
      <c r="FK53">
        <v>0</v>
      </c>
      <c r="FL53" s="1">
        <f t="shared" si="15"/>
        <v>1.9722222222222223</v>
      </c>
      <c r="GK53">
        <v>90622</v>
      </c>
      <c r="GL53">
        <v>20</v>
      </c>
      <c r="GM53">
        <v>20</v>
      </c>
      <c r="GN53">
        <v>0</v>
      </c>
      <c r="GR53">
        <v>48</v>
      </c>
      <c r="HC53" t="s">
        <v>505</v>
      </c>
      <c r="HD53">
        <v>204.22</v>
      </c>
      <c r="HE53">
        <v>46</v>
      </c>
      <c r="HH53" t="s">
        <v>547</v>
      </c>
      <c r="HI53">
        <v>48</v>
      </c>
      <c r="HJ53">
        <v>96.75</v>
      </c>
      <c r="HL53" t="s">
        <v>505</v>
      </c>
      <c r="HM53">
        <v>-63.18</v>
      </c>
      <c r="HN53">
        <v>46</v>
      </c>
      <c r="HP53">
        <v>48</v>
      </c>
      <c r="HQ53">
        <v>-65.349999999999994</v>
      </c>
      <c r="HS53" t="s">
        <v>508</v>
      </c>
      <c r="HT53">
        <v>-67.03</v>
      </c>
      <c r="HU53">
        <f t="shared" si="12"/>
        <v>115.03</v>
      </c>
      <c r="HV53">
        <v>47</v>
      </c>
      <c r="HW53">
        <v>-49.103499999999997</v>
      </c>
      <c r="HX53">
        <v>48</v>
      </c>
      <c r="HY53">
        <v>16.246500000000001</v>
      </c>
      <c r="HZ53">
        <v>48</v>
      </c>
      <c r="IB53" t="s">
        <v>887</v>
      </c>
      <c r="IC53" t="s">
        <v>413</v>
      </c>
      <c r="ID53" t="s">
        <v>416</v>
      </c>
      <c r="IE53" t="s">
        <v>419</v>
      </c>
      <c r="IF53" t="s">
        <v>423</v>
      </c>
      <c r="IG53" t="s">
        <v>427</v>
      </c>
      <c r="IH53" t="s">
        <v>430</v>
      </c>
      <c r="II53" t="s">
        <v>433</v>
      </c>
      <c r="IJ53" t="s">
        <v>436</v>
      </c>
      <c r="IK53" t="s">
        <v>596</v>
      </c>
      <c r="IL53" t="s">
        <v>599</v>
      </c>
      <c r="IM53" t="s">
        <v>602</v>
      </c>
      <c r="IN53" t="s">
        <v>605</v>
      </c>
      <c r="IO53" t="s">
        <v>608</v>
      </c>
      <c r="IP53" t="s">
        <v>611</v>
      </c>
      <c r="IQ53" t="s">
        <v>614</v>
      </c>
      <c r="IR53" t="s">
        <v>617</v>
      </c>
      <c r="IS53" t="s">
        <v>620</v>
      </c>
      <c r="IT53" t="s">
        <v>623</v>
      </c>
      <c r="IU53" s="1" t="s">
        <v>897</v>
      </c>
    </row>
    <row r="54" spans="1:255" ht="13.15" x14ac:dyDescent="0.4">
      <c r="A54" s="2">
        <v>2501222</v>
      </c>
      <c r="B54" s="2">
        <v>54</v>
      </c>
      <c r="C54" s="2">
        <v>54</v>
      </c>
      <c r="D54" s="2">
        <v>5</v>
      </c>
      <c r="E54" s="2">
        <v>4</v>
      </c>
      <c r="F54" s="2">
        <v>20</v>
      </c>
      <c r="G54" s="2">
        <v>5</v>
      </c>
      <c r="H54" s="2">
        <v>8</v>
      </c>
      <c r="J54">
        <v>8</v>
      </c>
      <c r="K54">
        <v>2.17</v>
      </c>
      <c r="Q54" s="1">
        <f>AVERAGE(Q3:Q53)</f>
        <v>545.76176470588246</v>
      </c>
      <c r="T54" t="s">
        <v>500</v>
      </c>
      <c r="U54">
        <v>-57.22</v>
      </c>
      <c r="V54">
        <v>7</v>
      </c>
      <c r="X54">
        <v>-35.533000000000001</v>
      </c>
      <c r="Y54">
        <v>7</v>
      </c>
      <c r="AA54">
        <v>8.0969999999999995</v>
      </c>
      <c r="AB54">
        <v>7</v>
      </c>
      <c r="CW54" t="s">
        <v>8</v>
      </c>
      <c r="CX54" t="s">
        <v>131</v>
      </c>
      <c r="CY54" t="s">
        <v>132</v>
      </c>
      <c r="DB54" t="s">
        <v>8</v>
      </c>
      <c r="DC54" t="s">
        <v>131</v>
      </c>
      <c r="DD54" t="s">
        <v>132</v>
      </c>
      <c r="DO54" t="s">
        <v>507</v>
      </c>
      <c r="DP54">
        <v>21</v>
      </c>
      <c r="DQ54">
        <v>129.91999999999999</v>
      </c>
      <c r="DR54">
        <v>20</v>
      </c>
      <c r="DS54">
        <v>354.42</v>
      </c>
      <c r="DV54" t="s">
        <v>507</v>
      </c>
      <c r="DW54">
        <v>-61.09</v>
      </c>
      <c r="DX54">
        <v>21</v>
      </c>
      <c r="DZ54" t="s">
        <v>438</v>
      </c>
      <c r="EA54">
        <v>20</v>
      </c>
      <c r="EB54">
        <v>-57.72</v>
      </c>
      <c r="EE54" t="s">
        <v>507</v>
      </c>
      <c r="EF54">
        <v>-50.2258</v>
      </c>
      <c r="EG54">
        <v>21</v>
      </c>
      <c r="EI54" t="s">
        <v>441</v>
      </c>
      <c r="EJ54">
        <v>-40.820300000000003</v>
      </c>
      <c r="EK54">
        <v>20</v>
      </c>
      <c r="EM54" t="s">
        <v>441</v>
      </c>
      <c r="EN54">
        <v>-59.39</v>
      </c>
      <c r="EP54" t="s">
        <v>441</v>
      </c>
      <c r="EQ54">
        <f t="shared" si="10"/>
        <v>18.569699999999997</v>
      </c>
      <c r="ES54">
        <v>150</v>
      </c>
      <c r="ET54">
        <v>3</v>
      </c>
      <c r="EU54">
        <v>1</v>
      </c>
      <c r="EV54">
        <v>1</v>
      </c>
      <c r="EW54">
        <v>11.5</v>
      </c>
      <c r="EX54">
        <v>0.5</v>
      </c>
      <c r="EY54">
        <v>1</v>
      </c>
      <c r="EZ54">
        <v>8.5</v>
      </c>
      <c r="FA54">
        <v>6.5</v>
      </c>
      <c r="FB54">
        <v>1</v>
      </c>
      <c r="FC54">
        <v>7</v>
      </c>
      <c r="FD54">
        <v>5.5</v>
      </c>
      <c r="FE54">
        <v>1</v>
      </c>
      <c r="FF54">
        <v>1</v>
      </c>
      <c r="FG54">
        <v>5.5</v>
      </c>
      <c r="FH54">
        <v>3.5</v>
      </c>
      <c r="FI54">
        <v>0.5</v>
      </c>
      <c r="FJ54">
        <v>2.5</v>
      </c>
      <c r="FK54">
        <v>0</v>
      </c>
      <c r="FL54" s="1">
        <f t="shared" si="15"/>
        <v>3.3611111111111112</v>
      </c>
      <c r="GK54">
        <v>906222</v>
      </c>
      <c r="GL54">
        <v>30</v>
      </c>
      <c r="GM54">
        <v>30</v>
      </c>
      <c r="GN54">
        <v>0</v>
      </c>
      <c r="GR54">
        <v>48</v>
      </c>
      <c r="HC54" t="s">
        <v>508</v>
      </c>
      <c r="HD54">
        <v>186.12</v>
      </c>
      <c r="HE54">
        <v>47</v>
      </c>
      <c r="HH54" t="s">
        <v>551</v>
      </c>
      <c r="HI54">
        <v>48</v>
      </c>
      <c r="HJ54">
        <v>255.4</v>
      </c>
      <c r="HL54" t="s">
        <v>508</v>
      </c>
      <c r="HM54">
        <v>-67.03</v>
      </c>
      <c r="HN54">
        <v>47</v>
      </c>
      <c r="HP54">
        <v>48</v>
      </c>
      <c r="HQ54">
        <v>-63.82</v>
      </c>
      <c r="HS54" t="s">
        <v>511</v>
      </c>
      <c r="HT54">
        <v>-54.94</v>
      </c>
      <c r="HU54">
        <f t="shared" si="12"/>
        <v>102.94</v>
      </c>
      <c r="HV54">
        <v>47</v>
      </c>
      <c r="HW54">
        <v>-41.182699999999997</v>
      </c>
      <c r="HX54">
        <v>48</v>
      </c>
      <c r="HY54">
        <v>22.6373</v>
      </c>
      <c r="HZ54">
        <v>48</v>
      </c>
      <c r="IB54">
        <v>50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2</v>
      </c>
      <c r="IM54">
        <v>0</v>
      </c>
      <c r="IN54">
        <v>0</v>
      </c>
      <c r="IO54">
        <v>0</v>
      </c>
      <c r="IP54">
        <v>0</v>
      </c>
      <c r="IQ54">
        <v>0.5</v>
      </c>
      <c r="IR54">
        <v>0</v>
      </c>
      <c r="IS54">
        <v>0</v>
      </c>
      <c r="IT54">
        <v>0</v>
      </c>
      <c r="IU54" s="1">
        <f t="shared" ref="IU54:IU61" si="16">AVERAGE(IC54:IT54)</f>
        <v>0.1388888888888889</v>
      </c>
    </row>
    <row r="55" spans="1:255" ht="13.15" x14ac:dyDescent="0.4">
      <c r="A55" s="2">
        <v>10222</v>
      </c>
      <c r="B55" s="2">
        <v>12</v>
      </c>
      <c r="C55" s="2">
        <v>14</v>
      </c>
      <c r="D55" s="2">
        <v>1</v>
      </c>
      <c r="E55" s="2">
        <v>1</v>
      </c>
      <c r="F55" s="2">
        <v>3</v>
      </c>
      <c r="G55" s="2">
        <v>1</v>
      </c>
      <c r="H55" s="2">
        <v>8</v>
      </c>
      <c r="J55">
        <v>8</v>
      </c>
      <c r="K55">
        <v>2.3199999999999998</v>
      </c>
      <c r="T55" t="s">
        <v>503</v>
      </c>
      <c r="U55">
        <v>-43.63</v>
      </c>
      <c r="V55">
        <v>7</v>
      </c>
      <c r="X55">
        <v>-35.828400000000002</v>
      </c>
      <c r="Y55">
        <v>7</v>
      </c>
      <c r="AA55">
        <v>20.451599999999999</v>
      </c>
      <c r="AB55">
        <v>7</v>
      </c>
      <c r="CW55">
        <v>8</v>
      </c>
      <c r="CX55">
        <v>674</v>
      </c>
      <c r="CY55" s="1">
        <f>Supplementary_Fig4!CW55*100/Supplementary_Fig4!CX55</f>
        <v>1.1869436201780414</v>
      </c>
      <c r="DB55">
        <v>8</v>
      </c>
      <c r="DC55">
        <v>304</v>
      </c>
      <c r="DD55" s="1">
        <f>Supplementary_Fig4!DB55*100/Supplementary_Fig4!DC55</f>
        <v>2.6315789473684212</v>
      </c>
      <c r="DO55" t="s">
        <v>510</v>
      </c>
      <c r="DP55">
        <v>21</v>
      </c>
      <c r="DQ55">
        <v>252.67</v>
      </c>
      <c r="DR55">
        <v>20</v>
      </c>
      <c r="DS55">
        <v>365.62</v>
      </c>
      <c r="DV55" t="s">
        <v>510</v>
      </c>
      <c r="DW55">
        <v>-62.37</v>
      </c>
      <c r="DX55">
        <v>21</v>
      </c>
      <c r="DZ55" t="s">
        <v>441</v>
      </c>
      <c r="EA55">
        <v>20</v>
      </c>
      <c r="EB55">
        <v>-59.39</v>
      </c>
      <c r="EE55" t="s">
        <v>510</v>
      </c>
      <c r="EF55">
        <v>-58.031500000000001</v>
      </c>
      <c r="EG55">
        <v>21</v>
      </c>
      <c r="EI55" t="s">
        <v>444</v>
      </c>
      <c r="EJ55">
        <v>-34.067500000000003</v>
      </c>
      <c r="EK55">
        <v>20</v>
      </c>
      <c r="EM55" t="s">
        <v>444</v>
      </c>
      <c r="EN55">
        <v>-66.400000000000006</v>
      </c>
      <c r="EP55" t="s">
        <v>444</v>
      </c>
      <c r="EQ55">
        <f t="shared" si="10"/>
        <v>32.332500000000003</v>
      </c>
      <c r="ES55">
        <v>200</v>
      </c>
      <c r="ET55">
        <v>6</v>
      </c>
      <c r="EU55">
        <v>1.5</v>
      </c>
      <c r="EV55">
        <v>1</v>
      </c>
      <c r="EW55">
        <v>16</v>
      </c>
      <c r="EX55">
        <v>1</v>
      </c>
      <c r="EY55">
        <v>1</v>
      </c>
      <c r="EZ55">
        <v>10</v>
      </c>
      <c r="FA55">
        <v>9</v>
      </c>
      <c r="FB55">
        <v>2</v>
      </c>
      <c r="FC55">
        <v>6.5</v>
      </c>
      <c r="FD55">
        <v>6.5</v>
      </c>
      <c r="FE55">
        <v>1.5</v>
      </c>
      <c r="FF55">
        <v>2</v>
      </c>
      <c r="FG55">
        <v>5.5</v>
      </c>
      <c r="FH55">
        <v>4.5</v>
      </c>
      <c r="FI55">
        <v>1.5</v>
      </c>
      <c r="FJ55">
        <v>5</v>
      </c>
      <c r="FK55">
        <v>0.5</v>
      </c>
      <c r="FL55" s="1">
        <f t="shared" si="15"/>
        <v>4.5</v>
      </c>
      <c r="GK55">
        <v>260123</v>
      </c>
      <c r="GL55">
        <v>56</v>
      </c>
      <c r="GM55">
        <v>56</v>
      </c>
      <c r="GN55">
        <v>0</v>
      </c>
      <c r="GR55">
        <v>48</v>
      </c>
      <c r="HC55" t="s">
        <v>511</v>
      </c>
      <c r="HD55">
        <v>142.47</v>
      </c>
      <c r="HE55">
        <v>47</v>
      </c>
      <c r="HH55" t="s">
        <v>555</v>
      </c>
      <c r="HI55">
        <v>48</v>
      </c>
      <c r="HJ55">
        <v>175.62</v>
      </c>
      <c r="HL55" t="s">
        <v>511</v>
      </c>
      <c r="HM55">
        <v>-54.94</v>
      </c>
      <c r="HN55">
        <v>47</v>
      </c>
      <c r="HP55">
        <v>48</v>
      </c>
      <c r="HQ55">
        <v>-69.260000000000005</v>
      </c>
      <c r="HS55" t="s">
        <v>514</v>
      </c>
      <c r="HT55">
        <v>-65.39</v>
      </c>
      <c r="HU55">
        <f t="shared" si="12"/>
        <v>113.39</v>
      </c>
      <c r="HV55">
        <v>47</v>
      </c>
      <c r="HW55">
        <v>-43.1053</v>
      </c>
      <c r="HX55">
        <v>48</v>
      </c>
      <c r="HY55">
        <v>26.154699999999998</v>
      </c>
      <c r="HZ55">
        <v>48</v>
      </c>
      <c r="IB55">
        <v>100</v>
      </c>
      <c r="IC55">
        <v>0.5</v>
      </c>
      <c r="ID55">
        <v>1</v>
      </c>
      <c r="IE55">
        <v>0</v>
      </c>
      <c r="IF55">
        <v>1</v>
      </c>
      <c r="IG55">
        <v>0</v>
      </c>
      <c r="IH55">
        <v>0</v>
      </c>
      <c r="II55">
        <v>0</v>
      </c>
      <c r="IJ55">
        <v>1</v>
      </c>
      <c r="IK55">
        <v>0</v>
      </c>
      <c r="IL55">
        <v>2.5</v>
      </c>
      <c r="IM55">
        <v>1</v>
      </c>
      <c r="IN55">
        <v>0</v>
      </c>
      <c r="IO55">
        <v>0</v>
      </c>
      <c r="IP55">
        <v>0</v>
      </c>
      <c r="IQ55">
        <v>1</v>
      </c>
      <c r="IR55">
        <v>1</v>
      </c>
      <c r="IS55">
        <v>0</v>
      </c>
      <c r="IT55">
        <v>2</v>
      </c>
      <c r="IU55" s="1">
        <f t="shared" si="16"/>
        <v>0.61111111111111116</v>
      </c>
    </row>
    <row r="56" spans="1:255" ht="13.15" x14ac:dyDescent="0.4">
      <c r="A56" s="2">
        <v>102222</v>
      </c>
      <c r="B56" s="2">
        <v>42</v>
      </c>
      <c r="C56" s="2">
        <v>36</v>
      </c>
      <c r="D56" s="2">
        <v>1</v>
      </c>
      <c r="E56" s="2"/>
      <c r="F56" s="2"/>
      <c r="G56" s="2"/>
      <c r="H56" s="2">
        <v>8</v>
      </c>
      <c r="J56">
        <v>8</v>
      </c>
      <c r="K56">
        <v>3.92</v>
      </c>
      <c r="T56" t="s">
        <v>506</v>
      </c>
      <c r="U56">
        <v>-56.28</v>
      </c>
      <c r="V56">
        <v>7</v>
      </c>
      <c r="X56">
        <v>-36.01</v>
      </c>
      <c r="Y56">
        <v>7</v>
      </c>
      <c r="AA56">
        <v>8.4600000000000009</v>
      </c>
      <c r="AB56">
        <v>7</v>
      </c>
      <c r="DO56" t="s">
        <v>513</v>
      </c>
      <c r="DP56">
        <v>21</v>
      </c>
      <c r="DQ56">
        <v>458.8</v>
      </c>
      <c r="DR56">
        <v>20</v>
      </c>
      <c r="DS56">
        <v>282.55</v>
      </c>
      <c r="DV56" t="s">
        <v>513</v>
      </c>
      <c r="DW56">
        <v>-69.95</v>
      </c>
      <c r="DX56">
        <v>21</v>
      </c>
      <c r="DZ56" t="s">
        <v>444</v>
      </c>
      <c r="EA56">
        <v>20</v>
      </c>
      <c r="EB56">
        <v>-66.400000000000006</v>
      </c>
      <c r="EE56" t="s">
        <v>513</v>
      </c>
      <c r="EF56">
        <v>-52.2438</v>
      </c>
      <c r="EG56">
        <v>21</v>
      </c>
      <c r="EI56" t="s">
        <v>447</v>
      </c>
      <c r="EJ56">
        <v>-40.341900000000003</v>
      </c>
      <c r="EK56">
        <v>20</v>
      </c>
      <c r="EM56" t="s">
        <v>447</v>
      </c>
      <c r="EN56">
        <v>-66.650000000000006</v>
      </c>
      <c r="EP56" t="s">
        <v>447</v>
      </c>
      <c r="EQ56">
        <f t="shared" si="10"/>
        <v>26.308100000000003</v>
      </c>
      <c r="ES56">
        <v>250</v>
      </c>
      <c r="ET56">
        <v>8</v>
      </c>
      <c r="EU56">
        <v>2</v>
      </c>
      <c r="EV56">
        <v>2.5</v>
      </c>
      <c r="EW56">
        <v>17</v>
      </c>
      <c r="EX56">
        <v>1</v>
      </c>
      <c r="EY56">
        <v>1.5</v>
      </c>
      <c r="EZ56">
        <v>12.5</v>
      </c>
      <c r="FA56">
        <v>8.5</v>
      </c>
      <c r="FB56">
        <v>2</v>
      </c>
      <c r="FC56">
        <v>8.5</v>
      </c>
      <c r="FD56">
        <v>7</v>
      </c>
      <c r="FE56">
        <v>2.5</v>
      </c>
      <c r="FF56">
        <v>3</v>
      </c>
      <c r="FG56">
        <v>8.5</v>
      </c>
      <c r="FH56">
        <v>6</v>
      </c>
      <c r="FI56">
        <v>2</v>
      </c>
      <c r="FJ56">
        <v>5</v>
      </c>
      <c r="FK56">
        <v>0.5</v>
      </c>
      <c r="FL56" s="1">
        <f t="shared" si="15"/>
        <v>5.4444444444444446</v>
      </c>
      <c r="GK56">
        <v>270323</v>
      </c>
      <c r="GL56">
        <v>56</v>
      </c>
      <c r="GM56">
        <v>56</v>
      </c>
      <c r="GN56">
        <v>0</v>
      </c>
      <c r="GO56">
        <v>4</v>
      </c>
      <c r="GP56">
        <v>28</v>
      </c>
      <c r="GQ56">
        <v>0</v>
      </c>
      <c r="GR56">
        <v>48</v>
      </c>
      <c r="HC56" t="s">
        <v>514</v>
      </c>
      <c r="HD56">
        <v>132.44999999999999</v>
      </c>
      <c r="HE56">
        <v>47</v>
      </c>
      <c r="HH56" t="s">
        <v>559</v>
      </c>
      <c r="HI56">
        <v>48</v>
      </c>
      <c r="HJ56">
        <v>161.02000000000001</v>
      </c>
      <c r="HL56" t="s">
        <v>514</v>
      </c>
      <c r="HM56">
        <v>-65.39</v>
      </c>
      <c r="HN56">
        <v>47</v>
      </c>
      <c r="HP56">
        <v>48</v>
      </c>
      <c r="HQ56">
        <v>-65.69</v>
      </c>
      <c r="HS56" t="s">
        <v>517</v>
      </c>
      <c r="HT56">
        <v>-72.680000000000007</v>
      </c>
      <c r="HU56">
        <f t="shared" si="12"/>
        <v>120.68</v>
      </c>
      <c r="HV56">
        <v>47</v>
      </c>
      <c r="HW56">
        <v>-37.043799999999997</v>
      </c>
      <c r="HX56">
        <v>48</v>
      </c>
      <c r="HY56">
        <v>28.6462</v>
      </c>
      <c r="HZ56">
        <v>48</v>
      </c>
      <c r="IB56">
        <v>150</v>
      </c>
      <c r="IC56">
        <v>1</v>
      </c>
      <c r="ID56">
        <v>1</v>
      </c>
      <c r="IE56">
        <v>0</v>
      </c>
      <c r="IF56">
        <v>1</v>
      </c>
      <c r="IG56">
        <v>0</v>
      </c>
      <c r="IH56">
        <v>0</v>
      </c>
      <c r="II56">
        <v>0</v>
      </c>
      <c r="IJ56">
        <v>2.5</v>
      </c>
      <c r="IK56">
        <v>0</v>
      </c>
      <c r="IL56">
        <v>3.5</v>
      </c>
      <c r="IM56">
        <v>2.5</v>
      </c>
      <c r="IN56">
        <v>0</v>
      </c>
      <c r="IO56">
        <v>0</v>
      </c>
      <c r="IP56">
        <v>0</v>
      </c>
      <c r="IQ56">
        <v>1</v>
      </c>
      <c r="IR56">
        <v>1</v>
      </c>
      <c r="IS56">
        <v>0.5</v>
      </c>
      <c r="IT56">
        <v>3.5</v>
      </c>
      <c r="IU56" s="1">
        <f t="shared" si="16"/>
        <v>0.97222222222222221</v>
      </c>
    </row>
    <row r="57" spans="1:255" ht="13.15" x14ac:dyDescent="0.4">
      <c r="A57" s="2">
        <v>160522</v>
      </c>
      <c r="B57" s="2">
        <v>56</v>
      </c>
      <c r="C57" s="2">
        <v>56</v>
      </c>
      <c r="D57" s="2">
        <v>3</v>
      </c>
      <c r="E57" s="2">
        <v>4</v>
      </c>
      <c r="F57" s="2">
        <v>24</v>
      </c>
      <c r="G57" s="2">
        <v>3</v>
      </c>
      <c r="H57" s="2">
        <v>8</v>
      </c>
      <c r="J57">
        <v>8</v>
      </c>
      <c r="K57">
        <v>2.82</v>
      </c>
      <c r="P57" t="s">
        <v>342</v>
      </c>
      <c r="Q57">
        <v>401</v>
      </c>
      <c r="R57">
        <v>8</v>
      </c>
      <c r="T57" t="s">
        <v>509</v>
      </c>
      <c r="U57">
        <v>-44.47</v>
      </c>
      <c r="V57">
        <v>7</v>
      </c>
      <c r="X57">
        <v>-39.15</v>
      </c>
      <c r="Y57">
        <v>8</v>
      </c>
      <c r="AA57">
        <v>21.96</v>
      </c>
      <c r="AB57">
        <v>8</v>
      </c>
      <c r="DO57" t="s">
        <v>516</v>
      </c>
      <c r="DP57">
        <v>22</v>
      </c>
      <c r="DQ57">
        <v>431.9</v>
      </c>
      <c r="DR57">
        <v>20</v>
      </c>
      <c r="DS57">
        <v>346.15</v>
      </c>
      <c r="DV57" t="s">
        <v>516</v>
      </c>
      <c r="DW57">
        <v>-70.69</v>
      </c>
      <c r="DX57">
        <v>22</v>
      </c>
      <c r="DZ57" t="s">
        <v>447</v>
      </c>
      <c r="EA57">
        <v>20</v>
      </c>
      <c r="EB57">
        <v>-66.650000000000006</v>
      </c>
      <c r="EE57" t="s">
        <v>516</v>
      </c>
      <c r="EF57">
        <v>-41.931100000000001</v>
      </c>
      <c r="EG57">
        <v>22</v>
      </c>
      <c r="EI57" t="s">
        <v>450</v>
      </c>
      <c r="EJ57">
        <v>-41.102600000000002</v>
      </c>
      <c r="EK57">
        <v>20</v>
      </c>
      <c r="EM57" t="s">
        <v>450</v>
      </c>
      <c r="EN57">
        <v>-61.38</v>
      </c>
      <c r="EP57" t="s">
        <v>450</v>
      </c>
      <c r="EQ57">
        <f t="shared" si="10"/>
        <v>20.2774</v>
      </c>
      <c r="ES57">
        <v>300</v>
      </c>
      <c r="ET57">
        <v>9.5</v>
      </c>
      <c r="EU57">
        <v>3</v>
      </c>
      <c r="EV57">
        <v>3</v>
      </c>
      <c r="EW57">
        <v>17.5</v>
      </c>
      <c r="EX57">
        <v>1.5</v>
      </c>
      <c r="EY57">
        <v>2</v>
      </c>
      <c r="EZ57">
        <v>13</v>
      </c>
      <c r="FA57">
        <v>8</v>
      </c>
      <c r="FB57">
        <v>2</v>
      </c>
      <c r="FC57">
        <v>9.5</v>
      </c>
      <c r="FD57">
        <v>9</v>
      </c>
      <c r="FE57">
        <v>3</v>
      </c>
      <c r="FF57">
        <v>4</v>
      </c>
      <c r="FG57">
        <v>8</v>
      </c>
      <c r="FH57">
        <v>7.5</v>
      </c>
      <c r="FI57">
        <v>3</v>
      </c>
      <c r="FJ57">
        <v>6.5</v>
      </c>
      <c r="FK57">
        <v>1</v>
      </c>
      <c r="FL57" s="1">
        <f t="shared" si="15"/>
        <v>6.166666666666667</v>
      </c>
      <c r="GK57">
        <v>150124</v>
      </c>
      <c r="GL57">
        <v>30</v>
      </c>
      <c r="GM57">
        <v>30</v>
      </c>
      <c r="GN57">
        <v>0</v>
      </c>
      <c r="GO57">
        <v>0</v>
      </c>
      <c r="GP57">
        <v>0</v>
      </c>
      <c r="GQ57">
        <v>0</v>
      </c>
      <c r="GR57">
        <v>48</v>
      </c>
      <c r="HC57" t="s">
        <v>517</v>
      </c>
      <c r="HD57">
        <v>150.66999999999999</v>
      </c>
      <c r="HE57">
        <v>47</v>
      </c>
      <c r="HH57" t="s">
        <v>563</v>
      </c>
      <c r="HI57">
        <v>48</v>
      </c>
      <c r="HJ57">
        <v>250.15</v>
      </c>
      <c r="HL57" t="s">
        <v>517</v>
      </c>
      <c r="HM57">
        <v>-72.680000000000007</v>
      </c>
      <c r="HN57">
        <v>47</v>
      </c>
      <c r="HP57">
        <v>48</v>
      </c>
      <c r="HQ57">
        <v>-63.52</v>
      </c>
      <c r="HS57" t="s">
        <v>520</v>
      </c>
      <c r="HT57">
        <v>-69.38</v>
      </c>
      <c r="HU57">
        <f t="shared" si="12"/>
        <v>117.38</v>
      </c>
      <c r="HV57">
        <v>47</v>
      </c>
      <c r="HW57">
        <v>-40.221400000000003</v>
      </c>
      <c r="HX57">
        <v>48</v>
      </c>
      <c r="HY57">
        <v>23.2986</v>
      </c>
      <c r="HZ57">
        <v>48</v>
      </c>
      <c r="IB57">
        <v>200</v>
      </c>
      <c r="IC57">
        <v>2</v>
      </c>
      <c r="ID57">
        <v>1</v>
      </c>
      <c r="IE57">
        <v>0</v>
      </c>
      <c r="IF57">
        <v>1</v>
      </c>
      <c r="IG57">
        <v>0</v>
      </c>
      <c r="IH57">
        <v>0</v>
      </c>
      <c r="II57">
        <v>0</v>
      </c>
      <c r="IJ57">
        <v>3.5</v>
      </c>
      <c r="IK57">
        <v>0.5</v>
      </c>
      <c r="IL57">
        <v>3</v>
      </c>
      <c r="IM57">
        <v>3.5</v>
      </c>
      <c r="IN57">
        <v>1</v>
      </c>
      <c r="IO57">
        <v>0.5</v>
      </c>
      <c r="IP57">
        <v>0</v>
      </c>
      <c r="IQ57">
        <v>1</v>
      </c>
      <c r="IR57">
        <v>2</v>
      </c>
      <c r="IS57">
        <v>1</v>
      </c>
      <c r="IT57">
        <v>5</v>
      </c>
      <c r="IU57" s="1">
        <f t="shared" si="16"/>
        <v>1.3888888888888888</v>
      </c>
    </row>
    <row r="58" spans="1:255" ht="13.15" x14ac:dyDescent="0.4">
      <c r="A58" s="2">
        <v>70223</v>
      </c>
      <c r="B58" s="2">
        <v>6</v>
      </c>
      <c r="C58" s="2">
        <v>6</v>
      </c>
      <c r="D58" s="2">
        <v>3</v>
      </c>
      <c r="E58" s="2">
        <v>3</v>
      </c>
      <c r="F58" s="2">
        <v>6</v>
      </c>
      <c r="G58" s="2">
        <v>3</v>
      </c>
      <c r="H58" s="2">
        <v>8</v>
      </c>
      <c r="J58">
        <v>8</v>
      </c>
      <c r="K58">
        <v>1.96</v>
      </c>
      <c r="P58" t="s">
        <v>345</v>
      </c>
      <c r="Q58">
        <v>196.16</v>
      </c>
      <c r="R58">
        <v>8</v>
      </c>
      <c r="T58" t="s">
        <v>512</v>
      </c>
      <c r="U58">
        <v>-52.73</v>
      </c>
      <c r="V58">
        <v>7</v>
      </c>
      <c r="X58">
        <v>-39.51</v>
      </c>
      <c r="Y58">
        <v>8</v>
      </c>
      <c r="AA58">
        <v>17.72</v>
      </c>
      <c r="AB58">
        <v>8</v>
      </c>
      <c r="DO58" t="s">
        <v>519</v>
      </c>
      <c r="DP58">
        <v>22</v>
      </c>
      <c r="DQ58">
        <v>291.32</v>
      </c>
      <c r="DR58">
        <v>20</v>
      </c>
      <c r="DS58">
        <v>307.64999999999998</v>
      </c>
      <c r="DV58" t="s">
        <v>519</v>
      </c>
      <c r="DW58">
        <v>-70.459999999999994</v>
      </c>
      <c r="DX58">
        <v>22</v>
      </c>
      <c r="DZ58" t="s">
        <v>450</v>
      </c>
      <c r="EA58">
        <v>20</v>
      </c>
      <c r="EB58">
        <v>-61.38</v>
      </c>
      <c r="EE58" t="s">
        <v>519</v>
      </c>
      <c r="EF58">
        <v>-48.662599999999998</v>
      </c>
      <c r="EG58">
        <v>22</v>
      </c>
      <c r="EI58" t="s">
        <v>453</v>
      </c>
      <c r="EJ58">
        <v>-38.666499999999999</v>
      </c>
      <c r="EK58">
        <v>20</v>
      </c>
      <c r="EM58" t="s">
        <v>453</v>
      </c>
      <c r="EN58">
        <v>-57.46</v>
      </c>
      <c r="EP58" t="s">
        <v>453</v>
      </c>
      <c r="EQ58">
        <f t="shared" si="10"/>
        <v>18.793500000000002</v>
      </c>
      <c r="ES58">
        <v>350</v>
      </c>
      <c r="ET58">
        <v>12.5</v>
      </c>
      <c r="EU58">
        <v>3.5</v>
      </c>
      <c r="EV58">
        <v>3</v>
      </c>
      <c r="EW58">
        <v>21</v>
      </c>
      <c r="EX58">
        <v>2</v>
      </c>
      <c r="EY58">
        <v>2.5</v>
      </c>
      <c r="EZ58">
        <v>18</v>
      </c>
      <c r="FA58">
        <v>7.5</v>
      </c>
      <c r="FB58">
        <v>3.5</v>
      </c>
      <c r="FC58">
        <v>11</v>
      </c>
      <c r="FD58">
        <v>10</v>
      </c>
      <c r="FE58">
        <v>4</v>
      </c>
      <c r="FF58">
        <v>5</v>
      </c>
      <c r="FG58">
        <v>11</v>
      </c>
      <c r="FH58">
        <v>8.5</v>
      </c>
      <c r="FI58">
        <v>3.5</v>
      </c>
      <c r="FJ58">
        <v>5.5</v>
      </c>
      <c r="FK58">
        <v>1</v>
      </c>
      <c r="FL58" s="1">
        <f t="shared" si="15"/>
        <v>7.3888888888888893</v>
      </c>
      <c r="GK58" s="2">
        <v>100322</v>
      </c>
      <c r="GL58" s="2">
        <v>56</v>
      </c>
      <c r="GM58" s="2">
        <v>56</v>
      </c>
      <c r="GN58" s="2">
        <v>2</v>
      </c>
      <c r="GO58" s="2">
        <v>4</v>
      </c>
      <c r="GP58" s="2">
        <v>28</v>
      </c>
      <c r="GQ58" s="2">
        <v>2</v>
      </c>
      <c r="GR58" s="2">
        <v>49</v>
      </c>
      <c r="HC58" t="s">
        <v>520</v>
      </c>
      <c r="HD58">
        <v>144.94999999999999</v>
      </c>
      <c r="HE58">
        <v>47</v>
      </c>
      <c r="HH58" t="s">
        <v>567</v>
      </c>
      <c r="HI58">
        <v>48</v>
      </c>
      <c r="HJ58">
        <v>195.95</v>
      </c>
      <c r="HL58" t="s">
        <v>520</v>
      </c>
      <c r="HM58">
        <v>-69.38</v>
      </c>
      <c r="HN58">
        <v>47</v>
      </c>
      <c r="HP58">
        <v>48</v>
      </c>
      <c r="HQ58">
        <v>-59.9</v>
      </c>
      <c r="HS58" t="s">
        <v>523</v>
      </c>
      <c r="HT58">
        <v>-73.44</v>
      </c>
      <c r="HU58">
        <f t="shared" si="12"/>
        <v>121.44</v>
      </c>
      <c r="HV58">
        <v>47</v>
      </c>
      <c r="HW58">
        <v>-45.741999999999997</v>
      </c>
      <c r="HX58">
        <v>48</v>
      </c>
      <c r="HY58">
        <v>14.157999999999999</v>
      </c>
      <c r="HZ58">
        <v>48</v>
      </c>
      <c r="IB58">
        <v>250</v>
      </c>
      <c r="IC58">
        <v>2</v>
      </c>
      <c r="ID58">
        <v>1.5</v>
      </c>
      <c r="IE58">
        <v>0</v>
      </c>
      <c r="IF58">
        <v>1</v>
      </c>
      <c r="IG58">
        <v>0</v>
      </c>
      <c r="IH58">
        <v>0</v>
      </c>
      <c r="II58">
        <v>0</v>
      </c>
      <c r="IJ58">
        <v>9.5</v>
      </c>
      <c r="IK58">
        <v>1</v>
      </c>
      <c r="IL58">
        <v>4</v>
      </c>
      <c r="IM58">
        <v>5.5</v>
      </c>
      <c r="IN58">
        <v>1</v>
      </c>
      <c r="IO58">
        <v>1</v>
      </c>
      <c r="IP58">
        <v>0</v>
      </c>
      <c r="IQ58">
        <v>1.5</v>
      </c>
      <c r="IR58">
        <v>2.5</v>
      </c>
      <c r="IS58">
        <v>1.5</v>
      </c>
      <c r="IT58">
        <v>6</v>
      </c>
      <c r="IU58" s="1">
        <f t="shared" si="16"/>
        <v>2.1111111111111112</v>
      </c>
    </row>
    <row r="59" spans="1:255" ht="13.15" x14ac:dyDescent="0.4">
      <c r="A59">
        <v>150223</v>
      </c>
      <c r="B59">
        <v>6</v>
      </c>
      <c r="C59">
        <v>6</v>
      </c>
      <c r="H59">
        <v>8</v>
      </c>
      <c r="J59">
        <v>8</v>
      </c>
      <c r="K59">
        <v>0.7</v>
      </c>
      <c r="P59" t="s">
        <v>348</v>
      </c>
      <c r="Q59">
        <v>499.97</v>
      </c>
      <c r="R59">
        <v>8</v>
      </c>
      <c r="T59" t="s">
        <v>515</v>
      </c>
      <c r="U59">
        <v>-63.1</v>
      </c>
      <c r="V59">
        <v>7</v>
      </c>
      <c r="X59">
        <v>-37.26</v>
      </c>
      <c r="Y59">
        <v>8</v>
      </c>
      <c r="AA59">
        <v>12.29</v>
      </c>
      <c r="AB59">
        <v>8</v>
      </c>
      <c r="DO59" t="s">
        <v>522</v>
      </c>
      <c r="DP59">
        <v>22</v>
      </c>
      <c r="DQ59">
        <v>339.8</v>
      </c>
      <c r="DR59">
        <v>20</v>
      </c>
      <c r="DS59">
        <v>400.66</v>
      </c>
      <c r="DV59" t="s">
        <v>522</v>
      </c>
      <c r="DW59">
        <v>-75.61</v>
      </c>
      <c r="DX59">
        <v>22</v>
      </c>
      <c r="DZ59" t="s">
        <v>453</v>
      </c>
      <c r="EA59">
        <v>20</v>
      </c>
      <c r="EB59">
        <v>-57.46</v>
      </c>
      <c r="EE59" t="s">
        <v>522</v>
      </c>
      <c r="EF59">
        <v>-47.245699999999999</v>
      </c>
      <c r="EG59">
        <v>22</v>
      </c>
      <c r="EI59" t="s">
        <v>456</v>
      </c>
      <c r="EJ59">
        <v>-30.176500000000001</v>
      </c>
      <c r="EK59">
        <v>20</v>
      </c>
      <c r="EM59" t="s">
        <v>456</v>
      </c>
      <c r="EN59">
        <v>-57.83</v>
      </c>
      <c r="EP59" t="s">
        <v>456</v>
      </c>
      <c r="EQ59">
        <f t="shared" si="10"/>
        <v>27.653499999999998</v>
      </c>
      <c r="ES59">
        <v>400</v>
      </c>
      <c r="ET59">
        <v>13</v>
      </c>
      <c r="EU59">
        <v>4</v>
      </c>
      <c r="EV59">
        <v>3.5</v>
      </c>
      <c r="EW59">
        <v>21</v>
      </c>
      <c r="EX59">
        <v>2.5</v>
      </c>
      <c r="EY59">
        <v>3</v>
      </c>
      <c r="EZ59">
        <v>16</v>
      </c>
      <c r="FA59">
        <v>6</v>
      </c>
      <c r="FB59">
        <v>8</v>
      </c>
      <c r="FC59">
        <v>11.5</v>
      </c>
      <c r="FD59">
        <v>10.5</v>
      </c>
      <c r="FE59">
        <v>4</v>
      </c>
      <c r="FF59">
        <v>5.5</v>
      </c>
      <c r="FG59">
        <v>10.5</v>
      </c>
      <c r="FH59">
        <v>9.5</v>
      </c>
      <c r="FI59">
        <v>3.5</v>
      </c>
      <c r="FJ59">
        <v>6.5</v>
      </c>
      <c r="FK59">
        <v>2</v>
      </c>
      <c r="FL59" s="1">
        <f t="shared" si="15"/>
        <v>7.8055555555555554</v>
      </c>
      <c r="GK59" s="2">
        <v>280422</v>
      </c>
      <c r="GL59" s="2">
        <v>30</v>
      </c>
      <c r="GM59" s="2">
        <v>30</v>
      </c>
      <c r="GN59" s="2">
        <v>1</v>
      </c>
      <c r="GO59" s="2">
        <v>2</v>
      </c>
      <c r="GP59" s="2">
        <v>10</v>
      </c>
      <c r="GQ59" s="2">
        <v>1</v>
      </c>
      <c r="GR59" s="2">
        <v>49</v>
      </c>
      <c r="HC59" t="s">
        <v>523</v>
      </c>
      <c r="HD59">
        <v>154.25</v>
      </c>
      <c r="HE59">
        <v>47</v>
      </c>
      <c r="HH59" t="s">
        <v>571</v>
      </c>
      <c r="HI59">
        <v>48</v>
      </c>
      <c r="HJ59">
        <v>124.87</v>
      </c>
      <c r="HL59" t="s">
        <v>523</v>
      </c>
      <c r="HM59">
        <v>-73.44</v>
      </c>
      <c r="HN59">
        <v>47</v>
      </c>
      <c r="HP59">
        <v>48</v>
      </c>
      <c r="HQ59">
        <v>-62.98</v>
      </c>
      <c r="HS59" t="s">
        <v>527</v>
      </c>
      <c r="HT59">
        <v>-59.96</v>
      </c>
      <c r="HU59">
        <f t="shared" si="12"/>
        <v>107.96000000000001</v>
      </c>
      <c r="HV59">
        <v>48</v>
      </c>
      <c r="HW59">
        <v>-48.111699999999999</v>
      </c>
      <c r="HX59">
        <v>48</v>
      </c>
      <c r="HY59">
        <v>14.8683</v>
      </c>
      <c r="HZ59">
        <v>48</v>
      </c>
      <c r="IB59">
        <v>300</v>
      </c>
      <c r="IC59">
        <v>3</v>
      </c>
      <c r="ID59">
        <v>1</v>
      </c>
      <c r="IE59">
        <v>1</v>
      </c>
      <c r="IF59">
        <v>1</v>
      </c>
      <c r="IG59">
        <v>0</v>
      </c>
      <c r="IH59">
        <v>0</v>
      </c>
      <c r="II59">
        <v>0</v>
      </c>
      <c r="IJ59">
        <v>7</v>
      </c>
      <c r="IK59">
        <v>1</v>
      </c>
      <c r="IL59">
        <v>3</v>
      </c>
      <c r="IM59">
        <v>7</v>
      </c>
      <c r="IN59">
        <v>1</v>
      </c>
      <c r="IO59">
        <v>1.5</v>
      </c>
      <c r="IP59">
        <v>1</v>
      </c>
      <c r="IQ59">
        <v>2</v>
      </c>
      <c r="IR59">
        <v>3</v>
      </c>
      <c r="IS59">
        <v>2.5</v>
      </c>
      <c r="IT59">
        <v>7</v>
      </c>
      <c r="IU59" s="1">
        <f t="shared" si="16"/>
        <v>2.3333333333333335</v>
      </c>
    </row>
    <row r="60" spans="1:255" ht="13.15" x14ac:dyDescent="0.4">
      <c r="A60" s="2">
        <v>1502232</v>
      </c>
      <c r="B60" s="2">
        <v>56</v>
      </c>
      <c r="C60" s="2">
        <v>56</v>
      </c>
      <c r="D60" s="2">
        <v>1</v>
      </c>
      <c r="E60" s="2">
        <v>5</v>
      </c>
      <c r="F60" s="2">
        <v>35</v>
      </c>
      <c r="G60" s="2">
        <v>1</v>
      </c>
      <c r="H60" s="2">
        <v>8</v>
      </c>
      <c r="J60">
        <v>8</v>
      </c>
      <c r="K60">
        <v>0.94</v>
      </c>
      <c r="P60" t="s">
        <v>351</v>
      </c>
      <c r="Q60">
        <v>285.2</v>
      </c>
      <c r="R60">
        <v>8</v>
      </c>
      <c r="T60" t="s">
        <v>518</v>
      </c>
      <c r="U60">
        <v>-56.73</v>
      </c>
      <c r="V60">
        <v>7</v>
      </c>
      <c r="X60">
        <v>-38.770000000000003</v>
      </c>
      <c r="Y60">
        <v>8</v>
      </c>
      <c r="AA60">
        <v>9.2799999999999905</v>
      </c>
      <c r="AB60">
        <v>8</v>
      </c>
      <c r="DO60" t="s">
        <v>526</v>
      </c>
      <c r="DP60">
        <v>22</v>
      </c>
      <c r="DQ60">
        <v>270.57</v>
      </c>
      <c r="DR60">
        <v>20</v>
      </c>
      <c r="DS60">
        <v>494</v>
      </c>
      <c r="DV60" t="s">
        <v>526</v>
      </c>
      <c r="DW60">
        <v>-60.1</v>
      </c>
      <c r="DX60">
        <v>22</v>
      </c>
      <c r="DZ60" t="s">
        <v>456</v>
      </c>
      <c r="EA60">
        <v>20</v>
      </c>
      <c r="EB60">
        <v>-57.83</v>
      </c>
      <c r="EE60" t="s">
        <v>526</v>
      </c>
      <c r="EF60">
        <v>-50.920099999999998</v>
      </c>
      <c r="EG60">
        <v>22</v>
      </c>
      <c r="EI60" t="s">
        <v>459</v>
      </c>
      <c r="EJ60">
        <v>-26.4617</v>
      </c>
      <c r="EK60">
        <v>20</v>
      </c>
      <c r="EM60" t="s">
        <v>459</v>
      </c>
      <c r="EN60">
        <v>-54.15</v>
      </c>
      <c r="EP60" t="s">
        <v>459</v>
      </c>
      <c r="EQ60">
        <f t="shared" si="10"/>
        <v>27.688299999999998</v>
      </c>
      <c r="GK60">
        <v>2804222</v>
      </c>
      <c r="GL60">
        <v>42</v>
      </c>
      <c r="GM60">
        <v>42</v>
      </c>
      <c r="GN60">
        <v>0</v>
      </c>
      <c r="GR60">
        <v>49</v>
      </c>
      <c r="HC60" t="s">
        <v>527</v>
      </c>
      <c r="HD60">
        <v>167.42</v>
      </c>
      <c r="HE60">
        <v>48</v>
      </c>
      <c r="HH60" t="s">
        <v>575</v>
      </c>
      <c r="HI60">
        <v>48</v>
      </c>
      <c r="HJ60">
        <v>229.8</v>
      </c>
      <c r="HL60" t="s">
        <v>527</v>
      </c>
      <c r="HM60">
        <v>-59.96</v>
      </c>
      <c r="HN60">
        <v>48</v>
      </c>
      <c r="HP60">
        <v>48</v>
      </c>
      <c r="HQ60">
        <v>-56</v>
      </c>
      <c r="HS60" t="s">
        <v>531</v>
      </c>
      <c r="HT60">
        <v>-58.95</v>
      </c>
      <c r="HU60">
        <f t="shared" si="12"/>
        <v>106.95</v>
      </c>
      <c r="HV60">
        <v>48</v>
      </c>
      <c r="HW60">
        <v>-37.442799999999998</v>
      </c>
      <c r="HX60">
        <v>48</v>
      </c>
      <c r="HY60">
        <v>18.557200000000002</v>
      </c>
      <c r="HZ60">
        <v>48</v>
      </c>
      <c r="IB60">
        <v>350</v>
      </c>
      <c r="IC60">
        <v>3.5</v>
      </c>
      <c r="ID60">
        <v>1.5</v>
      </c>
      <c r="IE60">
        <v>1</v>
      </c>
      <c r="IF60">
        <v>2</v>
      </c>
      <c r="IG60">
        <v>0</v>
      </c>
      <c r="IH60">
        <v>0</v>
      </c>
      <c r="II60">
        <v>1</v>
      </c>
      <c r="IJ60">
        <v>10</v>
      </c>
      <c r="IK60">
        <v>1.5</v>
      </c>
      <c r="IL60">
        <v>3</v>
      </c>
      <c r="IM60">
        <v>8.5</v>
      </c>
      <c r="IN60">
        <v>1.5</v>
      </c>
      <c r="IO60">
        <v>1</v>
      </c>
      <c r="IP60">
        <v>1.5</v>
      </c>
      <c r="IQ60">
        <v>2</v>
      </c>
      <c r="IR60">
        <v>3</v>
      </c>
      <c r="IS60">
        <v>3</v>
      </c>
      <c r="IT60">
        <v>9.5</v>
      </c>
      <c r="IU60" s="1">
        <f t="shared" si="16"/>
        <v>2.9722222222222223</v>
      </c>
    </row>
    <row r="61" spans="1:255" ht="13.15" x14ac:dyDescent="0.4">
      <c r="A61" s="2">
        <v>160223</v>
      </c>
      <c r="B61" s="2">
        <v>42</v>
      </c>
      <c r="C61" s="2">
        <v>42</v>
      </c>
      <c r="D61" s="2">
        <v>3</v>
      </c>
      <c r="E61" s="2">
        <v>6</v>
      </c>
      <c r="F61" s="2">
        <v>36</v>
      </c>
      <c r="G61" s="2">
        <v>3</v>
      </c>
      <c r="H61" s="2">
        <v>8</v>
      </c>
      <c r="J61">
        <v>8</v>
      </c>
      <c r="K61">
        <v>1.84</v>
      </c>
      <c r="P61" t="s">
        <v>354</v>
      </c>
      <c r="Q61">
        <v>824</v>
      </c>
      <c r="R61">
        <v>8</v>
      </c>
      <c r="T61" t="s">
        <v>521</v>
      </c>
      <c r="U61">
        <v>-62</v>
      </c>
      <c r="V61">
        <v>7</v>
      </c>
      <c r="X61">
        <v>-35.86</v>
      </c>
      <c r="Y61">
        <v>8</v>
      </c>
      <c r="AA61">
        <v>19.489999999999998</v>
      </c>
      <c r="AB61">
        <v>8</v>
      </c>
      <c r="DO61" t="s">
        <v>530</v>
      </c>
      <c r="DP61">
        <v>22</v>
      </c>
      <c r="DQ61">
        <v>264.5</v>
      </c>
      <c r="DR61">
        <v>20</v>
      </c>
      <c r="DS61">
        <v>247.15</v>
      </c>
      <c r="DV61" t="s">
        <v>530</v>
      </c>
      <c r="DW61">
        <v>-85.49</v>
      </c>
      <c r="DX61">
        <v>22</v>
      </c>
      <c r="DZ61" t="s">
        <v>459</v>
      </c>
      <c r="EA61">
        <v>20</v>
      </c>
      <c r="EB61">
        <v>-54.15</v>
      </c>
      <c r="EE61" t="s">
        <v>530</v>
      </c>
      <c r="EF61">
        <v>-57.727499999999999</v>
      </c>
      <c r="EG61">
        <v>22</v>
      </c>
      <c r="EI61" t="s">
        <v>480</v>
      </c>
      <c r="EJ61">
        <v>-26.609000000000002</v>
      </c>
      <c r="EK61">
        <v>20</v>
      </c>
      <c r="EM61" t="s">
        <v>480</v>
      </c>
      <c r="EN61">
        <v>-51.67</v>
      </c>
      <c r="EP61" t="s">
        <v>480</v>
      </c>
      <c r="EQ61">
        <f t="shared" si="10"/>
        <v>25.061</v>
      </c>
      <c r="GK61">
        <v>20522</v>
      </c>
      <c r="GL61">
        <v>12</v>
      </c>
      <c r="GM61">
        <v>20</v>
      </c>
      <c r="GN61">
        <v>0</v>
      </c>
      <c r="GR61">
        <v>49</v>
      </c>
      <c r="HC61" t="s">
        <v>531</v>
      </c>
      <c r="HD61">
        <v>172.3</v>
      </c>
      <c r="HE61">
        <v>48</v>
      </c>
      <c r="HH61" t="s">
        <v>578</v>
      </c>
      <c r="HI61">
        <v>48</v>
      </c>
      <c r="HJ61">
        <v>187.42</v>
      </c>
      <c r="HL61" t="s">
        <v>531</v>
      </c>
      <c r="HM61">
        <v>-58.95</v>
      </c>
      <c r="HN61">
        <v>48</v>
      </c>
      <c r="HP61">
        <v>48</v>
      </c>
      <c r="HQ61">
        <v>-58.38</v>
      </c>
      <c r="HS61" t="s">
        <v>535</v>
      </c>
      <c r="HT61">
        <v>-54.61</v>
      </c>
      <c r="HU61">
        <f t="shared" si="12"/>
        <v>102.61</v>
      </c>
      <c r="HV61">
        <v>48</v>
      </c>
      <c r="HW61">
        <v>-39.184600000000003</v>
      </c>
      <c r="HX61">
        <v>48</v>
      </c>
      <c r="HY61">
        <v>19.195399999999999</v>
      </c>
      <c r="HZ61">
        <v>48</v>
      </c>
      <c r="IB61">
        <v>400</v>
      </c>
      <c r="IC61">
        <v>3.5</v>
      </c>
      <c r="ID61">
        <v>2.5</v>
      </c>
      <c r="IE61">
        <v>1</v>
      </c>
      <c r="IF61">
        <v>2</v>
      </c>
      <c r="IG61">
        <v>0</v>
      </c>
      <c r="IH61" s="8">
        <v>0.5</v>
      </c>
      <c r="II61">
        <v>1</v>
      </c>
      <c r="IJ61">
        <v>9.5</v>
      </c>
      <c r="IK61">
        <v>2</v>
      </c>
      <c r="IL61">
        <v>2.5</v>
      </c>
      <c r="IM61">
        <v>9.5</v>
      </c>
      <c r="IN61">
        <v>1.5</v>
      </c>
      <c r="IO61">
        <v>1.5</v>
      </c>
      <c r="IP61">
        <v>2</v>
      </c>
      <c r="IQ61">
        <v>2.5</v>
      </c>
      <c r="IR61">
        <v>3.5</v>
      </c>
      <c r="IS61">
        <v>3.5</v>
      </c>
      <c r="IT61">
        <v>9.5</v>
      </c>
      <c r="IU61" s="1">
        <f t="shared" si="16"/>
        <v>3.2222222222222223</v>
      </c>
    </row>
    <row r="62" spans="1:255" ht="13.15" x14ac:dyDescent="0.4">
      <c r="A62" s="2">
        <v>1602232</v>
      </c>
      <c r="B62" s="2">
        <v>56</v>
      </c>
      <c r="C62" s="2">
        <v>56</v>
      </c>
      <c r="D62" s="2">
        <v>5</v>
      </c>
      <c r="E62" s="2">
        <v>4</v>
      </c>
      <c r="F62" s="2">
        <v>28</v>
      </c>
      <c r="G62" s="2">
        <v>5</v>
      </c>
      <c r="H62" s="2">
        <v>8</v>
      </c>
      <c r="J62">
        <v>8</v>
      </c>
      <c r="K62">
        <v>1.52</v>
      </c>
      <c r="P62" t="s">
        <v>358</v>
      </c>
      <c r="Q62">
        <v>344.35</v>
      </c>
      <c r="R62">
        <v>8</v>
      </c>
      <c r="T62" t="s">
        <v>525</v>
      </c>
      <c r="U62">
        <v>-58.83</v>
      </c>
      <c r="V62">
        <v>7</v>
      </c>
      <c r="X62">
        <v>-41.03</v>
      </c>
      <c r="Y62">
        <v>8</v>
      </c>
      <c r="AA62">
        <v>8.8000000000000007</v>
      </c>
      <c r="AB62">
        <v>8</v>
      </c>
      <c r="DO62" t="s">
        <v>534</v>
      </c>
      <c r="DP62">
        <v>22</v>
      </c>
      <c r="DQ62">
        <v>369.97</v>
      </c>
      <c r="DR62">
        <v>20</v>
      </c>
      <c r="DS62">
        <v>386.36</v>
      </c>
      <c r="DV62" t="s">
        <v>534</v>
      </c>
      <c r="DW62">
        <v>-64.28</v>
      </c>
      <c r="DX62">
        <v>22</v>
      </c>
      <c r="DZ62" t="s">
        <v>480</v>
      </c>
      <c r="EA62">
        <v>20</v>
      </c>
      <c r="EB62">
        <v>-51.67</v>
      </c>
      <c r="EE62" t="s">
        <v>534</v>
      </c>
      <c r="EF62">
        <v>-47.628700000000002</v>
      </c>
      <c r="EG62">
        <v>22</v>
      </c>
      <c r="EI62" t="s">
        <v>483</v>
      </c>
      <c r="EJ62">
        <v>-46.296599999999998</v>
      </c>
      <c r="EK62">
        <v>20</v>
      </c>
      <c r="EM62" t="s">
        <v>483</v>
      </c>
      <c r="EN62">
        <v>-62.81</v>
      </c>
      <c r="EP62" t="s">
        <v>483</v>
      </c>
      <c r="EQ62">
        <f t="shared" si="10"/>
        <v>16.513400000000004</v>
      </c>
      <c r="ET62" s="65">
        <v>23</v>
      </c>
      <c r="EU62" s="65"/>
      <c r="EV62" s="65"/>
      <c r="EW62" s="65"/>
      <c r="EX62" s="65"/>
      <c r="EY62" s="65"/>
      <c r="EZ62" s="65"/>
      <c r="FA62" s="65"/>
      <c r="FB62" s="65"/>
      <c r="GK62" s="2">
        <v>110722</v>
      </c>
      <c r="GL62" s="2">
        <v>42</v>
      </c>
      <c r="GM62" s="2">
        <v>30</v>
      </c>
      <c r="GN62" s="10">
        <v>1</v>
      </c>
      <c r="GO62" s="2">
        <v>3</v>
      </c>
      <c r="GP62" s="2">
        <v>18</v>
      </c>
      <c r="GQ62" s="2">
        <v>1</v>
      </c>
      <c r="GR62" s="2">
        <v>49</v>
      </c>
      <c r="HC62" t="s">
        <v>535</v>
      </c>
      <c r="HD62">
        <v>92.25</v>
      </c>
      <c r="HE62">
        <v>48</v>
      </c>
      <c r="HH62" t="s">
        <v>581</v>
      </c>
      <c r="HI62">
        <v>48</v>
      </c>
      <c r="HJ62">
        <v>169.07</v>
      </c>
      <c r="HL62" t="s">
        <v>535</v>
      </c>
      <c r="HM62">
        <v>-54.61</v>
      </c>
      <c r="HN62">
        <v>48</v>
      </c>
      <c r="HP62">
        <v>48</v>
      </c>
      <c r="HQ62">
        <v>-61.43</v>
      </c>
      <c r="HS62" t="s">
        <v>539</v>
      </c>
      <c r="HT62">
        <v>-62.71</v>
      </c>
      <c r="HU62">
        <f t="shared" si="12"/>
        <v>110.71000000000001</v>
      </c>
      <c r="HV62">
        <v>48</v>
      </c>
      <c r="HW62">
        <v>-27.4299</v>
      </c>
      <c r="HX62">
        <v>48</v>
      </c>
      <c r="HY62">
        <v>34.000100000000003</v>
      </c>
      <c r="HZ62">
        <v>48</v>
      </c>
    </row>
    <row r="63" spans="1:255" x14ac:dyDescent="0.35">
      <c r="A63" s="2">
        <v>170223</v>
      </c>
      <c r="B63" s="2">
        <v>56</v>
      </c>
      <c r="C63" s="2">
        <v>56</v>
      </c>
      <c r="D63" s="2">
        <v>2</v>
      </c>
      <c r="E63" s="2">
        <v>6</v>
      </c>
      <c r="F63" s="2">
        <v>36</v>
      </c>
      <c r="G63" s="2">
        <v>2</v>
      </c>
      <c r="H63" s="2">
        <v>8</v>
      </c>
      <c r="J63">
        <v>8</v>
      </c>
      <c r="K63">
        <v>3.04</v>
      </c>
      <c r="P63" t="s">
        <v>417</v>
      </c>
      <c r="Q63">
        <v>516.5</v>
      </c>
      <c r="R63">
        <v>8</v>
      </c>
      <c r="T63" t="s">
        <v>529</v>
      </c>
      <c r="U63">
        <v>-64.73</v>
      </c>
      <c r="V63">
        <v>7</v>
      </c>
      <c r="X63">
        <v>-38.9908</v>
      </c>
      <c r="Y63">
        <v>8</v>
      </c>
      <c r="AA63">
        <v>18.749199999999998</v>
      </c>
      <c r="AB63">
        <v>8</v>
      </c>
      <c r="DO63" t="s">
        <v>538</v>
      </c>
      <c r="DP63">
        <v>22</v>
      </c>
      <c r="DQ63">
        <v>351.3</v>
      </c>
      <c r="DR63">
        <v>20</v>
      </c>
      <c r="DS63">
        <v>293.02999999999997</v>
      </c>
      <c r="DV63" t="s">
        <v>538</v>
      </c>
      <c r="DW63">
        <v>-58.63</v>
      </c>
      <c r="DX63">
        <v>22</v>
      </c>
      <c r="DZ63" t="s">
        <v>483</v>
      </c>
      <c r="EA63">
        <v>20</v>
      </c>
      <c r="EB63">
        <v>-62.81</v>
      </c>
      <c r="EE63" t="s">
        <v>538</v>
      </c>
      <c r="EF63">
        <v>-40.459400000000002</v>
      </c>
      <c r="EG63">
        <v>22</v>
      </c>
      <c r="EI63" t="s">
        <v>486</v>
      </c>
      <c r="EJ63">
        <v>-47.364800000000002</v>
      </c>
      <c r="EK63">
        <v>20</v>
      </c>
      <c r="EM63" t="s">
        <v>486</v>
      </c>
      <c r="EN63">
        <v>-65.819999999999993</v>
      </c>
      <c r="EP63" t="s">
        <v>486</v>
      </c>
      <c r="EQ63">
        <f t="shared" si="10"/>
        <v>18.455199999999991</v>
      </c>
      <c r="ES63" t="s">
        <v>887</v>
      </c>
      <c r="ET63" t="s">
        <v>910</v>
      </c>
      <c r="EU63" t="s">
        <v>911</v>
      </c>
      <c r="EV63" t="s">
        <v>912</v>
      </c>
      <c r="EW63" t="s">
        <v>913</v>
      </c>
      <c r="EX63" t="s">
        <v>914</v>
      </c>
      <c r="EY63" t="s">
        <v>915</v>
      </c>
      <c r="EZ63" t="s">
        <v>916</v>
      </c>
      <c r="FA63" t="s">
        <v>917</v>
      </c>
      <c r="FB63" t="s">
        <v>918</v>
      </c>
      <c r="GK63">
        <v>61222</v>
      </c>
      <c r="GL63">
        <v>56</v>
      </c>
      <c r="GM63">
        <v>56</v>
      </c>
      <c r="GN63">
        <v>0</v>
      </c>
      <c r="GR63">
        <v>49</v>
      </c>
      <c r="HC63" t="s">
        <v>539</v>
      </c>
      <c r="HD63">
        <v>248.15</v>
      </c>
      <c r="HE63">
        <v>48</v>
      </c>
      <c r="HH63" t="s">
        <v>584</v>
      </c>
      <c r="HI63">
        <v>48</v>
      </c>
      <c r="HJ63">
        <v>174.37</v>
      </c>
      <c r="HL63" t="s">
        <v>539</v>
      </c>
      <c r="HM63">
        <v>-62.71</v>
      </c>
      <c r="HN63">
        <v>48</v>
      </c>
      <c r="HP63">
        <v>48</v>
      </c>
      <c r="HQ63">
        <v>-58.38</v>
      </c>
      <c r="HS63" t="s">
        <v>543</v>
      </c>
      <c r="HT63">
        <v>-61.55</v>
      </c>
      <c r="HU63">
        <f t="shared" si="12"/>
        <v>109.55</v>
      </c>
      <c r="HV63">
        <v>48</v>
      </c>
      <c r="HW63">
        <v>-38.9831</v>
      </c>
      <c r="HX63">
        <v>48</v>
      </c>
      <c r="HY63">
        <v>19.396899999999999</v>
      </c>
      <c r="HZ63">
        <v>48</v>
      </c>
    </row>
    <row r="64" spans="1:255" ht="13.15" x14ac:dyDescent="0.4">
      <c r="A64">
        <v>210223</v>
      </c>
      <c r="B64">
        <v>56</v>
      </c>
      <c r="C64">
        <v>56</v>
      </c>
      <c r="H64">
        <v>8</v>
      </c>
      <c r="J64">
        <v>8</v>
      </c>
      <c r="K64">
        <v>8.51</v>
      </c>
      <c r="P64" t="s">
        <v>421</v>
      </c>
      <c r="Q64">
        <v>466.02</v>
      </c>
      <c r="R64">
        <v>8</v>
      </c>
      <c r="T64" t="s">
        <v>533</v>
      </c>
      <c r="U64">
        <v>-62.8</v>
      </c>
      <c r="V64">
        <v>7</v>
      </c>
      <c r="X64">
        <v>-35.089100000000002</v>
      </c>
      <c r="Y64">
        <v>8</v>
      </c>
      <c r="AA64">
        <v>11.9109</v>
      </c>
      <c r="AB64">
        <v>8</v>
      </c>
      <c r="DO64" t="s">
        <v>542</v>
      </c>
      <c r="DP64">
        <v>22</v>
      </c>
      <c r="DQ64">
        <v>329.22</v>
      </c>
      <c r="DR64">
        <v>20</v>
      </c>
      <c r="DS64">
        <v>248.92</v>
      </c>
      <c r="DV64" t="s">
        <v>542</v>
      </c>
      <c r="DW64">
        <v>-70.53</v>
      </c>
      <c r="DX64">
        <v>22</v>
      </c>
      <c r="DZ64" t="s">
        <v>486</v>
      </c>
      <c r="EA64">
        <v>20</v>
      </c>
      <c r="EB64">
        <v>-65.819999999999993</v>
      </c>
      <c r="EE64" t="s">
        <v>542</v>
      </c>
      <c r="EF64">
        <v>-24.3523</v>
      </c>
      <c r="EG64">
        <v>22</v>
      </c>
      <c r="EI64" t="s">
        <v>489</v>
      </c>
      <c r="EJ64">
        <v>-54.877499999999998</v>
      </c>
      <c r="EK64">
        <v>20</v>
      </c>
      <c r="EM64" t="s">
        <v>489</v>
      </c>
      <c r="EN64">
        <v>-62.83</v>
      </c>
      <c r="EP64" t="s">
        <v>489</v>
      </c>
      <c r="EQ64">
        <f t="shared" si="10"/>
        <v>7.9525000000000006</v>
      </c>
      <c r="ES64">
        <v>50</v>
      </c>
      <c r="ET64">
        <v>0</v>
      </c>
      <c r="EU64">
        <v>1</v>
      </c>
      <c r="EV64">
        <v>0.5</v>
      </c>
      <c r="EW64" s="8">
        <v>0</v>
      </c>
      <c r="EX64">
        <v>0</v>
      </c>
      <c r="EY64">
        <v>1.5</v>
      </c>
      <c r="EZ64" s="8">
        <v>0</v>
      </c>
      <c r="FA64">
        <v>0.5</v>
      </c>
      <c r="FB64">
        <v>1</v>
      </c>
      <c r="FC64" s="1">
        <f t="shared" ref="FC64:FC71" si="17">AVERAGE(ET64:FB64)</f>
        <v>0.5</v>
      </c>
      <c r="GK64">
        <v>191222</v>
      </c>
      <c r="GL64">
        <v>30</v>
      </c>
      <c r="GM64">
        <v>30</v>
      </c>
      <c r="GN64">
        <v>0</v>
      </c>
      <c r="GR64">
        <v>49</v>
      </c>
      <c r="HC64" t="s">
        <v>543</v>
      </c>
      <c r="HD64">
        <v>191.6</v>
      </c>
      <c r="HE64">
        <v>48</v>
      </c>
      <c r="HH64" t="s">
        <v>587</v>
      </c>
      <c r="HI64">
        <v>48</v>
      </c>
      <c r="HJ64">
        <v>300.22000000000003</v>
      </c>
      <c r="HL64" t="s">
        <v>543</v>
      </c>
      <c r="HM64">
        <v>-61.55</v>
      </c>
      <c r="HN64">
        <v>48</v>
      </c>
      <c r="HP64">
        <v>48</v>
      </c>
      <c r="HQ64">
        <v>-71.27</v>
      </c>
      <c r="HS64" t="s">
        <v>547</v>
      </c>
      <c r="HT64">
        <v>-65.349999999999994</v>
      </c>
      <c r="HU64">
        <f t="shared" si="12"/>
        <v>113.35</v>
      </c>
      <c r="HV64">
        <v>48</v>
      </c>
      <c r="HW64">
        <v>-33.615099999999998</v>
      </c>
      <c r="HX64">
        <v>48</v>
      </c>
      <c r="HY64">
        <v>37.654899999999998</v>
      </c>
      <c r="HZ64">
        <v>48</v>
      </c>
    </row>
    <row r="65" spans="1:256" ht="13.15" x14ac:dyDescent="0.4">
      <c r="A65" s="2">
        <v>2102232</v>
      </c>
      <c r="B65" s="2">
        <v>30</v>
      </c>
      <c r="C65" s="2">
        <v>30</v>
      </c>
      <c r="D65" s="2">
        <v>1</v>
      </c>
      <c r="E65" s="2">
        <v>5</v>
      </c>
      <c r="F65" s="2">
        <v>25</v>
      </c>
      <c r="G65" s="2">
        <v>1</v>
      </c>
      <c r="H65" s="2">
        <v>8</v>
      </c>
      <c r="J65">
        <v>8</v>
      </c>
      <c r="K65">
        <v>1.84</v>
      </c>
      <c r="P65" t="s">
        <v>425</v>
      </c>
      <c r="Q65">
        <v>545.35</v>
      </c>
      <c r="R65">
        <v>8</v>
      </c>
      <c r="U65" s="1">
        <f>AVERAGE(U3:U64)</f>
        <v>-55.362580645161287</v>
      </c>
      <c r="X65">
        <v>-37.086500000000001</v>
      </c>
      <c r="Y65">
        <v>8</v>
      </c>
      <c r="AA65">
        <v>12.0435</v>
      </c>
      <c r="AB65">
        <v>8</v>
      </c>
      <c r="DO65" t="s">
        <v>546</v>
      </c>
      <c r="DP65">
        <v>22</v>
      </c>
      <c r="DQ65">
        <v>214.02</v>
      </c>
      <c r="DR65">
        <v>20</v>
      </c>
      <c r="DS65">
        <v>441.5</v>
      </c>
      <c r="DV65" t="s">
        <v>546</v>
      </c>
      <c r="DW65">
        <v>-71.52</v>
      </c>
      <c r="DX65">
        <v>22</v>
      </c>
      <c r="DZ65" t="s">
        <v>489</v>
      </c>
      <c r="EA65">
        <v>20</v>
      </c>
      <c r="EB65">
        <v>-62.83</v>
      </c>
      <c r="EE65" t="s">
        <v>546</v>
      </c>
      <c r="EF65">
        <v>-47.555500000000002</v>
      </c>
      <c r="EG65">
        <v>22</v>
      </c>
      <c r="EI65" t="s">
        <v>492</v>
      </c>
      <c r="EJ65">
        <v>-48.198700000000002</v>
      </c>
      <c r="EK65">
        <v>20</v>
      </c>
      <c r="EM65" t="s">
        <v>492</v>
      </c>
      <c r="EN65">
        <v>-73.66</v>
      </c>
      <c r="EP65" t="s">
        <v>492</v>
      </c>
      <c r="EQ65">
        <f t="shared" si="10"/>
        <v>25.461299999999994</v>
      </c>
      <c r="ES65">
        <v>100</v>
      </c>
      <c r="ET65">
        <v>0</v>
      </c>
      <c r="EU65">
        <v>2.5</v>
      </c>
      <c r="EV65">
        <v>1.5</v>
      </c>
      <c r="EW65" s="8">
        <v>0</v>
      </c>
      <c r="EX65">
        <v>0</v>
      </c>
      <c r="EY65">
        <v>4.5</v>
      </c>
      <c r="EZ65" s="8">
        <v>1</v>
      </c>
      <c r="FA65">
        <v>1.5</v>
      </c>
      <c r="FB65">
        <v>2.5</v>
      </c>
      <c r="FC65" s="1">
        <f t="shared" si="17"/>
        <v>1.5</v>
      </c>
      <c r="GK65">
        <v>30823</v>
      </c>
      <c r="GL65">
        <v>56</v>
      </c>
      <c r="GM65">
        <v>56</v>
      </c>
      <c r="GN65">
        <v>0</v>
      </c>
      <c r="GO65">
        <v>4</v>
      </c>
      <c r="GP65">
        <v>28</v>
      </c>
      <c r="GQ65">
        <v>0</v>
      </c>
      <c r="GR65">
        <v>49</v>
      </c>
      <c r="HC65" t="s">
        <v>547</v>
      </c>
      <c r="HD65">
        <v>96.75</v>
      </c>
      <c r="HE65">
        <v>48</v>
      </c>
      <c r="HH65" t="s">
        <v>590</v>
      </c>
      <c r="HI65">
        <v>48</v>
      </c>
      <c r="HJ65">
        <v>210.85</v>
      </c>
      <c r="HL65" t="s">
        <v>547</v>
      </c>
      <c r="HM65">
        <v>-65.349999999999994</v>
      </c>
      <c r="HN65">
        <v>48</v>
      </c>
      <c r="HP65">
        <v>48</v>
      </c>
      <c r="HQ65">
        <v>-55.29</v>
      </c>
      <c r="HS65" t="s">
        <v>551</v>
      </c>
      <c r="HT65">
        <v>-63.82</v>
      </c>
      <c r="HU65">
        <f t="shared" si="12"/>
        <v>111.82</v>
      </c>
      <c r="HV65">
        <v>48</v>
      </c>
      <c r="HW65">
        <v>-39.501899999999999</v>
      </c>
      <c r="HX65">
        <v>48</v>
      </c>
      <c r="HY65">
        <v>25.078099999999999</v>
      </c>
      <c r="HZ65">
        <v>48</v>
      </c>
      <c r="IC65" s="66">
        <v>50</v>
      </c>
      <c r="ID65" s="66">
        <v>50</v>
      </c>
      <c r="IE65" s="66">
        <v>50</v>
      </c>
      <c r="IF65" s="66">
        <v>50</v>
      </c>
      <c r="IG65" s="66">
        <v>50</v>
      </c>
      <c r="IH65" s="66">
        <v>50</v>
      </c>
      <c r="II65" s="66">
        <v>50</v>
      </c>
      <c r="IJ65" s="66">
        <v>50</v>
      </c>
      <c r="IK65" s="66">
        <v>50</v>
      </c>
      <c r="IL65" s="66">
        <v>50</v>
      </c>
      <c r="IM65" s="66">
        <v>50</v>
      </c>
      <c r="IN65" s="66">
        <v>50</v>
      </c>
      <c r="IO65" s="66">
        <v>50</v>
      </c>
      <c r="IP65" s="66">
        <v>50</v>
      </c>
      <c r="IQ65" s="66">
        <v>50</v>
      </c>
      <c r="IR65" s="66">
        <v>50</v>
      </c>
      <c r="IS65" s="66">
        <v>50</v>
      </c>
      <c r="IT65" s="66">
        <v>50</v>
      </c>
      <c r="IU65" s="66">
        <v>50</v>
      </c>
    </row>
    <row r="66" spans="1:256" ht="13.15" x14ac:dyDescent="0.4">
      <c r="A66" s="2">
        <v>220223</v>
      </c>
      <c r="B66" s="2">
        <v>42</v>
      </c>
      <c r="C66" s="2">
        <v>42</v>
      </c>
      <c r="D66" s="2">
        <v>3</v>
      </c>
      <c r="E66" s="2">
        <v>7</v>
      </c>
      <c r="F66" s="2">
        <v>42</v>
      </c>
      <c r="G66" s="2">
        <v>3</v>
      </c>
      <c r="H66" s="2">
        <v>8</v>
      </c>
      <c r="J66">
        <v>8</v>
      </c>
      <c r="K66">
        <v>2.58</v>
      </c>
      <c r="P66" t="s">
        <v>428</v>
      </c>
      <c r="Q66">
        <v>650.29999999999995</v>
      </c>
      <c r="R66">
        <v>8</v>
      </c>
      <c r="X66">
        <v>-40.219099999999997</v>
      </c>
      <c r="Y66">
        <v>8</v>
      </c>
      <c r="AA66">
        <v>17.410900000000002</v>
      </c>
      <c r="AB66">
        <v>8</v>
      </c>
      <c r="DO66" t="s">
        <v>550</v>
      </c>
      <c r="DP66">
        <v>22</v>
      </c>
      <c r="DQ66">
        <v>295.8</v>
      </c>
      <c r="DR66">
        <v>20</v>
      </c>
      <c r="DS66">
        <v>322.2</v>
      </c>
      <c r="DV66" t="s">
        <v>550</v>
      </c>
      <c r="DW66">
        <v>-57.37</v>
      </c>
      <c r="DX66">
        <v>22</v>
      </c>
      <c r="DZ66" t="s">
        <v>492</v>
      </c>
      <c r="EA66">
        <v>20</v>
      </c>
      <c r="EB66">
        <v>-73.66</v>
      </c>
      <c r="EE66" t="s">
        <v>550</v>
      </c>
      <c r="EF66">
        <v>-41.292499999999997</v>
      </c>
      <c r="EG66">
        <v>22</v>
      </c>
      <c r="EI66" t="s">
        <v>495</v>
      </c>
      <c r="EJ66">
        <v>-48.554200000000002</v>
      </c>
      <c r="EK66">
        <v>20</v>
      </c>
      <c r="EM66" t="s">
        <v>495</v>
      </c>
      <c r="EN66">
        <v>-61.8</v>
      </c>
      <c r="EP66" t="s">
        <v>495</v>
      </c>
      <c r="EQ66">
        <f t="shared" si="10"/>
        <v>13.245799999999996</v>
      </c>
      <c r="ES66">
        <v>150</v>
      </c>
      <c r="ET66">
        <v>0</v>
      </c>
      <c r="EU66">
        <v>3</v>
      </c>
      <c r="EV66">
        <v>2.5</v>
      </c>
      <c r="EW66" s="8">
        <v>0</v>
      </c>
      <c r="EX66">
        <v>0.5</v>
      </c>
      <c r="EY66">
        <v>6.5</v>
      </c>
      <c r="EZ66" s="8">
        <v>1</v>
      </c>
      <c r="FA66">
        <v>2.5</v>
      </c>
      <c r="FB66">
        <v>3.5</v>
      </c>
      <c r="FC66" s="1">
        <f t="shared" si="17"/>
        <v>2.1666666666666665</v>
      </c>
      <c r="GK66">
        <v>130324</v>
      </c>
      <c r="GL66">
        <v>30</v>
      </c>
      <c r="GM66">
        <v>30</v>
      </c>
      <c r="GN66">
        <v>0</v>
      </c>
      <c r="GO66">
        <v>3</v>
      </c>
      <c r="GP66">
        <v>15</v>
      </c>
      <c r="GQ66">
        <v>0</v>
      </c>
      <c r="GR66">
        <v>49</v>
      </c>
      <c r="HC66" t="s">
        <v>551</v>
      </c>
      <c r="HD66">
        <v>255.4</v>
      </c>
      <c r="HE66">
        <v>48</v>
      </c>
      <c r="HH66" t="s">
        <v>593</v>
      </c>
      <c r="HI66">
        <v>48</v>
      </c>
      <c r="HJ66">
        <v>210.65</v>
      </c>
      <c r="HL66" t="s">
        <v>551</v>
      </c>
      <c r="HM66">
        <v>-63.82</v>
      </c>
      <c r="HN66">
        <v>48</v>
      </c>
      <c r="HP66">
        <v>48</v>
      </c>
      <c r="HQ66">
        <v>-64.58</v>
      </c>
      <c r="HS66" t="s">
        <v>555</v>
      </c>
      <c r="HT66">
        <v>-69.260000000000005</v>
      </c>
      <c r="HU66">
        <f t="shared" si="12"/>
        <v>117.26</v>
      </c>
      <c r="HV66">
        <v>48</v>
      </c>
      <c r="HW66">
        <v>-42.970300000000002</v>
      </c>
      <c r="HX66">
        <v>49</v>
      </c>
      <c r="HY66">
        <v>12.389699999999999</v>
      </c>
      <c r="HZ66">
        <v>49</v>
      </c>
      <c r="IB66" t="s">
        <v>887</v>
      </c>
      <c r="IC66" t="s">
        <v>364</v>
      </c>
      <c r="ID66" t="s">
        <v>368</v>
      </c>
      <c r="IE66" t="s">
        <v>372</v>
      </c>
      <c r="IF66" t="s">
        <v>376</v>
      </c>
      <c r="IG66" t="s">
        <v>380</v>
      </c>
      <c r="IH66" t="s">
        <v>384</v>
      </c>
      <c r="II66" t="s">
        <v>387</v>
      </c>
      <c r="IJ66" t="s">
        <v>390</v>
      </c>
      <c r="IK66" t="s">
        <v>393</v>
      </c>
      <c r="IL66" t="s">
        <v>396</v>
      </c>
      <c r="IM66" t="s">
        <v>400</v>
      </c>
      <c r="IN66" t="s">
        <v>403</v>
      </c>
      <c r="IO66" t="s">
        <v>406</v>
      </c>
      <c r="IP66" t="s">
        <v>409</v>
      </c>
      <c r="IQ66" t="s">
        <v>626</v>
      </c>
      <c r="IR66" t="s">
        <v>629</v>
      </c>
      <c r="IS66" t="s">
        <v>632</v>
      </c>
      <c r="IT66" t="s">
        <v>635</v>
      </c>
      <c r="IU66" t="s">
        <v>638</v>
      </c>
      <c r="IV66" s="1" t="s">
        <v>897</v>
      </c>
    </row>
    <row r="67" spans="1:256" ht="13.15" x14ac:dyDescent="0.4">
      <c r="A67" s="2">
        <v>120423</v>
      </c>
      <c r="B67" s="2">
        <v>42</v>
      </c>
      <c r="C67" s="2">
        <v>42</v>
      </c>
      <c r="D67" s="2">
        <v>1</v>
      </c>
      <c r="E67" s="2">
        <v>8</v>
      </c>
      <c r="F67" s="2">
        <v>56</v>
      </c>
      <c r="G67" s="2">
        <v>1</v>
      </c>
      <c r="H67" s="2">
        <v>8</v>
      </c>
      <c r="J67">
        <v>8</v>
      </c>
      <c r="K67">
        <v>1.74</v>
      </c>
      <c r="P67" t="s">
        <v>431</v>
      </c>
      <c r="Q67">
        <v>483.2</v>
      </c>
      <c r="R67">
        <v>8</v>
      </c>
      <c r="X67">
        <v>-38.713099999999997</v>
      </c>
      <c r="Y67">
        <v>8</v>
      </c>
      <c r="AA67">
        <v>15.8269</v>
      </c>
      <c r="AB67">
        <v>8</v>
      </c>
      <c r="DO67" t="s">
        <v>554</v>
      </c>
      <c r="DP67">
        <v>22</v>
      </c>
      <c r="DQ67">
        <v>249.15</v>
      </c>
      <c r="DR67">
        <v>20</v>
      </c>
      <c r="DS67">
        <v>492.8</v>
      </c>
      <c r="DV67" t="s">
        <v>554</v>
      </c>
      <c r="DW67">
        <v>-58.25</v>
      </c>
      <c r="DX67">
        <v>22</v>
      </c>
      <c r="DZ67" t="s">
        <v>495</v>
      </c>
      <c r="EA67">
        <v>20</v>
      </c>
      <c r="EB67">
        <v>-61.8</v>
      </c>
      <c r="EE67" t="s">
        <v>554</v>
      </c>
      <c r="EF67">
        <v>-47.7791</v>
      </c>
      <c r="EG67">
        <v>22</v>
      </c>
      <c r="EI67" t="s">
        <v>498</v>
      </c>
      <c r="EJ67">
        <v>-36.601199999999999</v>
      </c>
      <c r="EK67">
        <v>20</v>
      </c>
      <c r="EM67" t="s">
        <v>498</v>
      </c>
      <c r="EN67">
        <v>-70.819999999999993</v>
      </c>
      <c r="EP67" t="s">
        <v>498</v>
      </c>
      <c r="EQ67">
        <f t="shared" ref="EQ67:EQ98" si="18">EJ67-EN67</f>
        <v>34.218799999999995</v>
      </c>
      <c r="ES67">
        <v>200</v>
      </c>
      <c r="ET67">
        <v>0.5</v>
      </c>
      <c r="EU67">
        <v>4</v>
      </c>
      <c r="EV67">
        <v>4</v>
      </c>
      <c r="EW67" s="8">
        <v>1</v>
      </c>
      <c r="EX67">
        <v>1</v>
      </c>
      <c r="EY67">
        <v>8</v>
      </c>
      <c r="EZ67" s="8">
        <v>2</v>
      </c>
      <c r="FA67">
        <v>3.5</v>
      </c>
      <c r="FB67">
        <v>4.5</v>
      </c>
      <c r="FC67" s="1">
        <f t="shared" si="17"/>
        <v>3.1666666666666665</v>
      </c>
      <c r="GK67" s="2">
        <v>80322</v>
      </c>
      <c r="GL67" s="2">
        <v>56</v>
      </c>
      <c r="GM67" s="2">
        <v>56</v>
      </c>
      <c r="GN67" s="2">
        <v>2</v>
      </c>
      <c r="GO67" s="2">
        <v>4</v>
      </c>
      <c r="GP67" s="2">
        <v>28</v>
      </c>
      <c r="GQ67" s="2">
        <v>2</v>
      </c>
      <c r="GR67" s="2">
        <v>50</v>
      </c>
      <c r="HC67" t="s">
        <v>555</v>
      </c>
      <c r="HD67">
        <v>175.62</v>
      </c>
      <c r="HE67">
        <v>48</v>
      </c>
      <c r="HH67" t="s">
        <v>413</v>
      </c>
      <c r="HI67">
        <v>49</v>
      </c>
      <c r="HJ67">
        <v>176.8</v>
      </c>
      <c r="HL67" t="s">
        <v>555</v>
      </c>
      <c r="HM67">
        <v>-69.260000000000005</v>
      </c>
      <c r="HN67">
        <v>48</v>
      </c>
      <c r="HP67">
        <v>49</v>
      </c>
      <c r="HQ67">
        <v>-55.36</v>
      </c>
      <c r="HS67" t="s">
        <v>559</v>
      </c>
      <c r="HT67">
        <v>-65.69</v>
      </c>
      <c r="HU67">
        <f t="shared" ref="HU67:HU98" si="19">HP67-HT67</f>
        <v>114.69</v>
      </c>
      <c r="HV67">
        <v>48</v>
      </c>
      <c r="HW67">
        <v>-35.028100000000002</v>
      </c>
      <c r="HX67">
        <v>49</v>
      </c>
      <c r="HY67">
        <v>29.9419</v>
      </c>
      <c r="HZ67">
        <v>49</v>
      </c>
      <c r="IB67">
        <v>50</v>
      </c>
      <c r="IC67">
        <v>0</v>
      </c>
      <c r="ID67">
        <v>0</v>
      </c>
      <c r="IE67">
        <v>1</v>
      </c>
      <c r="IF67">
        <v>0.5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1</v>
      </c>
      <c r="IT67">
        <v>0</v>
      </c>
      <c r="IU67">
        <v>0</v>
      </c>
      <c r="IV67" s="1">
        <f t="shared" ref="IV67:IV74" si="20">AVERAGE(IC67:IU67)</f>
        <v>0.13157894736842105</v>
      </c>
    </row>
    <row r="68" spans="1:256" ht="13.15" x14ac:dyDescent="0.4">
      <c r="A68" s="2">
        <v>130423</v>
      </c>
      <c r="B68" s="2">
        <v>6</v>
      </c>
      <c r="C68" s="2">
        <v>6</v>
      </c>
      <c r="D68" s="2">
        <v>1</v>
      </c>
      <c r="E68" s="2"/>
      <c r="F68" s="2"/>
      <c r="G68" s="2"/>
      <c r="H68" s="2">
        <v>8</v>
      </c>
      <c r="J68">
        <v>8</v>
      </c>
      <c r="K68">
        <v>5.18</v>
      </c>
      <c r="P68" t="s">
        <v>434</v>
      </c>
      <c r="Q68">
        <v>555.70000000000005</v>
      </c>
      <c r="R68">
        <v>8</v>
      </c>
      <c r="T68" t="s">
        <v>537</v>
      </c>
      <c r="U68">
        <v>-61.11</v>
      </c>
      <c r="V68">
        <v>8</v>
      </c>
      <c r="X68">
        <v>-34.2239</v>
      </c>
      <c r="Y68">
        <v>8</v>
      </c>
      <c r="AA68">
        <v>29.836099999999998</v>
      </c>
      <c r="AB68">
        <v>8</v>
      </c>
      <c r="DO68" t="s">
        <v>558</v>
      </c>
      <c r="DP68">
        <v>21</v>
      </c>
      <c r="DQ68">
        <v>277.60000000000002</v>
      </c>
      <c r="DR68">
        <v>21</v>
      </c>
      <c r="DS68">
        <v>188.25</v>
      </c>
      <c r="DV68" t="s">
        <v>558</v>
      </c>
      <c r="DW68">
        <v>-71.11</v>
      </c>
      <c r="DX68">
        <v>21</v>
      </c>
      <c r="DZ68" t="s">
        <v>498</v>
      </c>
      <c r="EA68">
        <v>20</v>
      </c>
      <c r="EB68">
        <v>-70.819999999999993</v>
      </c>
      <c r="EE68" t="s">
        <v>558</v>
      </c>
      <c r="EF68">
        <v>-49.694800000000001</v>
      </c>
      <c r="EG68">
        <v>21</v>
      </c>
      <c r="EI68" t="s">
        <v>343</v>
      </c>
      <c r="EJ68">
        <v>-43.494399999999999</v>
      </c>
      <c r="EK68">
        <v>21</v>
      </c>
      <c r="EM68" t="s">
        <v>343</v>
      </c>
      <c r="EN68">
        <v>-56.1</v>
      </c>
      <c r="EP68" t="s">
        <v>343</v>
      </c>
      <c r="EQ68">
        <f t="shared" si="18"/>
        <v>12.605600000000003</v>
      </c>
      <c r="ES68">
        <v>250</v>
      </c>
      <c r="ET68">
        <v>1</v>
      </c>
      <c r="EU68">
        <v>4</v>
      </c>
      <c r="EV68">
        <v>4.5</v>
      </c>
      <c r="EW68" s="8">
        <v>1.5</v>
      </c>
      <c r="EX68">
        <v>2</v>
      </c>
      <c r="EY68">
        <v>10</v>
      </c>
      <c r="EZ68" s="8">
        <v>2</v>
      </c>
      <c r="FA68">
        <v>4.5</v>
      </c>
      <c r="FB68">
        <v>6</v>
      </c>
      <c r="FC68" s="1">
        <f t="shared" si="17"/>
        <v>3.9444444444444446</v>
      </c>
      <c r="GK68">
        <v>803222</v>
      </c>
      <c r="GL68">
        <v>30</v>
      </c>
      <c r="GM68">
        <v>30</v>
      </c>
      <c r="GN68">
        <v>0</v>
      </c>
      <c r="GR68">
        <v>50</v>
      </c>
      <c r="HC68" t="s">
        <v>559</v>
      </c>
      <c r="HD68">
        <v>161.02000000000001</v>
      </c>
      <c r="HE68">
        <v>48</v>
      </c>
      <c r="HH68" t="s">
        <v>416</v>
      </c>
      <c r="HI68">
        <v>49</v>
      </c>
      <c r="HJ68">
        <v>146</v>
      </c>
      <c r="HL68" t="s">
        <v>559</v>
      </c>
      <c r="HM68">
        <v>-65.69</v>
      </c>
      <c r="HN68">
        <v>48</v>
      </c>
      <c r="HP68">
        <v>49</v>
      </c>
      <c r="HQ68">
        <v>-64.97</v>
      </c>
      <c r="HS68" t="s">
        <v>563</v>
      </c>
      <c r="HT68">
        <v>-63.52</v>
      </c>
      <c r="HU68">
        <f t="shared" si="19"/>
        <v>112.52000000000001</v>
      </c>
      <c r="HV68">
        <v>48</v>
      </c>
      <c r="HW68">
        <v>-44.099400000000003</v>
      </c>
      <c r="HX68">
        <v>49</v>
      </c>
      <c r="HY68">
        <v>8.3805999999999905</v>
      </c>
      <c r="HZ68">
        <v>49</v>
      </c>
      <c r="IB68">
        <v>100</v>
      </c>
      <c r="IC68">
        <v>0</v>
      </c>
      <c r="ID68">
        <v>0</v>
      </c>
      <c r="IE68">
        <v>1</v>
      </c>
      <c r="IF68">
        <v>0.5</v>
      </c>
      <c r="IG68">
        <v>0</v>
      </c>
      <c r="IH68">
        <v>1</v>
      </c>
      <c r="II68">
        <v>0</v>
      </c>
      <c r="IJ68">
        <v>0</v>
      </c>
      <c r="IK68">
        <v>0</v>
      </c>
      <c r="IL68">
        <v>1.5</v>
      </c>
      <c r="IM68">
        <v>0</v>
      </c>
      <c r="IN68">
        <v>2</v>
      </c>
      <c r="IO68">
        <v>0</v>
      </c>
      <c r="IP68">
        <v>1</v>
      </c>
      <c r="IQ68">
        <v>0</v>
      </c>
      <c r="IR68">
        <v>0</v>
      </c>
      <c r="IS68">
        <v>2</v>
      </c>
      <c r="IT68">
        <v>0</v>
      </c>
      <c r="IU68">
        <v>0</v>
      </c>
      <c r="IV68" s="1">
        <f t="shared" si="20"/>
        <v>0.47368421052631576</v>
      </c>
    </row>
    <row r="69" spans="1:256" ht="13.15" x14ac:dyDescent="0.4">
      <c r="A69" s="2">
        <v>1304232</v>
      </c>
      <c r="B69" s="2">
        <v>30</v>
      </c>
      <c r="C69" s="2">
        <v>30</v>
      </c>
      <c r="D69" s="2">
        <v>1</v>
      </c>
      <c r="E69" s="2">
        <v>6</v>
      </c>
      <c r="F69" s="2">
        <v>30</v>
      </c>
      <c r="G69" s="2">
        <v>1</v>
      </c>
      <c r="H69" s="2">
        <v>8</v>
      </c>
      <c r="J69">
        <v>8</v>
      </c>
      <c r="K69">
        <v>5.98</v>
      </c>
      <c r="P69" t="s">
        <v>437</v>
      </c>
      <c r="Q69">
        <v>349.87</v>
      </c>
      <c r="R69">
        <v>8</v>
      </c>
      <c r="T69" t="s">
        <v>541</v>
      </c>
      <c r="U69">
        <v>-57.23</v>
      </c>
      <c r="V69">
        <v>8</v>
      </c>
      <c r="X69">
        <v>-37.112400000000001</v>
      </c>
      <c r="Y69">
        <v>8</v>
      </c>
      <c r="AA69">
        <v>10.9376</v>
      </c>
      <c r="AB69">
        <v>8</v>
      </c>
      <c r="DO69" t="s">
        <v>562</v>
      </c>
      <c r="DP69">
        <v>21</v>
      </c>
      <c r="DQ69">
        <v>294.89999999999998</v>
      </c>
      <c r="DR69">
        <v>21</v>
      </c>
      <c r="DS69">
        <v>286.82</v>
      </c>
      <c r="DV69" t="s">
        <v>562</v>
      </c>
      <c r="DW69">
        <v>-71.63</v>
      </c>
      <c r="DX69">
        <v>21</v>
      </c>
      <c r="DZ69" t="s">
        <v>343</v>
      </c>
      <c r="EA69">
        <v>21</v>
      </c>
      <c r="EB69">
        <v>-56.1</v>
      </c>
      <c r="EE69" t="s">
        <v>562</v>
      </c>
      <c r="EF69">
        <v>-45.061399999999999</v>
      </c>
      <c r="EG69">
        <v>21</v>
      </c>
      <c r="EI69" t="s">
        <v>346</v>
      </c>
      <c r="EJ69">
        <v>-43.6798</v>
      </c>
      <c r="EK69">
        <v>21</v>
      </c>
      <c r="EM69" t="s">
        <v>346</v>
      </c>
      <c r="EN69">
        <v>-61.63</v>
      </c>
      <c r="EP69" t="s">
        <v>346</v>
      </c>
      <c r="EQ69">
        <f t="shared" si="18"/>
        <v>17.950200000000002</v>
      </c>
      <c r="ES69">
        <v>300</v>
      </c>
      <c r="ET69">
        <v>1.5</v>
      </c>
      <c r="EU69">
        <v>5</v>
      </c>
      <c r="EV69">
        <v>5.5</v>
      </c>
      <c r="EW69" s="8">
        <v>2</v>
      </c>
      <c r="EX69">
        <v>2</v>
      </c>
      <c r="EY69">
        <v>12.5</v>
      </c>
      <c r="EZ69" s="8">
        <v>3.5</v>
      </c>
      <c r="FA69">
        <v>5</v>
      </c>
      <c r="FB69">
        <v>7</v>
      </c>
      <c r="FC69" s="1">
        <f t="shared" si="17"/>
        <v>4.8888888888888893</v>
      </c>
      <c r="GK69">
        <v>30522</v>
      </c>
      <c r="GL69">
        <v>56</v>
      </c>
      <c r="GM69">
        <v>56</v>
      </c>
      <c r="GN69">
        <v>0</v>
      </c>
      <c r="GO69">
        <v>2</v>
      </c>
      <c r="GP69">
        <v>14</v>
      </c>
      <c r="GQ69">
        <v>0</v>
      </c>
      <c r="GR69">
        <v>50</v>
      </c>
      <c r="HC69" t="s">
        <v>563</v>
      </c>
      <c r="HD69">
        <v>250.15</v>
      </c>
      <c r="HE69">
        <v>48</v>
      </c>
      <c r="HH69" t="s">
        <v>419</v>
      </c>
      <c r="HI69">
        <v>49</v>
      </c>
      <c r="HJ69">
        <v>55.3</v>
      </c>
      <c r="HL69" t="s">
        <v>563</v>
      </c>
      <c r="HM69">
        <v>-63.52</v>
      </c>
      <c r="HN69">
        <v>48</v>
      </c>
      <c r="HP69">
        <v>49</v>
      </c>
      <c r="HQ69">
        <v>-52.48</v>
      </c>
      <c r="HS69" t="s">
        <v>567</v>
      </c>
      <c r="HT69">
        <v>-59.9</v>
      </c>
      <c r="HU69">
        <f t="shared" si="19"/>
        <v>108.9</v>
      </c>
      <c r="HV69">
        <v>48</v>
      </c>
      <c r="HW69">
        <v>-43.930100000000003</v>
      </c>
      <c r="HX69">
        <v>49</v>
      </c>
      <c r="HY69">
        <v>8.0699000000000005</v>
      </c>
      <c r="HZ69">
        <v>49</v>
      </c>
      <c r="IB69">
        <v>150</v>
      </c>
      <c r="IC69">
        <v>0.5</v>
      </c>
      <c r="ID69">
        <v>0</v>
      </c>
      <c r="IE69">
        <v>1</v>
      </c>
      <c r="IF69">
        <v>1</v>
      </c>
      <c r="IG69">
        <v>0</v>
      </c>
      <c r="IH69">
        <v>1</v>
      </c>
      <c r="II69">
        <v>0</v>
      </c>
      <c r="IJ69">
        <v>1</v>
      </c>
      <c r="IK69">
        <v>0.5</v>
      </c>
      <c r="IL69">
        <v>2</v>
      </c>
      <c r="IM69">
        <v>0</v>
      </c>
      <c r="IN69">
        <v>1.5</v>
      </c>
      <c r="IO69">
        <v>0</v>
      </c>
      <c r="IP69">
        <v>1</v>
      </c>
      <c r="IQ69">
        <v>0</v>
      </c>
      <c r="IR69">
        <v>0</v>
      </c>
      <c r="IS69">
        <v>2.5</v>
      </c>
      <c r="IT69">
        <v>0</v>
      </c>
      <c r="IU69">
        <v>1</v>
      </c>
      <c r="IV69" s="1">
        <f t="shared" si="20"/>
        <v>0.68421052631578949</v>
      </c>
    </row>
    <row r="70" spans="1:256" ht="13.15" x14ac:dyDescent="0.4">
      <c r="A70">
        <v>180423</v>
      </c>
      <c r="B70">
        <v>56</v>
      </c>
      <c r="C70">
        <v>56</v>
      </c>
      <c r="H70">
        <v>8</v>
      </c>
      <c r="J70">
        <v>8</v>
      </c>
      <c r="K70">
        <v>2.4700000000000002</v>
      </c>
      <c r="P70" t="s">
        <v>440</v>
      </c>
      <c r="Q70">
        <v>692.4</v>
      </c>
      <c r="R70">
        <v>8</v>
      </c>
      <c r="T70" t="s">
        <v>545</v>
      </c>
      <c r="U70">
        <v>-49.55</v>
      </c>
      <c r="V70">
        <v>8</v>
      </c>
      <c r="X70">
        <v>-36.546300000000002</v>
      </c>
      <c r="Y70">
        <v>8</v>
      </c>
      <c r="AA70">
        <v>14.9237</v>
      </c>
      <c r="AB70">
        <v>8</v>
      </c>
      <c r="DO70" t="s">
        <v>566</v>
      </c>
      <c r="DP70">
        <v>21</v>
      </c>
      <c r="DQ70">
        <v>342.6</v>
      </c>
      <c r="DR70">
        <v>21</v>
      </c>
      <c r="DS70">
        <v>326.92</v>
      </c>
      <c r="DV70" t="s">
        <v>566</v>
      </c>
      <c r="DW70">
        <v>-69.22</v>
      </c>
      <c r="DX70">
        <v>21</v>
      </c>
      <c r="DZ70" t="s">
        <v>346</v>
      </c>
      <c r="EA70">
        <v>21</v>
      </c>
      <c r="EB70">
        <v>-61.63</v>
      </c>
      <c r="EE70" t="s">
        <v>566</v>
      </c>
      <c r="EF70">
        <v>-49.275199999999998</v>
      </c>
      <c r="EG70">
        <v>21</v>
      </c>
      <c r="EI70" t="s">
        <v>349</v>
      </c>
      <c r="EJ70">
        <v>-46.411099999999998</v>
      </c>
      <c r="EK70">
        <v>21</v>
      </c>
      <c r="EM70" t="s">
        <v>349</v>
      </c>
      <c r="EN70">
        <v>-63.1</v>
      </c>
      <c r="EP70" t="s">
        <v>349</v>
      </c>
      <c r="EQ70">
        <f t="shared" si="18"/>
        <v>16.688900000000004</v>
      </c>
      <c r="ES70">
        <v>350</v>
      </c>
      <c r="ET70">
        <v>2</v>
      </c>
      <c r="EU70" s="8">
        <v>6.5</v>
      </c>
      <c r="EV70" s="8">
        <v>7</v>
      </c>
      <c r="EW70" s="8">
        <v>2</v>
      </c>
      <c r="EX70" s="8">
        <v>3</v>
      </c>
      <c r="EY70" s="8">
        <v>13.5</v>
      </c>
      <c r="EZ70" s="8">
        <v>5.5</v>
      </c>
      <c r="FA70" s="8">
        <v>6</v>
      </c>
      <c r="FB70" s="8">
        <v>7</v>
      </c>
      <c r="FC70" s="1">
        <f t="shared" si="17"/>
        <v>5.833333333333333</v>
      </c>
      <c r="GK70">
        <v>305222</v>
      </c>
      <c r="GL70">
        <v>30</v>
      </c>
      <c r="GM70">
        <v>30</v>
      </c>
      <c r="GN70">
        <v>0</v>
      </c>
      <c r="GR70">
        <v>50</v>
      </c>
      <c r="HC70" t="s">
        <v>567</v>
      </c>
      <c r="HD70">
        <v>195.95</v>
      </c>
      <c r="HE70">
        <v>48</v>
      </c>
      <c r="HH70" t="s">
        <v>423</v>
      </c>
      <c r="HI70">
        <v>49</v>
      </c>
      <c r="HJ70">
        <v>76.62</v>
      </c>
      <c r="HL70" t="s">
        <v>567</v>
      </c>
      <c r="HM70">
        <v>-59.9</v>
      </c>
      <c r="HN70">
        <v>48</v>
      </c>
      <c r="HP70">
        <v>49</v>
      </c>
      <c r="HQ70">
        <v>-52</v>
      </c>
      <c r="HS70" t="s">
        <v>571</v>
      </c>
      <c r="HT70">
        <v>-62.98</v>
      </c>
      <c r="HU70">
        <f t="shared" si="19"/>
        <v>111.97999999999999</v>
      </c>
      <c r="HV70">
        <v>48</v>
      </c>
      <c r="HW70">
        <v>-39.1327</v>
      </c>
      <c r="HX70">
        <v>49</v>
      </c>
      <c r="HY70">
        <v>34.777299999999997</v>
      </c>
      <c r="HZ70">
        <v>49</v>
      </c>
      <c r="IB70">
        <v>200</v>
      </c>
      <c r="IC70">
        <v>1</v>
      </c>
      <c r="ID70">
        <v>0</v>
      </c>
      <c r="IE70">
        <v>2</v>
      </c>
      <c r="IF70">
        <v>1.5</v>
      </c>
      <c r="IG70">
        <v>0</v>
      </c>
      <c r="IH70">
        <v>2</v>
      </c>
      <c r="II70">
        <v>1</v>
      </c>
      <c r="IJ70">
        <v>0.5</v>
      </c>
      <c r="IK70">
        <v>0.5</v>
      </c>
      <c r="IL70">
        <v>3</v>
      </c>
      <c r="IM70">
        <v>0.5</v>
      </c>
      <c r="IN70">
        <v>3.5</v>
      </c>
      <c r="IO70">
        <v>1</v>
      </c>
      <c r="IP70">
        <v>1</v>
      </c>
      <c r="IQ70">
        <v>0</v>
      </c>
      <c r="IR70">
        <v>0</v>
      </c>
      <c r="IS70">
        <v>2</v>
      </c>
      <c r="IT70">
        <v>0</v>
      </c>
      <c r="IU70">
        <v>2</v>
      </c>
      <c r="IV70" s="1">
        <f t="shared" si="20"/>
        <v>1.131578947368421</v>
      </c>
    </row>
    <row r="71" spans="1:256" ht="13.15" x14ac:dyDescent="0.4">
      <c r="A71" s="2">
        <v>1804232</v>
      </c>
      <c r="B71" s="2">
        <v>42</v>
      </c>
      <c r="C71" s="2">
        <v>56</v>
      </c>
      <c r="D71" s="2">
        <v>2</v>
      </c>
      <c r="E71" s="2">
        <v>3</v>
      </c>
      <c r="F71" s="2">
        <v>18</v>
      </c>
      <c r="G71" s="2">
        <v>2</v>
      </c>
      <c r="H71" s="2">
        <v>8</v>
      </c>
      <c r="J71">
        <v>8</v>
      </c>
      <c r="K71">
        <v>0.62</v>
      </c>
      <c r="P71" t="s">
        <v>443</v>
      </c>
      <c r="Q71">
        <v>641.5</v>
      </c>
      <c r="R71">
        <v>8</v>
      </c>
      <c r="T71" t="s">
        <v>549</v>
      </c>
      <c r="U71">
        <v>-48.05</v>
      </c>
      <c r="V71">
        <v>8</v>
      </c>
      <c r="X71">
        <v>-37.3108</v>
      </c>
      <c r="Y71">
        <v>8</v>
      </c>
      <c r="AA71">
        <v>22.999199999999998</v>
      </c>
      <c r="AB71">
        <v>8</v>
      </c>
      <c r="DO71" t="s">
        <v>570</v>
      </c>
      <c r="DP71">
        <v>21</v>
      </c>
      <c r="DQ71">
        <v>336.3</v>
      </c>
      <c r="DR71">
        <v>21</v>
      </c>
      <c r="DS71">
        <v>418</v>
      </c>
      <c r="DV71" t="s">
        <v>570</v>
      </c>
      <c r="DW71">
        <v>-71.52</v>
      </c>
      <c r="DX71">
        <v>21</v>
      </c>
      <c r="DZ71" t="s">
        <v>349</v>
      </c>
      <c r="EA71">
        <v>21</v>
      </c>
      <c r="EB71">
        <v>-63.1</v>
      </c>
      <c r="EE71" t="s">
        <v>570</v>
      </c>
      <c r="EF71">
        <v>-52.915100000000002</v>
      </c>
      <c r="EG71">
        <v>21</v>
      </c>
      <c r="EI71" t="s">
        <v>352</v>
      </c>
      <c r="EJ71">
        <v>-42.069000000000003</v>
      </c>
      <c r="EK71">
        <v>21</v>
      </c>
      <c r="EM71" t="s">
        <v>352</v>
      </c>
      <c r="EN71">
        <v>-65.44</v>
      </c>
      <c r="EP71" t="s">
        <v>352</v>
      </c>
      <c r="EQ71">
        <f t="shared" si="18"/>
        <v>23.370999999999995</v>
      </c>
      <c r="ES71">
        <v>400</v>
      </c>
      <c r="ET71">
        <v>2.5</v>
      </c>
      <c r="EU71">
        <v>5.5</v>
      </c>
      <c r="EV71">
        <v>9.5</v>
      </c>
      <c r="EW71" s="8">
        <v>3</v>
      </c>
      <c r="EX71">
        <v>4</v>
      </c>
      <c r="EY71">
        <v>15.5</v>
      </c>
      <c r="EZ71" s="8">
        <v>4.5</v>
      </c>
      <c r="FA71">
        <v>7</v>
      </c>
      <c r="FB71">
        <v>9</v>
      </c>
      <c r="FC71" s="1">
        <f t="shared" si="17"/>
        <v>6.7222222222222223</v>
      </c>
      <c r="GK71">
        <v>40722</v>
      </c>
      <c r="GL71">
        <v>42</v>
      </c>
      <c r="GM71">
        <v>42</v>
      </c>
      <c r="GN71">
        <v>0</v>
      </c>
      <c r="GO71">
        <v>3</v>
      </c>
      <c r="GP71">
        <v>18</v>
      </c>
      <c r="GQ71">
        <v>0</v>
      </c>
      <c r="GR71">
        <v>50</v>
      </c>
      <c r="HC71" t="s">
        <v>571</v>
      </c>
      <c r="HD71">
        <v>124.87</v>
      </c>
      <c r="HE71">
        <v>48</v>
      </c>
      <c r="HH71" t="s">
        <v>427</v>
      </c>
      <c r="HI71">
        <v>49</v>
      </c>
      <c r="HJ71">
        <v>119.5</v>
      </c>
      <c r="HL71" t="s">
        <v>571</v>
      </c>
      <c r="HM71">
        <v>-62.98</v>
      </c>
      <c r="HN71">
        <v>48</v>
      </c>
      <c r="HP71">
        <v>49</v>
      </c>
      <c r="HQ71">
        <v>-73.91</v>
      </c>
      <c r="HS71" t="s">
        <v>575</v>
      </c>
      <c r="HT71">
        <v>-56</v>
      </c>
      <c r="HU71">
        <f t="shared" si="19"/>
        <v>105</v>
      </c>
      <c r="HV71">
        <v>48</v>
      </c>
      <c r="HW71">
        <v>-45.791600000000003</v>
      </c>
      <c r="HX71">
        <v>49</v>
      </c>
      <c r="HY71">
        <v>27.688400000000001</v>
      </c>
      <c r="HZ71">
        <v>49</v>
      </c>
      <c r="IB71">
        <v>250</v>
      </c>
      <c r="IC71">
        <v>1</v>
      </c>
      <c r="ID71">
        <v>0</v>
      </c>
      <c r="IE71">
        <v>3</v>
      </c>
      <c r="IF71">
        <v>1</v>
      </c>
      <c r="IG71">
        <v>0</v>
      </c>
      <c r="IH71">
        <v>3</v>
      </c>
      <c r="II71">
        <v>1.5</v>
      </c>
      <c r="IJ71">
        <v>1</v>
      </c>
      <c r="IK71">
        <v>1.5</v>
      </c>
      <c r="IL71">
        <v>3.5</v>
      </c>
      <c r="IM71">
        <v>1.5</v>
      </c>
      <c r="IN71">
        <v>2.5</v>
      </c>
      <c r="IO71">
        <v>2</v>
      </c>
      <c r="IP71">
        <v>1</v>
      </c>
      <c r="IQ71">
        <v>0</v>
      </c>
      <c r="IR71">
        <v>0</v>
      </c>
      <c r="IS71">
        <v>2</v>
      </c>
      <c r="IT71">
        <v>0</v>
      </c>
      <c r="IU71">
        <v>3.5</v>
      </c>
      <c r="IV71" s="1">
        <f t="shared" si="20"/>
        <v>1.4736842105263157</v>
      </c>
    </row>
    <row r="72" spans="1:256" ht="13.15" x14ac:dyDescent="0.4">
      <c r="A72" s="2">
        <v>190423</v>
      </c>
      <c r="B72" s="2">
        <v>42</v>
      </c>
      <c r="C72" s="2">
        <v>42</v>
      </c>
      <c r="D72" s="2">
        <v>2</v>
      </c>
      <c r="E72" s="2"/>
      <c r="F72" s="2"/>
      <c r="G72" s="2"/>
      <c r="H72" s="2">
        <v>8</v>
      </c>
      <c r="J72">
        <v>8</v>
      </c>
      <c r="K72">
        <v>5.39</v>
      </c>
      <c r="P72" t="s">
        <v>446</v>
      </c>
      <c r="Q72">
        <v>267.12</v>
      </c>
      <c r="R72">
        <v>8</v>
      </c>
      <c r="T72" t="s">
        <v>553</v>
      </c>
      <c r="U72">
        <v>-55.35</v>
      </c>
      <c r="V72">
        <v>8</v>
      </c>
      <c r="X72">
        <v>-34.3384</v>
      </c>
      <c r="Y72">
        <v>8</v>
      </c>
      <c r="AA72">
        <v>27.5716</v>
      </c>
      <c r="AB72">
        <v>8</v>
      </c>
      <c r="DO72" t="s">
        <v>574</v>
      </c>
      <c r="DP72">
        <v>21</v>
      </c>
      <c r="DQ72">
        <v>347</v>
      </c>
      <c r="DR72">
        <v>21</v>
      </c>
      <c r="DS72">
        <v>283.89999999999998</v>
      </c>
      <c r="DV72" t="s">
        <v>574</v>
      </c>
      <c r="DW72">
        <v>-76.09</v>
      </c>
      <c r="DX72">
        <v>21</v>
      </c>
      <c r="DZ72" t="s">
        <v>352</v>
      </c>
      <c r="EA72">
        <v>21</v>
      </c>
      <c r="EB72">
        <v>-65.44</v>
      </c>
      <c r="EE72" t="s">
        <v>574</v>
      </c>
      <c r="EF72">
        <v>-53.508000000000003</v>
      </c>
      <c r="EG72">
        <v>21</v>
      </c>
      <c r="EI72" t="s">
        <v>501</v>
      </c>
      <c r="EJ72">
        <v>-49.568899999999999</v>
      </c>
      <c r="EK72">
        <v>21</v>
      </c>
      <c r="EM72" t="s">
        <v>501</v>
      </c>
      <c r="EN72">
        <v>-74.62</v>
      </c>
      <c r="EP72" t="s">
        <v>501</v>
      </c>
      <c r="EQ72">
        <f t="shared" si="18"/>
        <v>25.051100000000005</v>
      </c>
      <c r="GK72" s="2">
        <v>120722</v>
      </c>
      <c r="GL72" s="2">
        <v>42</v>
      </c>
      <c r="GM72" s="2">
        <v>42</v>
      </c>
      <c r="GN72" s="10">
        <v>1</v>
      </c>
      <c r="GO72" s="2">
        <v>2</v>
      </c>
      <c r="GP72" s="2">
        <v>12</v>
      </c>
      <c r="GQ72" s="2">
        <v>1</v>
      </c>
      <c r="GR72" s="2">
        <v>50</v>
      </c>
      <c r="HC72" t="s">
        <v>575</v>
      </c>
      <c r="HD72">
        <v>229.8</v>
      </c>
      <c r="HE72">
        <v>48</v>
      </c>
      <c r="HH72" t="s">
        <v>430</v>
      </c>
      <c r="HI72">
        <v>49</v>
      </c>
      <c r="HJ72">
        <v>139.57</v>
      </c>
      <c r="HL72" t="s">
        <v>575</v>
      </c>
      <c r="HM72">
        <v>-56</v>
      </c>
      <c r="HN72">
        <v>48</v>
      </c>
      <c r="HP72">
        <v>49</v>
      </c>
      <c r="HQ72">
        <v>-73.48</v>
      </c>
      <c r="HS72" t="s">
        <v>578</v>
      </c>
      <c r="HT72">
        <v>-58.38</v>
      </c>
      <c r="HU72">
        <f t="shared" si="19"/>
        <v>107.38</v>
      </c>
      <c r="HV72">
        <v>48</v>
      </c>
      <c r="HW72">
        <v>-42.2592</v>
      </c>
      <c r="HX72">
        <v>49</v>
      </c>
      <c r="HY72">
        <v>23.820799999999998</v>
      </c>
      <c r="HZ72">
        <v>49</v>
      </c>
      <c r="IB72">
        <v>300</v>
      </c>
      <c r="IC72">
        <v>1</v>
      </c>
      <c r="ID72">
        <v>1</v>
      </c>
      <c r="IE72">
        <v>3</v>
      </c>
      <c r="IF72">
        <v>1.5</v>
      </c>
      <c r="IG72">
        <v>0</v>
      </c>
      <c r="IH72">
        <v>4</v>
      </c>
      <c r="II72">
        <v>2</v>
      </c>
      <c r="IJ72">
        <v>2</v>
      </c>
      <c r="IK72">
        <v>1</v>
      </c>
      <c r="IL72">
        <v>4.5</v>
      </c>
      <c r="IM72">
        <v>1</v>
      </c>
      <c r="IN72">
        <v>4</v>
      </c>
      <c r="IO72">
        <v>1</v>
      </c>
      <c r="IP72">
        <v>1</v>
      </c>
      <c r="IQ72">
        <v>0</v>
      </c>
      <c r="IR72">
        <v>1</v>
      </c>
      <c r="IS72">
        <v>2.5</v>
      </c>
      <c r="IT72">
        <v>0.5</v>
      </c>
      <c r="IU72">
        <v>4</v>
      </c>
      <c r="IV72" s="1">
        <f t="shared" si="20"/>
        <v>1.8421052631578947</v>
      </c>
    </row>
    <row r="73" spans="1:256" ht="13.15" x14ac:dyDescent="0.4">
      <c r="A73" s="2">
        <v>1904232</v>
      </c>
      <c r="B73" s="2">
        <v>20</v>
      </c>
      <c r="C73" s="2">
        <v>30</v>
      </c>
      <c r="D73" s="2">
        <v>3</v>
      </c>
      <c r="E73" s="2">
        <v>3</v>
      </c>
      <c r="F73" s="2">
        <v>15</v>
      </c>
      <c r="G73" s="2">
        <v>3</v>
      </c>
      <c r="H73" s="2">
        <v>8</v>
      </c>
      <c r="P73" s="8" t="s">
        <v>449</v>
      </c>
      <c r="Q73">
        <v>351.27</v>
      </c>
      <c r="R73">
        <v>8</v>
      </c>
      <c r="T73" t="s">
        <v>557</v>
      </c>
      <c r="U73">
        <v>-49.83</v>
      </c>
      <c r="V73">
        <v>8</v>
      </c>
      <c r="X73">
        <v>-39.335599999999999</v>
      </c>
      <c r="Y73">
        <v>8</v>
      </c>
      <c r="AA73">
        <v>10.8444</v>
      </c>
      <c r="AB73">
        <v>8</v>
      </c>
      <c r="DO73" t="s">
        <v>577</v>
      </c>
      <c r="DP73">
        <v>21</v>
      </c>
      <c r="DQ73">
        <v>249.95</v>
      </c>
      <c r="DR73">
        <v>21</v>
      </c>
      <c r="DS73">
        <v>312.45</v>
      </c>
      <c r="DV73" t="s">
        <v>577</v>
      </c>
      <c r="DW73">
        <v>-75.7</v>
      </c>
      <c r="DX73">
        <v>21</v>
      </c>
      <c r="DZ73" t="s">
        <v>501</v>
      </c>
      <c r="EA73">
        <v>21</v>
      </c>
      <c r="EB73">
        <v>-74.62</v>
      </c>
      <c r="EE73" t="s">
        <v>577</v>
      </c>
      <c r="EF73">
        <v>-45.795400000000001</v>
      </c>
      <c r="EG73">
        <v>21</v>
      </c>
      <c r="EI73" t="s">
        <v>504</v>
      </c>
      <c r="EJ73">
        <v>-52.1721</v>
      </c>
      <c r="EK73">
        <v>21</v>
      </c>
      <c r="EM73" t="s">
        <v>504</v>
      </c>
      <c r="EN73">
        <v>-67.290000000000006</v>
      </c>
      <c r="EP73" t="s">
        <v>504</v>
      </c>
      <c r="EQ73">
        <f t="shared" si="18"/>
        <v>15.117900000000006</v>
      </c>
      <c r="GK73">
        <v>51222</v>
      </c>
      <c r="GL73">
        <v>30</v>
      </c>
      <c r="GM73">
        <v>30</v>
      </c>
      <c r="GN73">
        <v>0</v>
      </c>
      <c r="GR73">
        <v>50</v>
      </c>
      <c r="HC73" t="s">
        <v>578</v>
      </c>
      <c r="HD73">
        <v>187.42</v>
      </c>
      <c r="HE73">
        <v>48</v>
      </c>
      <c r="HH73" t="s">
        <v>433</v>
      </c>
      <c r="HI73">
        <v>49</v>
      </c>
      <c r="HJ73">
        <v>180.22</v>
      </c>
      <c r="HL73" t="s">
        <v>578</v>
      </c>
      <c r="HM73">
        <v>-58.38</v>
      </c>
      <c r="HN73">
        <v>48</v>
      </c>
      <c r="HP73">
        <v>49</v>
      </c>
      <c r="HQ73">
        <v>-66.08</v>
      </c>
      <c r="HS73" t="s">
        <v>581</v>
      </c>
      <c r="HT73">
        <v>-61.43</v>
      </c>
      <c r="HU73">
        <f t="shared" si="19"/>
        <v>110.43</v>
      </c>
      <c r="HV73">
        <v>48</v>
      </c>
      <c r="HW73">
        <v>-40.525100000000002</v>
      </c>
      <c r="HX73">
        <v>49</v>
      </c>
      <c r="HY73">
        <v>16.944900000000001</v>
      </c>
      <c r="HZ73">
        <v>49</v>
      </c>
      <c r="IB73">
        <v>350</v>
      </c>
      <c r="IC73">
        <v>1</v>
      </c>
      <c r="ID73">
        <v>1.5</v>
      </c>
      <c r="IE73">
        <v>3</v>
      </c>
      <c r="IF73">
        <v>1.5</v>
      </c>
      <c r="IG73">
        <v>1</v>
      </c>
      <c r="IH73">
        <v>5</v>
      </c>
      <c r="II73">
        <v>1.5</v>
      </c>
      <c r="IJ73">
        <v>2.5</v>
      </c>
      <c r="IK73">
        <v>2</v>
      </c>
      <c r="IL73">
        <v>5</v>
      </c>
      <c r="IM73">
        <v>1</v>
      </c>
      <c r="IN73">
        <v>4</v>
      </c>
      <c r="IO73">
        <v>1</v>
      </c>
      <c r="IP73">
        <v>1</v>
      </c>
      <c r="IQ73">
        <v>0.5</v>
      </c>
      <c r="IR73">
        <v>1</v>
      </c>
      <c r="IS73">
        <v>3.5</v>
      </c>
      <c r="IT73">
        <v>0.5</v>
      </c>
      <c r="IU73">
        <v>4.5</v>
      </c>
      <c r="IV73" s="1">
        <f t="shared" si="20"/>
        <v>2.1578947368421053</v>
      </c>
    </row>
    <row r="74" spans="1:256" ht="13.15" x14ac:dyDescent="0.4">
      <c r="A74" s="8">
        <v>60923</v>
      </c>
      <c r="B74">
        <v>56</v>
      </c>
      <c r="C74">
        <v>56</v>
      </c>
      <c r="H74">
        <v>8</v>
      </c>
      <c r="P74" t="s">
        <v>452</v>
      </c>
      <c r="Q74">
        <v>351.05</v>
      </c>
      <c r="R74">
        <v>8</v>
      </c>
      <c r="T74" t="s">
        <v>561</v>
      </c>
      <c r="U74">
        <v>-57.74</v>
      </c>
      <c r="V74">
        <v>8</v>
      </c>
      <c r="X74">
        <v>-39.335599999999999</v>
      </c>
      <c r="Y74">
        <v>8</v>
      </c>
      <c r="AA74">
        <v>12.3644</v>
      </c>
      <c r="AB74">
        <v>8</v>
      </c>
      <c r="DO74" t="s">
        <v>580</v>
      </c>
      <c r="DP74">
        <v>21</v>
      </c>
      <c r="DQ74">
        <v>312.10000000000002</v>
      </c>
      <c r="DR74">
        <v>21</v>
      </c>
      <c r="DS74">
        <v>129.91999999999999</v>
      </c>
      <c r="DV74" t="s">
        <v>580</v>
      </c>
      <c r="DW74">
        <v>-67.319999999999993</v>
      </c>
      <c r="DX74">
        <v>21</v>
      </c>
      <c r="DZ74" t="s">
        <v>504</v>
      </c>
      <c r="EA74">
        <v>21</v>
      </c>
      <c r="EB74">
        <v>-67.290000000000006</v>
      </c>
      <c r="EE74" t="s">
        <v>580</v>
      </c>
      <c r="EF74">
        <v>-55.319200000000002</v>
      </c>
      <c r="EG74">
        <v>21</v>
      </c>
      <c r="EI74" t="s">
        <v>507</v>
      </c>
      <c r="EJ74">
        <v>-50.2258</v>
      </c>
      <c r="EK74">
        <v>21</v>
      </c>
      <c r="EM74" t="s">
        <v>507</v>
      </c>
      <c r="EN74">
        <v>-61.09</v>
      </c>
      <c r="EP74" t="s">
        <v>507</v>
      </c>
      <c r="EQ74">
        <f t="shared" si="18"/>
        <v>10.864200000000004</v>
      </c>
      <c r="ET74" s="67">
        <v>24</v>
      </c>
      <c r="EU74" s="67"/>
      <c r="EV74" s="67"/>
      <c r="EW74" s="67"/>
      <c r="EX74" s="67"/>
      <c r="EY74" s="67"/>
      <c r="EZ74" s="67"/>
      <c r="FA74" s="67"/>
      <c r="FB74" s="67"/>
      <c r="FC74" s="67"/>
      <c r="FD74" s="67"/>
      <c r="FE74" s="67"/>
      <c r="GK74">
        <v>211222</v>
      </c>
      <c r="GL74">
        <v>30</v>
      </c>
      <c r="GM74">
        <v>30</v>
      </c>
      <c r="GN74">
        <v>0</v>
      </c>
      <c r="GR74">
        <v>50</v>
      </c>
      <c r="HC74" t="s">
        <v>581</v>
      </c>
      <c r="HD74">
        <v>169.07</v>
      </c>
      <c r="HE74">
        <v>48</v>
      </c>
      <c r="HH74" t="s">
        <v>436</v>
      </c>
      <c r="HI74">
        <v>49</v>
      </c>
      <c r="HJ74">
        <v>312.82</v>
      </c>
      <c r="HL74" t="s">
        <v>581</v>
      </c>
      <c r="HM74">
        <v>-61.43</v>
      </c>
      <c r="HN74">
        <v>48</v>
      </c>
      <c r="HP74">
        <v>49</v>
      </c>
      <c r="HQ74">
        <v>-69.33</v>
      </c>
      <c r="HS74" t="s">
        <v>584</v>
      </c>
      <c r="HT74">
        <v>-58.38</v>
      </c>
      <c r="HU74">
        <f t="shared" si="19"/>
        <v>107.38</v>
      </c>
      <c r="HV74">
        <v>48</v>
      </c>
      <c r="HW74">
        <v>-35.366799999999998</v>
      </c>
      <c r="HX74">
        <v>49</v>
      </c>
      <c r="HY74">
        <v>23.5932</v>
      </c>
      <c r="HZ74">
        <v>49</v>
      </c>
      <c r="IB74">
        <v>400</v>
      </c>
      <c r="IC74">
        <v>1</v>
      </c>
      <c r="ID74">
        <v>2.5</v>
      </c>
      <c r="IE74">
        <v>4.5</v>
      </c>
      <c r="IF74">
        <v>2</v>
      </c>
      <c r="IG74">
        <v>1</v>
      </c>
      <c r="IH74">
        <v>3.5</v>
      </c>
      <c r="II74">
        <v>2</v>
      </c>
      <c r="IJ74">
        <v>2.5</v>
      </c>
      <c r="IK74">
        <v>3.5</v>
      </c>
      <c r="IL74">
        <v>6.5</v>
      </c>
      <c r="IM74">
        <v>1</v>
      </c>
      <c r="IN74">
        <v>5</v>
      </c>
      <c r="IO74">
        <v>1</v>
      </c>
      <c r="IP74">
        <v>1</v>
      </c>
      <c r="IQ74">
        <v>1</v>
      </c>
      <c r="IR74">
        <v>1</v>
      </c>
      <c r="IS74">
        <v>4</v>
      </c>
      <c r="IT74">
        <v>1</v>
      </c>
      <c r="IU74">
        <v>5.5</v>
      </c>
      <c r="IV74" s="1">
        <f t="shared" si="20"/>
        <v>2.6052631578947367</v>
      </c>
    </row>
    <row r="75" spans="1:256" x14ac:dyDescent="0.35">
      <c r="A75">
        <v>609232</v>
      </c>
      <c r="B75">
        <v>56</v>
      </c>
      <c r="C75">
        <v>56</v>
      </c>
      <c r="H75">
        <v>8</v>
      </c>
      <c r="P75" t="s">
        <v>455</v>
      </c>
      <c r="Q75">
        <v>712.4</v>
      </c>
      <c r="R75">
        <v>8</v>
      </c>
      <c r="T75" t="s">
        <v>565</v>
      </c>
      <c r="U75">
        <v>-47</v>
      </c>
      <c r="V75">
        <v>8</v>
      </c>
      <c r="X75">
        <v>-34.5276</v>
      </c>
      <c r="Y75">
        <v>8</v>
      </c>
      <c r="AA75">
        <v>23.032399999999999</v>
      </c>
      <c r="AB75">
        <v>8</v>
      </c>
      <c r="DO75" t="s">
        <v>583</v>
      </c>
      <c r="DP75">
        <v>21</v>
      </c>
      <c r="DQ75">
        <v>323.2</v>
      </c>
      <c r="DR75">
        <v>21</v>
      </c>
      <c r="DS75">
        <v>252.67</v>
      </c>
      <c r="DV75" t="s">
        <v>583</v>
      </c>
      <c r="DW75">
        <v>-76.540000000000006</v>
      </c>
      <c r="DX75">
        <v>21</v>
      </c>
      <c r="DZ75" t="s">
        <v>507</v>
      </c>
      <c r="EA75">
        <v>21</v>
      </c>
      <c r="EB75">
        <v>-61.09</v>
      </c>
      <c r="EE75" t="s">
        <v>583</v>
      </c>
      <c r="EF75">
        <v>-54.811100000000003</v>
      </c>
      <c r="EG75">
        <v>21</v>
      </c>
      <c r="EI75" t="s">
        <v>510</v>
      </c>
      <c r="EJ75">
        <v>-58.031500000000001</v>
      </c>
      <c r="EK75">
        <v>21</v>
      </c>
      <c r="EM75" t="s">
        <v>510</v>
      </c>
      <c r="EN75">
        <v>-62.37</v>
      </c>
      <c r="EP75" t="s">
        <v>510</v>
      </c>
      <c r="EQ75">
        <f t="shared" si="18"/>
        <v>4.3384999999999962</v>
      </c>
      <c r="ES75" t="s">
        <v>887</v>
      </c>
      <c r="ET75" t="s">
        <v>355</v>
      </c>
      <c r="EU75" t="s">
        <v>359</v>
      </c>
      <c r="EV75" t="s">
        <v>363</v>
      </c>
      <c r="EW75" t="s">
        <v>367</v>
      </c>
      <c r="EX75" t="s">
        <v>371</v>
      </c>
      <c r="EY75" t="s">
        <v>375</v>
      </c>
      <c r="EZ75" t="s">
        <v>919</v>
      </c>
      <c r="FA75" t="s">
        <v>920</v>
      </c>
      <c r="FB75" t="s">
        <v>921</v>
      </c>
      <c r="FC75" t="s">
        <v>922</v>
      </c>
      <c r="FD75" t="s">
        <v>923</v>
      </c>
      <c r="FE75" t="s">
        <v>924</v>
      </c>
      <c r="GK75">
        <v>170123</v>
      </c>
      <c r="GL75">
        <v>20</v>
      </c>
      <c r="GM75">
        <v>20</v>
      </c>
      <c r="GN75">
        <v>0</v>
      </c>
      <c r="GR75">
        <v>50</v>
      </c>
      <c r="HC75" t="s">
        <v>584</v>
      </c>
      <c r="HD75">
        <v>174.37</v>
      </c>
      <c r="HE75">
        <v>48</v>
      </c>
      <c r="HH75" t="s">
        <v>596</v>
      </c>
      <c r="HI75">
        <v>49</v>
      </c>
      <c r="HJ75">
        <v>164.97</v>
      </c>
      <c r="HL75" t="s">
        <v>584</v>
      </c>
      <c r="HM75">
        <v>-58.38</v>
      </c>
      <c r="HN75">
        <v>48</v>
      </c>
      <c r="HP75">
        <v>49</v>
      </c>
      <c r="HQ75">
        <v>-57.47</v>
      </c>
      <c r="HS75" t="s">
        <v>587</v>
      </c>
      <c r="HT75">
        <v>-71.27</v>
      </c>
      <c r="HU75">
        <f t="shared" si="19"/>
        <v>120.27</v>
      </c>
      <c r="HV75">
        <v>48</v>
      </c>
      <c r="HW75">
        <v>-40.001800000000003</v>
      </c>
      <c r="HX75">
        <v>49</v>
      </c>
      <c r="HY75">
        <v>21.398199999999999</v>
      </c>
      <c r="HZ75">
        <v>49</v>
      </c>
    </row>
    <row r="76" spans="1:256" ht="15" x14ac:dyDescent="0.5">
      <c r="A76" s="2">
        <v>110923</v>
      </c>
      <c r="B76" s="2">
        <v>42</v>
      </c>
      <c r="C76" s="2">
        <v>56</v>
      </c>
      <c r="D76" s="2">
        <v>2</v>
      </c>
      <c r="E76" s="2">
        <v>4</v>
      </c>
      <c r="F76" s="2">
        <v>20</v>
      </c>
      <c r="G76" s="2">
        <v>2</v>
      </c>
      <c r="H76" s="2">
        <v>8</v>
      </c>
      <c r="J76" t="s">
        <v>15</v>
      </c>
      <c r="K76" t="s">
        <v>339</v>
      </c>
      <c r="L76" t="s">
        <v>869</v>
      </c>
      <c r="M76" t="s">
        <v>19</v>
      </c>
      <c r="P76" t="s">
        <v>458</v>
      </c>
      <c r="Q76">
        <v>459.82</v>
      </c>
      <c r="R76">
        <v>8</v>
      </c>
      <c r="T76" t="s">
        <v>569</v>
      </c>
      <c r="U76">
        <v>-49.13</v>
      </c>
      <c r="V76">
        <v>8</v>
      </c>
      <c r="X76">
        <v>-39.417999999999999</v>
      </c>
      <c r="Y76">
        <v>8</v>
      </c>
      <c r="AA76">
        <v>9.7620000000000005</v>
      </c>
      <c r="AB76">
        <v>8</v>
      </c>
      <c r="DO76" t="s">
        <v>586</v>
      </c>
      <c r="DP76">
        <v>21</v>
      </c>
      <c r="DQ76">
        <v>359</v>
      </c>
      <c r="DR76">
        <v>21</v>
      </c>
      <c r="DS76">
        <v>458.8</v>
      </c>
      <c r="DV76" t="s">
        <v>586</v>
      </c>
      <c r="DW76">
        <v>-72.13</v>
      </c>
      <c r="DX76">
        <v>21</v>
      </c>
      <c r="DZ76" t="s">
        <v>510</v>
      </c>
      <c r="EA76">
        <v>21</v>
      </c>
      <c r="EB76">
        <v>-62.37</v>
      </c>
      <c r="EE76" t="s">
        <v>586</v>
      </c>
      <c r="EF76">
        <v>-48.63205</v>
      </c>
      <c r="EG76">
        <v>21</v>
      </c>
      <c r="EI76" t="s">
        <v>513</v>
      </c>
      <c r="EJ76">
        <v>-52.2438</v>
      </c>
      <c r="EK76">
        <v>21</v>
      </c>
      <c r="EM76" t="s">
        <v>513</v>
      </c>
      <c r="EN76">
        <v>-69.95</v>
      </c>
      <c r="EP76" t="s">
        <v>513</v>
      </c>
      <c r="EQ76">
        <f t="shared" si="18"/>
        <v>17.706200000000003</v>
      </c>
      <c r="ES76">
        <v>50</v>
      </c>
      <c r="ET76">
        <v>2</v>
      </c>
      <c r="EU76">
        <v>1</v>
      </c>
      <c r="EV76">
        <v>0</v>
      </c>
      <c r="EW76">
        <v>1</v>
      </c>
      <c r="EX76">
        <v>0</v>
      </c>
      <c r="EY76">
        <v>1.5</v>
      </c>
      <c r="EZ76">
        <v>0</v>
      </c>
      <c r="FA76">
        <v>0</v>
      </c>
      <c r="FB76">
        <v>0.5</v>
      </c>
      <c r="FC76">
        <v>0</v>
      </c>
      <c r="FD76">
        <v>0</v>
      </c>
      <c r="FE76">
        <v>0</v>
      </c>
      <c r="FF76" s="1">
        <f t="shared" ref="FF76:FF83" si="21">AVERAGE(ET76:FE76)</f>
        <v>0.5</v>
      </c>
      <c r="GK76">
        <v>180123</v>
      </c>
      <c r="GL76">
        <v>20</v>
      </c>
      <c r="GM76">
        <v>20</v>
      </c>
      <c r="GN76">
        <v>0</v>
      </c>
      <c r="GR76">
        <v>50</v>
      </c>
      <c r="HC76" t="s">
        <v>587</v>
      </c>
      <c r="HD76">
        <v>300.22000000000003</v>
      </c>
      <c r="HE76">
        <v>48</v>
      </c>
      <c r="HH76" t="s">
        <v>599</v>
      </c>
      <c r="HI76">
        <v>49</v>
      </c>
      <c r="HJ76">
        <v>271.5</v>
      </c>
      <c r="HL76" t="s">
        <v>587</v>
      </c>
      <c r="HM76">
        <v>-71.27</v>
      </c>
      <c r="HN76">
        <v>48</v>
      </c>
      <c r="HP76">
        <v>49</v>
      </c>
      <c r="HQ76">
        <v>-58.96</v>
      </c>
      <c r="HS76" t="s">
        <v>593</v>
      </c>
      <c r="HT76">
        <v>-64.58</v>
      </c>
      <c r="HU76">
        <f t="shared" si="19"/>
        <v>113.58</v>
      </c>
      <c r="HV76">
        <v>48</v>
      </c>
      <c r="HW76">
        <v>-49.313299999999998</v>
      </c>
      <c r="HX76">
        <v>49</v>
      </c>
      <c r="HY76">
        <v>18.646699999999999</v>
      </c>
      <c r="HZ76">
        <v>49</v>
      </c>
    </row>
    <row r="77" spans="1:256" ht="13.15" x14ac:dyDescent="0.4">
      <c r="A77" s="2">
        <v>1109232</v>
      </c>
      <c r="B77" s="2">
        <v>30</v>
      </c>
      <c r="C77" s="2">
        <v>30</v>
      </c>
      <c r="D77" s="2">
        <v>3</v>
      </c>
      <c r="E77" s="2">
        <v>4</v>
      </c>
      <c r="F77" s="2">
        <v>20</v>
      </c>
      <c r="G77" s="2">
        <v>3</v>
      </c>
      <c r="H77" s="2">
        <v>8</v>
      </c>
      <c r="J77" t="s">
        <v>23</v>
      </c>
      <c r="K77">
        <v>3.59</v>
      </c>
      <c r="L77">
        <v>0.27</v>
      </c>
      <c r="M77">
        <v>8</v>
      </c>
      <c r="P77" t="s">
        <v>461</v>
      </c>
      <c r="Q77">
        <v>711.2</v>
      </c>
      <c r="R77">
        <v>8</v>
      </c>
      <c r="T77" t="s">
        <v>573</v>
      </c>
      <c r="U77">
        <v>-57.63</v>
      </c>
      <c r="V77">
        <v>8</v>
      </c>
      <c r="X77">
        <v>-31.3782</v>
      </c>
      <c r="Y77">
        <v>8</v>
      </c>
      <c r="AA77">
        <v>17.171800000000001</v>
      </c>
      <c r="AB77">
        <v>8</v>
      </c>
      <c r="DO77" t="s">
        <v>589</v>
      </c>
      <c r="DP77">
        <v>21</v>
      </c>
      <c r="DQ77">
        <v>312.2</v>
      </c>
      <c r="DR77">
        <v>21</v>
      </c>
      <c r="DS77">
        <v>277.60000000000002</v>
      </c>
      <c r="DV77" t="s">
        <v>589</v>
      </c>
      <c r="DW77">
        <v>-70.72</v>
      </c>
      <c r="DX77">
        <v>21</v>
      </c>
      <c r="DZ77" t="s">
        <v>513</v>
      </c>
      <c r="EA77">
        <v>21</v>
      </c>
      <c r="EB77">
        <v>-69.95</v>
      </c>
      <c r="EE77" t="s">
        <v>589</v>
      </c>
      <c r="EF77">
        <v>-42.053199999999997</v>
      </c>
      <c r="EG77">
        <v>21</v>
      </c>
      <c r="EI77" t="s">
        <v>558</v>
      </c>
      <c r="EJ77">
        <v>-49.694800000000001</v>
      </c>
      <c r="EK77">
        <v>21</v>
      </c>
      <c r="EM77" t="s">
        <v>558</v>
      </c>
      <c r="EN77">
        <v>-71.11</v>
      </c>
      <c r="EP77" t="s">
        <v>558</v>
      </c>
      <c r="EQ77">
        <f t="shared" si="18"/>
        <v>21.415199999999999</v>
      </c>
      <c r="ES77">
        <v>100</v>
      </c>
      <c r="ET77">
        <v>1.5</v>
      </c>
      <c r="EU77">
        <v>2.5</v>
      </c>
      <c r="EV77">
        <v>0</v>
      </c>
      <c r="EW77">
        <v>0.5</v>
      </c>
      <c r="EX77">
        <v>0</v>
      </c>
      <c r="EY77">
        <v>2.5</v>
      </c>
      <c r="EZ77">
        <v>0</v>
      </c>
      <c r="FA77">
        <v>0</v>
      </c>
      <c r="FB77">
        <v>1.5</v>
      </c>
      <c r="FC77">
        <v>0</v>
      </c>
      <c r="FD77">
        <v>0</v>
      </c>
      <c r="FE77">
        <v>0.5</v>
      </c>
      <c r="FF77" s="1">
        <f t="shared" si="21"/>
        <v>0.75</v>
      </c>
      <c r="GK77">
        <v>290323</v>
      </c>
      <c r="GL77">
        <v>30</v>
      </c>
      <c r="GM77">
        <v>30</v>
      </c>
      <c r="GN77">
        <v>0</v>
      </c>
      <c r="GR77">
        <v>50</v>
      </c>
      <c r="HC77" t="s">
        <v>590</v>
      </c>
      <c r="HD77">
        <v>210.85</v>
      </c>
      <c r="HE77">
        <v>48</v>
      </c>
      <c r="HH77" t="s">
        <v>602</v>
      </c>
      <c r="HI77">
        <v>49</v>
      </c>
      <c r="HJ77">
        <v>201.62</v>
      </c>
      <c r="HL77" t="s">
        <v>590</v>
      </c>
      <c r="HM77">
        <v>-55.29</v>
      </c>
      <c r="HN77">
        <v>48</v>
      </c>
      <c r="HP77">
        <v>49</v>
      </c>
      <c r="HQ77">
        <v>-61.4</v>
      </c>
      <c r="HS77" t="s">
        <v>596</v>
      </c>
      <c r="HT77">
        <v>-57.47</v>
      </c>
      <c r="HU77">
        <f t="shared" si="19"/>
        <v>106.47</v>
      </c>
      <c r="HV77">
        <v>49</v>
      </c>
      <c r="HW77">
        <v>-41.696100000000001</v>
      </c>
      <c r="HX77">
        <v>49</v>
      </c>
      <c r="HY77">
        <v>14.693899999999999</v>
      </c>
      <c r="HZ77">
        <v>49</v>
      </c>
    </row>
    <row r="78" spans="1:256" ht="13.15" x14ac:dyDescent="0.4">
      <c r="A78">
        <v>150923</v>
      </c>
      <c r="B78">
        <v>42</v>
      </c>
      <c r="C78">
        <v>42</v>
      </c>
      <c r="D78">
        <v>0</v>
      </c>
      <c r="H78">
        <v>8</v>
      </c>
      <c r="J78" t="s">
        <v>33</v>
      </c>
      <c r="K78">
        <v>1.44</v>
      </c>
      <c r="L78">
        <v>0.38</v>
      </c>
      <c r="M78">
        <v>8</v>
      </c>
      <c r="P78" t="s">
        <v>464</v>
      </c>
      <c r="Q78">
        <v>406.63</v>
      </c>
      <c r="R78">
        <v>8</v>
      </c>
      <c r="T78" t="s">
        <v>576</v>
      </c>
      <c r="U78">
        <v>-54.54</v>
      </c>
      <c r="V78">
        <v>8</v>
      </c>
      <c r="X78">
        <v>-34.649700000000003</v>
      </c>
      <c r="Y78">
        <v>8</v>
      </c>
      <c r="AA78">
        <v>23.520299999999999</v>
      </c>
      <c r="AB78">
        <v>8</v>
      </c>
      <c r="DO78" t="s">
        <v>592</v>
      </c>
      <c r="DP78">
        <v>21</v>
      </c>
      <c r="DQ78">
        <v>354.5</v>
      </c>
      <c r="DR78">
        <v>21</v>
      </c>
      <c r="DS78">
        <v>294.89999999999998</v>
      </c>
      <c r="DV78" t="s">
        <v>592</v>
      </c>
      <c r="DW78">
        <v>-74.53</v>
      </c>
      <c r="DX78">
        <v>21</v>
      </c>
      <c r="DZ78" t="s">
        <v>558</v>
      </c>
      <c r="EA78">
        <v>21</v>
      </c>
      <c r="EB78">
        <v>-71.11</v>
      </c>
      <c r="EE78" t="s">
        <v>592</v>
      </c>
      <c r="EF78">
        <v>-44.576300000000003</v>
      </c>
      <c r="EG78">
        <v>21</v>
      </c>
      <c r="EI78" t="s">
        <v>562</v>
      </c>
      <c r="EJ78">
        <v>-45.061399999999999</v>
      </c>
      <c r="EK78">
        <v>21</v>
      </c>
      <c r="EM78" t="s">
        <v>562</v>
      </c>
      <c r="EN78">
        <v>-71.63</v>
      </c>
      <c r="EP78" t="s">
        <v>562</v>
      </c>
      <c r="EQ78">
        <f t="shared" si="18"/>
        <v>26.568599999999996</v>
      </c>
      <c r="ES78">
        <v>150</v>
      </c>
      <c r="ET78">
        <v>2.5</v>
      </c>
      <c r="EU78">
        <v>4</v>
      </c>
      <c r="EV78">
        <v>1</v>
      </c>
      <c r="EW78">
        <v>1</v>
      </c>
      <c r="EX78">
        <v>0</v>
      </c>
      <c r="EY78">
        <v>4</v>
      </c>
      <c r="EZ78">
        <v>1</v>
      </c>
      <c r="FA78">
        <v>1</v>
      </c>
      <c r="FB78">
        <v>2.5</v>
      </c>
      <c r="FC78">
        <v>1.5</v>
      </c>
      <c r="FD78">
        <v>0</v>
      </c>
      <c r="FE78">
        <v>0.5</v>
      </c>
      <c r="FF78" s="1">
        <f t="shared" si="21"/>
        <v>1.5833333333333333</v>
      </c>
      <c r="GK78" s="2">
        <v>250423</v>
      </c>
      <c r="GL78" s="2">
        <v>42</v>
      </c>
      <c r="GM78" s="2">
        <v>56</v>
      </c>
      <c r="GN78" s="2">
        <v>2</v>
      </c>
      <c r="GO78" s="2"/>
      <c r="GP78" s="2"/>
      <c r="GQ78" s="2"/>
      <c r="GR78" s="2">
        <v>50</v>
      </c>
      <c r="HC78" t="s">
        <v>593</v>
      </c>
      <c r="HD78">
        <v>210.65</v>
      </c>
      <c r="HE78">
        <v>48</v>
      </c>
      <c r="HH78" t="s">
        <v>605</v>
      </c>
      <c r="HI78">
        <v>49</v>
      </c>
      <c r="HJ78">
        <v>191.02</v>
      </c>
      <c r="HL78" t="s">
        <v>593</v>
      </c>
      <c r="HM78">
        <v>-64.58</v>
      </c>
      <c r="HN78">
        <v>48</v>
      </c>
      <c r="HP78">
        <v>49</v>
      </c>
      <c r="HQ78">
        <v>-67.959999999999994</v>
      </c>
      <c r="HS78" t="s">
        <v>599</v>
      </c>
      <c r="HT78">
        <v>-58.96</v>
      </c>
      <c r="HU78">
        <f t="shared" si="19"/>
        <v>107.96000000000001</v>
      </c>
      <c r="HV78">
        <v>49</v>
      </c>
      <c r="HW78">
        <v>-40.622700000000002</v>
      </c>
      <c r="HX78">
        <v>49</v>
      </c>
      <c r="HY78">
        <v>30.4373</v>
      </c>
      <c r="HZ78">
        <v>49</v>
      </c>
    </row>
    <row r="79" spans="1:256" ht="13.15" x14ac:dyDescent="0.4">
      <c r="A79">
        <v>300124</v>
      </c>
      <c r="B79">
        <v>56</v>
      </c>
      <c r="C79">
        <v>56</v>
      </c>
      <c r="D79">
        <v>0</v>
      </c>
      <c r="E79">
        <v>2</v>
      </c>
      <c r="F79">
        <v>14</v>
      </c>
      <c r="G79">
        <v>0</v>
      </c>
      <c r="H79">
        <v>8</v>
      </c>
      <c r="J79" t="s">
        <v>36</v>
      </c>
      <c r="K79">
        <v>1.34</v>
      </c>
      <c r="L79">
        <v>0.54</v>
      </c>
      <c r="M79">
        <v>8</v>
      </c>
      <c r="P79" t="s">
        <v>467</v>
      </c>
      <c r="Q79">
        <v>660.4</v>
      </c>
      <c r="R79">
        <v>8</v>
      </c>
      <c r="T79" t="s">
        <v>741</v>
      </c>
      <c r="U79">
        <v>-64.06</v>
      </c>
      <c r="V79">
        <v>8</v>
      </c>
      <c r="X79">
        <v>-39.323399999999999</v>
      </c>
      <c r="Y79">
        <v>8</v>
      </c>
      <c r="AA79">
        <v>13.086600000000001</v>
      </c>
      <c r="AB79">
        <v>8</v>
      </c>
      <c r="DO79" t="s">
        <v>595</v>
      </c>
      <c r="DP79">
        <v>21</v>
      </c>
      <c r="DQ79">
        <v>288.7</v>
      </c>
      <c r="DR79">
        <v>21</v>
      </c>
      <c r="DS79">
        <v>342.6</v>
      </c>
      <c r="DV79" t="s">
        <v>595</v>
      </c>
      <c r="DW79">
        <v>-74.3</v>
      </c>
      <c r="DX79">
        <v>21</v>
      </c>
      <c r="DZ79" t="s">
        <v>562</v>
      </c>
      <c r="EA79">
        <v>21</v>
      </c>
      <c r="EB79">
        <v>-71.63</v>
      </c>
      <c r="EE79" t="s">
        <v>595</v>
      </c>
      <c r="EF79">
        <v>-50.637</v>
      </c>
      <c r="EG79">
        <v>21</v>
      </c>
      <c r="EI79" t="s">
        <v>566</v>
      </c>
      <c r="EJ79">
        <v>-49.275199999999998</v>
      </c>
      <c r="EK79">
        <v>21</v>
      </c>
      <c r="EM79" t="s">
        <v>566</v>
      </c>
      <c r="EN79">
        <v>-69.22</v>
      </c>
      <c r="EP79" t="s">
        <v>566</v>
      </c>
      <c r="EQ79">
        <f t="shared" si="18"/>
        <v>19.944800000000001</v>
      </c>
      <c r="ES79">
        <v>200</v>
      </c>
      <c r="ET79">
        <v>3.5</v>
      </c>
      <c r="EU79">
        <v>5.5</v>
      </c>
      <c r="EV79">
        <v>1.5</v>
      </c>
      <c r="EW79">
        <v>1</v>
      </c>
      <c r="EX79">
        <v>0</v>
      </c>
      <c r="EZ79">
        <v>1.5</v>
      </c>
      <c r="FA79">
        <v>2</v>
      </c>
      <c r="FB79">
        <v>4</v>
      </c>
      <c r="FC79">
        <v>2.5</v>
      </c>
      <c r="FD79">
        <v>0.5</v>
      </c>
      <c r="FE79">
        <v>1</v>
      </c>
      <c r="FF79" s="1">
        <f t="shared" si="21"/>
        <v>2.0909090909090908</v>
      </c>
      <c r="GK79">
        <v>260523</v>
      </c>
      <c r="GL79">
        <v>20</v>
      </c>
      <c r="GM79">
        <v>20</v>
      </c>
      <c r="GN79">
        <v>0</v>
      </c>
      <c r="GO79">
        <v>2</v>
      </c>
      <c r="GP79">
        <v>8</v>
      </c>
      <c r="GQ79">
        <v>0</v>
      </c>
      <c r="GR79">
        <v>50</v>
      </c>
      <c r="HC79" t="s">
        <v>596</v>
      </c>
      <c r="HD79">
        <v>164.97</v>
      </c>
      <c r="HE79">
        <v>49</v>
      </c>
      <c r="HH79" t="s">
        <v>608</v>
      </c>
      <c r="HI79">
        <v>49</v>
      </c>
      <c r="HJ79">
        <v>122.87</v>
      </c>
      <c r="HL79" t="s">
        <v>596</v>
      </c>
      <c r="HM79">
        <v>-57.47</v>
      </c>
      <c r="HN79">
        <v>49</v>
      </c>
      <c r="HP79">
        <v>49</v>
      </c>
      <c r="HQ79">
        <v>-56.39</v>
      </c>
      <c r="HS79" t="s">
        <v>602</v>
      </c>
      <c r="HT79">
        <v>-61.4</v>
      </c>
      <c r="HU79">
        <f t="shared" si="19"/>
        <v>110.4</v>
      </c>
      <c r="HV79">
        <v>49</v>
      </c>
      <c r="HW79">
        <v>-49.702399999999997</v>
      </c>
      <c r="HX79">
        <v>49</v>
      </c>
      <c r="HY79">
        <v>5.7176</v>
      </c>
      <c r="HZ79">
        <v>49</v>
      </c>
    </row>
    <row r="80" spans="1:256" ht="13.15" x14ac:dyDescent="0.4">
      <c r="A80" s="2">
        <v>3001242</v>
      </c>
      <c r="B80" s="2">
        <v>56</v>
      </c>
      <c r="C80" s="2">
        <v>56</v>
      </c>
      <c r="D80" s="2">
        <v>3</v>
      </c>
      <c r="E80" s="2">
        <v>5</v>
      </c>
      <c r="F80" s="2">
        <v>35</v>
      </c>
      <c r="G80" s="2">
        <v>3</v>
      </c>
      <c r="H80" s="2">
        <v>8</v>
      </c>
      <c r="J80" t="s">
        <v>39</v>
      </c>
      <c r="K80">
        <v>2.06</v>
      </c>
      <c r="L80">
        <v>0.65</v>
      </c>
      <c r="M80">
        <v>8</v>
      </c>
      <c r="P80" t="s">
        <v>470</v>
      </c>
      <c r="Q80">
        <v>499.47</v>
      </c>
      <c r="R80">
        <v>8</v>
      </c>
      <c r="T80" t="s">
        <v>579</v>
      </c>
      <c r="U80">
        <v>-48.05</v>
      </c>
      <c r="V80">
        <v>8</v>
      </c>
      <c r="X80">
        <v>-31.3812</v>
      </c>
      <c r="Y80">
        <v>8</v>
      </c>
      <c r="AA80">
        <v>11.098800000000001</v>
      </c>
      <c r="AB80">
        <v>8</v>
      </c>
      <c r="DO80" t="s">
        <v>598</v>
      </c>
      <c r="DP80">
        <v>21</v>
      </c>
      <c r="DQ80">
        <v>274.95</v>
      </c>
      <c r="DR80">
        <v>21</v>
      </c>
      <c r="DS80">
        <v>336.3</v>
      </c>
      <c r="DV80" t="s">
        <v>598</v>
      </c>
      <c r="DW80">
        <v>-68.53</v>
      </c>
      <c r="DX80">
        <v>21</v>
      </c>
      <c r="DZ80" t="s">
        <v>566</v>
      </c>
      <c r="EA80">
        <v>21</v>
      </c>
      <c r="EB80">
        <v>-69.22</v>
      </c>
      <c r="EE80" t="s">
        <v>598</v>
      </c>
      <c r="EF80">
        <v>-48.965400000000002</v>
      </c>
      <c r="EG80">
        <v>21</v>
      </c>
      <c r="EI80" t="s">
        <v>570</v>
      </c>
      <c r="EJ80">
        <v>-52.915100000000002</v>
      </c>
      <c r="EK80">
        <v>21</v>
      </c>
      <c r="EM80" t="s">
        <v>570</v>
      </c>
      <c r="EN80">
        <v>-71.52</v>
      </c>
      <c r="EP80" t="s">
        <v>570</v>
      </c>
      <c r="EQ80">
        <f t="shared" si="18"/>
        <v>18.604899999999994</v>
      </c>
      <c r="ES80">
        <v>250</v>
      </c>
      <c r="ET80">
        <v>3</v>
      </c>
      <c r="EU80">
        <v>6</v>
      </c>
      <c r="EV80">
        <v>2</v>
      </c>
      <c r="EW80">
        <v>2</v>
      </c>
      <c r="EX80">
        <v>1</v>
      </c>
      <c r="EY80">
        <v>6</v>
      </c>
      <c r="EZ80">
        <v>2</v>
      </c>
      <c r="FA80">
        <v>2.5</v>
      </c>
      <c r="FB80">
        <v>5.5</v>
      </c>
      <c r="FC80">
        <v>3.5</v>
      </c>
      <c r="FD80">
        <v>2</v>
      </c>
      <c r="FE80">
        <v>2</v>
      </c>
      <c r="FF80" s="1">
        <f t="shared" si="21"/>
        <v>3.125</v>
      </c>
      <c r="GK80">
        <v>310723</v>
      </c>
      <c r="GL80">
        <v>56</v>
      </c>
      <c r="GM80">
        <v>56</v>
      </c>
      <c r="GN80">
        <v>0</v>
      </c>
      <c r="GO80">
        <v>2</v>
      </c>
      <c r="GP80">
        <v>14</v>
      </c>
      <c r="GQ80">
        <v>0</v>
      </c>
      <c r="GR80">
        <v>50</v>
      </c>
      <c r="HC80" t="s">
        <v>599</v>
      </c>
      <c r="HD80">
        <v>271.5</v>
      </c>
      <c r="HE80">
        <v>49</v>
      </c>
      <c r="HH80" t="s">
        <v>611</v>
      </c>
      <c r="HI80">
        <v>49</v>
      </c>
      <c r="HJ80">
        <v>157.62</v>
      </c>
      <c r="HL80" t="s">
        <v>599</v>
      </c>
      <c r="HM80">
        <v>-58.96</v>
      </c>
      <c r="HN80">
        <v>49</v>
      </c>
      <c r="HP80">
        <v>49</v>
      </c>
      <c r="HQ80">
        <v>-71.06</v>
      </c>
      <c r="HS80" t="s">
        <v>605</v>
      </c>
      <c r="HT80">
        <v>-67.959999999999994</v>
      </c>
      <c r="HU80">
        <f t="shared" si="19"/>
        <v>116.96</v>
      </c>
      <c r="HV80">
        <v>49</v>
      </c>
      <c r="HW80">
        <v>-45.183500000000002</v>
      </c>
      <c r="HX80">
        <v>49</v>
      </c>
      <c r="HY80">
        <v>10.436500000000001</v>
      </c>
      <c r="HZ80">
        <v>49</v>
      </c>
    </row>
    <row r="81" spans="1:234" ht="13.15" x14ac:dyDescent="0.4">
      <c r="A81" s="2">
        <v>602242</v>
      </c>
      <c r="B81" s="2">
        <v>30</v>
      </c>
      <c r="C81" s="2">
        <v>30</v>
      </c>
      <c r="D81" s="2">
        <v>1</v>
      </c>
      <c r="E81" s="2">
        <v>3</v>
      </c>
      <c r="F81" s="2">
        <v>15</v>
      </c>
      <c r="G81" s="2">
        <v>1</v>
      </c>
      <c r="H81" s="2">
        <v>8</v>
      </c>
      <c r="J81" t="s">
        <v>42</v>
      </c>
      <c r="L81">
        <v>0.72</v>
      </c>
      <c r="M81">
        <v>8</v>
      </c>
      <c r="P81" t="s">
        <v>473</v>
      </c>
      <c r="Q81">
        <v>689.5</v>
      </c>
      <c r="R81">
        <v>8</v>
      </c>
      <c r="T81" t="s">
        <v>582</v>
      </c>
      <c r="U81">
        <v>-51.47</v>
      </c>
      <c r="V81">
        <v>8</v>
      </c>
      <c r="X81">
        <v>-40.986600000000003</v>
      </c>
      <c r="Y81">
        <v>8</v>
      </c>
      <c r="AA81">
        <v>14.7334</v>
      </c>
      <c r="AB81">
        <v>8</v>
      </c>
      <c r="DO81" t="s">
        <v>601</v>
      </c>
      <c r="DP81">
        <v>21</v>
      </c>
      <c r="DQ81">
        <v>365.7</v>
      </c>
      <c r="DR81">
        <v>21</v>
      </c>
      <c r="DS81">
        <v>347</v>
      </c>
      <c r="DV81" t="s">
        <v>601</v>
      </c>
      <c r="DW81">
        <v>-71.25</v>
      </c>
      <c r="DX81">
        <v>21</v>
      </c>
      <c r="DZ81" t="s">
        <v>570</v>
      </c>
      <c r="EA81">
        <v>21</v>
      </c>
      <c r="EB81">
        <v>-71.52</v>
      </c>
      <c r="EE81" t="s">
        <v>601</v>
      </c>
      <c r="EF81">
        <v>-44.599899999999998</v>
      </c>
      <c r="EG81">
        <v>21</v>
      </c>
      <c r="EI81" t="s">
        <v>574</v>
      </c>
      <c r="EJ81">
        <v>-53.508000000000003</v>
      </c>
      <c r="EK81">
        <v>21</v>
      </c>
      <c r="EM81" t="s">
        <v>574</v>
      </c>
      <c r="EN81">
        <v>-76.09</v>
      </c>
      <c r="EP81" t="s">
        <v>574</v>
      </c>
      <c r="EQ81">
        <f t="shared" si="18"/>
        <v>22.582000000000001</v>
      </c>
      <c r="ES81">
        <v>300</v>
      </c>
      <c r="ET81">
        <v>3.5</v>
      </c>
      <c r="EU81">
        <v>8.5</v>
      </c>
      <c r="EV81">
        <v>3</v>
      </c>
      <c r="EW81">
        <v>2</v>
      </c>
      <c r="EX81">
        <v>1</v>
      </c>
      <c r="EY81">
        <v>7.5</v>
      </c>
      <c r="EZ81">
        <v>3.5</v>
      </c>
      <c r="FA81">
        <v>4</v>
      </c>
      <c r="FB81">
        <v>6</v>
      </c>
      <c r="FC81">
        <v>5</v>
      </c>
      <c r="FD81">
        <v>2.5</v>
      </c>
      <c r="FE81">
        <v>2.5</v>
      </c>
      <c r="FF81" s="1">
        <f t="shared" si="21"/>
        <v>4.083333333333333</v>
      </c>
      <c r="GK81">
        <v>10823</v>
      </c>
      <c r="GL81">
        <v>30</v>
      </c>
      <c r="GM81">
        <v>30</v>
      </c>
      <c r="GN81">
        <v>0</v>
      </c>
      <c r="GO81">
        <v>4</v>
      </c>
      <c r="GP81">
        <v>20</v>
      </c>
      <c r="GQ81">
        <v>0</v>
      </c>
      <c r="GR81">
        <v>50</v>
      </c>
      <c r="HC81" t="s">
        <v>602</v>
      </c>
      <c r="HD81">
        <v>201.62</v>
      </c>
      <c r="HE81">
        <v>49</v>
      </c>
      <c r="HH81" t="s">
        <v>614</v>
      </c>
      <c r="HI81">
        <v>49</v>
      </c>
      <c r="HJ81">
        <v>155.12</v>
      </c>
      <c r="HL81" t="s">
        <v>602</v>
      </c>
      <c r="HM81">
        <v>-61.4</v>
      </c>
      <c r="HN81">
        <v>49</v>
      </c>
      <c r="HP81">
        <v>49</v>
      </c>
      <c r="HQ81">
        <v>-55.42</v>
      </c>
      <c r="HS81" t="s">
        <v>608</v>
      </c>
      <c r="HT81">
        <v>-56.39</v>
      </c>
      <c r="HU81">
        <f t="shared" si="19"/>
        <v>105.39</v>
      </c>
      <c r="HV81">
        <v>49</v>
      </c>
      <c r="HW81">
        <v>-34.216299999999997</v>
      </c>
      <c r="HX81">
        <v>49</v>
      </c>
      <c r="HY81">
        <v>27.313700000000001</v>
      </c>
      <c r="HZ81">
        <v>49</v>
      </c>
    </row>
    <row r="82" spans="1:234" ht="13.15" x14ac:dyDescent="0.4">
      <c r="A82">
        <v>80224</v>
      </c>
      <c r="B82">
        <v>56</v>
      </c>
      <c r="C82">
        <v>56</v>
      </c>
      <c r="D82">
        <v>0</v>
      </c>
      <c r="E82">
        <v>4</v>
      </c>
      <c r="F82">
        <v>28</v>
      </c>
      <c r="G82">
        <v>0</v>
      </c>
      <c r="H82">
        <v>8</v>
      </c>
      <c r="J82" t="s">
        <v>45</v>
      </c>
      <c r="K82">
        <v>2.2999999999999998</v>
      </c>
      <c r="L82">
        <v>0.25</v>
      </c>
      <c r="M82">
        <v>8</v>
      </c>
      <c r="P82" t="s">
        <v>476</v>
      </c>
      <c r="Q82">
        <v>419.55</v>
      </c>
      <c r="R82">
        <v>8</v>
      </c>
      <c r="T82" t="s">
        <v>585</v>
      </c>
      <c r="U82">
        <v>-60.31</v>
      </c>
      <c r="V82">
        <v>8</v>
      </c>
      <c r="X82">
        <v>-40.36</v>
      </c>
      <c r="Y82">
        <v>8</v>
      </c>
      <c r="AA82">
        <v>16.260000000000002</v>
      </c>
      <c r="AB82">
        <v>8</v>
      </c>
      <c r="DO82" t="s">
        <v>604</v>
      </c>
      <c r="DP82">
        <v>21</v>
      </c>
      <c r="DQ82">
        <v>342.62</v>
      </c>
      <c r="DR82">
        <v>21</v>
      </c>
      <c r="DS82">
        <v>249.95</v>
      </c>
      <c r="DV82" t="s">
        <v>604</v>
      </c>
      <c r="DW82">
        <v>-61.67</v>
      </c>
      <c r="DX82">
        <v>21</v>
      </c>
      <c r="DZ82" t="s">
        <v>574</v>
      </c>
      <c r="EA82">
        <v>21</v>
      </c>
      <c r="EB82">
        <v>-76.09</v>
      </c>
      <c r="EE82" t="s">
        <v>604</v>
      </c>
      <c r="EF82">
        <v>-45.5398</v>
      </c>
      <c r="EG82">
        <v>21</v>
      </c>
      <c r="EI82" t="s">
        <v>577</v>
      </c>
      <c r="EJ82">
        <v>-45.795400000000001</v>
      </c>
      <c r="EK82">
        <v>21</v>
      </c>
      <c r="EM82" t="s">
        <v>577</v>
      </c>
      <c r="EN82">
        <v>-75.7</v>
      </c>
      <c r="EP82" t="s">
        <v>577</v>
      </c>
      <c r="EQ82">
        <f t="shared" si="18"/>
        <v>29.904600000000002</v>
      </c>
      <c r="ES82">
        <v>350</v>
      </c>
      <c r="ET82">
        <v>3.5</v>
      </c>
      <c r="EU82">
        <v>9.5</v>
      </c>
      <c r="EV82">
        <v>3</v>
      </c>
      <c r="EW82">
        <v>2.5</v>
      </c>
      <c r="EX82">
        <v>1.5</v>
      </c>
      <c r="EY82">
        <v>8.5</v>
      </c>
      <c r="EZ82" s="8">
        <v>3</v>
      </c>
      <c r="FA82" s="8">
        <v>4</v>
      </c>
      <c r="FB82" s="8">
        <v>6.5</v>
      </c>
      <c r="FC82" s="8">
        <v>6</v>
      </c>
      <c r="FD82" s="8">
        <v>4</v>
      </c>
      <c r="FE82" s="8">
        <v>3</v>
      </c>
      <c r="FF82" s="1">
        <f t="shared" si="21"/>
        <v>4.583333333333333</v>
      </c>
      <c r="GK82">
        <v>141223</v>
      </c>
      <c r="GL82">
        <v>42</v>
      </c>
      <c r="GM82">
        <v>42</v>
      </c>
      <c r="GN82">
        <v>0</v>
      </c>
      <c r="GO82">
        <v>2</v>
      </c>
      <c r="GP82">
        <v>12</v>
      </c>
      <c r="GQ82">
        <v>0</v>
      </c>
      <c r="GR82">
        <v>50</v>
      </c>
      <c r="HC82" t="s">
        <v>605</v>
      </c>
      <c r="HD82">
        <v>191.02</v>
      </c>
      <c r="HE82">
        <v>49</v>
      </c>
      <c r="HH82" t="s">
        <v>617</v>
      </c>
      <c r="HI82">
        <v>49</v>
      </c>
      <c r="HJ82">
        <v>96.45</v>
      </c>
      <c r="HL82" t="s">
        <v>605</v>
      </c>
      <c r="HM82">
        <v>-67.959999999999994</v>
      </c>
      <c r="HN82">
        <v>49</v>
      </c>
      <c r="HP82">
        <v>49</v>
      </c>
      <c r="HQ82">
        <v>-55.62</v>
      </c>
      <c r="HS82" t="s">
        <v>611</v>
      </c>
      <c r="HT82">
        <v>-71.06</v>
      </c>
      <c r="HU82">
        <f t="shared" si="19"/>
        <v>120.06</v>
      </c>
      <c r="HV82">
        <v>49</v>
      </c>
      <c r="HW82">
        <v>-42.426299999999998</v>
      </c>
      <c r="HX82">
        <v>49</v>
      </c>
      <c r="HY82">
        <v>25.653700000000001</v>
      </c>
      <c r="HZ82">
        <v>49</v>
      </c>
    </row>
    <row r="83" spans="1:234" ht="13.15" x14ac:dyDescent="0.4">
      <c r="A83" s="2">
        <v>802242</v>
      </c>
      <c r="B83" s="2">
        <v>30</v>
      </c>
      <c r="C83" s="2">
        <v>30</v>
      </c>
      <c r="D83" s="2">
        <v>1</v>
      </c>
      <c r="E83" s="2">
        <v>3</v>
      </c>
      <c r="F83" s="2">
        <v>15</v>
      </c>
      <c r="G83" s="2">
        <v>1</v>
      </c>
      <c r="H83" s="2">
        <v>8</v>
      </c>
      <c r="J83" t="s">
        <v>48</v>
      </c>
      <c r="K83">
        <v>1.23</v>
      </c>
      <c r="L83">
        <v>1.33</v>
      </c>
      <c r="M83">
        <v>8</v>
      </c>
      <c r="P83" t="s">
        <v>479</v>
      </c>
      <c r="Q83">
        <v>245.32</v>
      </c>
      <c r="R83">
        <v>8</v>
      </c>
      <c r="T83" t="s">
        <v>588</v>
      </c>
      <c r="U83">
        <v>-61.91</v>
      </c>
      <c r="V83">
        <v>8</v>
      </c>
      <c r="X83">
        <v>-40.450000000000003</v>
      </c>
      <c r="Y83">
        <v>8</v>
      </c>
      <c r="AA83">
        <v>19.89</v>
      </c>
      <c r="AB83">
        <v>8</v>
      </c>
      <c r="DO83" t="s">
        <v>607</v>
      </c>
      <c r="DP83">
        <v>21</v>
      </c>
      <c r="DQ83">
        <v>421.7</v>
      </c>
      <c r="DR83">
        <v>21</v>
      </c>
      <c r="DS83">
        <v>312.10000000000002</v>
      </c>
      <c r="DV83" t="s">
        <v>607</v>
      </c>
      <c r="DW83">
        <v>-66.489999999999995</v>
      </c>
      <c r="DX83">
        <v>21</v>
      </c>
      <c r="DZ83" t="s">
        <v>577</v>
      </c>
      <c r="EA83">
        <v>21</v>
      </c>
      <c r="EB83">
        <v>-75.7</v>
      </c>
      <c r="EE83" t="s">
        <v>607</v>
      </c>
      <c r="EF83">
        <v>-47.828699999999998</v>
      </c>
      <c r="EG83">
        <v>21</v>
      </c>
      <c r="EI83" t="s">
        <v>580</v>
      </c>
      <c r="EJ83">
        <v>-55.319200000000002</v>
      </c>
      <c r="EK83">
        <v>21</v>
      </c>
      <c r="EM83" t="s">
        <v>580</v>
      </c>
      <c r="EN83">
        <v>-67.319999999999993</v>
      </c>
      <c r="EP83" t="s">
        <v>580</v>
      </c>
      <c r="EQ83">
        <f t="shared" si="18"/>
        <v>12.000799999999991</v>
      </c>
      <c r="ES83">
        <v>400</v>
      </c>
      <c r="ET83">
        <v>3.5</v>
      </c>
      <c r="EU83">
        <v>10.5</v>
      </c>
      <c r="EV83">
        <v>3.5</v>
      </c>
      <c r="EW83">
        <v>3</v>
      </c>
      <c r="EX83">
        <v>2</v>
      </c>
      <c r="EY83">
        <v>9</v>
      </c>
      <c r="EZ83">
        <v>4</v>
      </c>
      <c r="FA83">
        <v>5</v>
      </c>
      <c r="FB83">
        <v>8</v>
      </c>
      <c r="FC83">
        <v>6</v>
      </c>
      <c r="FD83">
        <v>4.5</v>
      </c>
      <c r="FE83">
        <v>3</v>
      </c>
      <c r="FF83" s="1">
        <f t="shared" si="21"/>
        <v>5.166666666666667</v>
      </c>
      <c r="GK83" t="s">
        <v>128</v>
      </c>
      <c r="GL83">
        <v>48</v>
      </c>
      <c r="GM83">
        <v>48</v>
      </c>
      <c r="GN83">
        <v>0</v>
      </c>
      <c r="GO83">
        <v>4</v>
      </c>
      <c r="GP83">
        <v>24</v>
      </c>
      <c r="GQ83">
        <v>0</v>
      </c>
      <c r="GR83">
        <v>50</v>
      </c>
      <c r="HC83" t="s">
        <v>608</v>
      </c>
      <c r="HD83">
        <v>122.87</v>
      </c>
      <c r="HE83">
        <v>49</v>
      </c>
      <c r="HH83" t="s">
        <v>620</v>
      </c>
      <c r="HI83">
        <v>49</v>
      </c>
      <c r="HJ83">
        <v>297.82</v>
      </c>
      <c r="HL83" t="s">
        <v>608</v>
      </c>
      <c r="HM83">
        <v>-56.39</v>
      </c>
      <c r="HN83">
        <v>49</v>
      </c>
      <c r="HP83">
        <v>49</v>
      </c>
      <c r="HQ83">
        <v>-61.53</v>
      </c>
      <c r="HS83" t="s">
        <v>614</v>
      </c>
      <c r="HT83">
        <v>-55.42</v>
      </c>
      <c r="HU83">
        <f t="shared" si="19"/>
        <v>104.42</v>
      </c>
      <c r="HV83">
        <v>49</v>
      </c>
      <c r="HW83">
        <v>-45.498699999999999</v>
      </c>
      <c r="HX83">
        <v>50</v>
      </c>
      <c r="HY83">
        <v>12.481299999999999</v>
      </c>
      <c r="HZ83">
        <v>50</v>
      </c>
    </row>
    <row r="84" spans="1:234" x14ac:dyDescent="0.35">
      <c r="A84">
        <v>60224</v>
      </c>
      <c r="B84">
        <v>42</v>
      </c>
      <c r="C84">
        <v>42</v>
      </c>
      <c r="D84">
        <v>0</v>
      </c>
      <c r="E84">
        <v>5</v>
      </c>
      <c r="F84">
        <v>30</v>
      </c>
      <c r="G84">
        <v>0</v>
      </c>
      <c r="J84" t="s">
        <v>51</v>
      </c>
      <c r="K84">
        <v>1.07</v>
      </c>
      <c r="L84">
        <v>0.63</v>
      </c>
      <c r="M84">
        <v>8</v>
      </c>
      <c r="P84" t="s">
        <v>482</v>
      </c>
      <c r="Q84">
        <v>421.73</v>
      </c>
      <c r="R84">
        <v>8</v>
      </c>
      <c r="T84" t="s">
        <v>591</v>
      </c>
      <c r="U84">
        <v>-50.18</v>
      </c>
      <c r="V84">
        <v>8</v>
      </c>
      <c r="X84">
        <v>-35.25</v>
      </c>
      <c r="Y84">
        <v>8</v>
      </c>
      <c r="AA84">
        <v>29.08</v>
      </c>
      <c r="AB84">
        <v>8</v>
      </c>
      <c r="DO84" t="s">
        <v>610</v>
      </c>
      <c r="DP84">
        <v>22</v>
      </c>
      <c r="DQ84">
        <v>248.55</v>
      </c>
      <c r="DR84">
        <v>21</v>
      </c>
      <c r="DS84">
        <v>323.2</v>
      </c>
      <c r="DV84" t="s">
        <v>610</v>
      </c>
      <c r="DW84">
        <v>-52.94</v>
      </c>
      <c r="DX84">
        <v>22</v>
      </c>
      <c r="DZ84" t="s">
        <v>580</v>
      </c>
      <c r="EA84">
        <v>21</v>
      </c>
      <c r="EB84">
        <v>-67.319999999999993</v>
      </c>
      <c r="EE84" t="s">
        <v>610</v>
      </c>
      <c r="EF84">
        <v>-35.896999999999998</v>
      </c>
      <c r="EG84">
        <v>22</v>
      </c>
      <c r="EI84" t="s">
        <v>583</v>
      </c>
      <c r="EJ84">
        <v>-54.811100000000003</v>
      </c>
      <c r="EK84">
        <v>21</v>
      </c>
      <c r="EM84" t="s">
        <v>583</v>
      </c>
      <c r="EN84">
        <v>-76.540000000000006</v>
      </c>
      <c r="EP84" t="s">
        <v>583</v>
      </c>
      <c r="EQ84">
        <f t="shared" si="18"/>
        <v>21.728900000000003</v>
      </c>
      <c r="GK84" s="2">
        <v>150324</v>
      </c>
      <c r="GL84" s="2">
        <v>56</v>
      </c>
      <c r="GM84" s="2">
        <v>56</v>
      </c>
      <c r="GN84" s="2">
        <v>1</v>
      </c>
      <c r="GO84" s="2">
        <v>6</v>
      </c>
      <c r="GP84" s="2">
        <v>42</v>
      </c>
      <c r="GQ84" s="2">
        <v>1</v>
      </c>
      <c r="GR84" s="2">
        <v>50</v>
      </c>
      <c r="HC84" t="s">
        <v>611</v>
      </c>
      <c r="HD84">
        <v>157.62</v>
      </c>
      <c r="HE84">
        <v>49</v>
      </c>
      <c r="HH84" t="s">
        <v>623</v>
      </c>
      <c r="HI84">
        <v>49</v>
      </c>
      <c r="HJ84">
        <v>307.35000000000002</v>
      </c>
      <c r="HL84" t="s">
        <v>611</v>
      </c>
      <c r="HM84">
        <v>-71.06</v>
      </c>
      <c r="HN84">
        <v>49</v>
      </c>
      <c r="HP84">
        <v>49</v>
      </c>
      <c r="HQ84">
        <v>-68.08</v>
      </c>
      <c r="HS84" t="s">
        <v>617</v>
      </c>
      <c r="HT84">
        <v>-55.62</v>
      </c>
      <c r="HU84">
        <f t="shared" si="19"/>
        <v>104.62</v>
      </c>
      <c r="HV84">
        <v>49</v>
      </c>
      <c r="HW84">
        <v>-26.6052</v>
      </c>
      <c r="HX84">
        <v>50</v>
      </c>
      <c r="HY84">
        <v>38.144799999999996</v>
      </c>
      <c r="HZ84">
        <v>50</v>
      </c>
    </row>
    <row r="85" spans="1:234" ht="13.15" x14ac:dyDescent="0.4">
      <c r="B85" s="1">
        <f t="shared" ref="B85:G85" si="22">SUM(B43:B84)</f>
        <v>1596</v>
      </c>
      <c r="C85" s="1">
        <f t="shared" si="22"/>
        <v>1654</v>
      </c>
      <c r="D85" s="1">
        <f t="shared" si="22"/>
        <v>57</v>
      </c>
      <c r="E85" s="1">
        <f t="shared" si="22"/>
        <v>127</v>
      </c>
      <c r="F85" s="1">
        <f t="shared" si="22"/>
        <v>732</v>
      </c>
      <c r="G85" s="1">
        <f t="shared" si="22"/>
        <v>53</v>
      </c>
      <c r="J85" t="s">
        <v>54</v>
      </c>
      <c r="K85">
        <v>1.68</v>
      </c>
      <c r="L85">
        <v>0.27</v>
      </c>
      <c r="M85">
        <v>7</v>
      </c>
      <c r="P85" t="s">
        <v>485</v>
      </c>
      <c r="Q85">
        <v>708.1</v>
      </c>
      <c r="R85">
        <v>8</v>
      </c>
      <c r="T85" t="s">
        <v>742</v>
      </c>
      <c r="U85">
        <v>-51.7</v>
      </c>
      <c r="V85">
        <v>8</v>
      </c>
      <c r="X85">
        <v>-37.94</v>
      </c>
      <c r="Y85">
        <v>8</v>
      </c>
      <c r="AA85">
        <v>20.94</v>
      </c>
      <c r="AB85">
        <v>8</v>
      </c>
      <c r="DO85" t="s">
        <v>613</v>
      </c>
      <c r="DP85">
        <v>22</v>
      </c>
      <c r="DQ85">
        <v>319.10000000000002</v>
      </c>
      <c r="DR85">
        <v>21</v>
      </c>
      <c r="DS85">
        <v>359</v>
      </c>
      <c r="DV85" t="s">
        <v>613</v>
      </c>
      <c r="DW85">
        <v>-51.52</v>
      </c>
      <c r="DX85">
        <v>22</v>
      </c>
      <c r="DZ85" t="s">
        <v>583</v>
      </c>
      <c r="EA85">
        <v>21</v>
      </c>
      <c r="EB85">
        <v>-76.540000000000006</v>
      </c>
      <c r="EE85" t="s">
        <v>613</v>
      </c>
      <c r="EF85">
        <v>-34.3765</v>
      </c>
      <c r="EG85">
        <v>22</v>
      </c>
      <c r="EI85" t="s">
        <v>586</v>
      </c>
      <c r="EJ85">
        <v>-48.63205</v>
      </c>
      <c r="EK85">
        <v>21</v>
      </c>
      <c r="EM85" t="s">
        <v>586</v>
      </c>
      <c r="EN85">
        <v>-72.13</v>
      </c>
      <c r="EP85" t="s">
        <v>586</v>
      </c>
      <c r="EQ85">
        <f t="shared" si="18"/>
        <v>23.497949999999996</v>
      </c>
      <c r="GK85" s="2">
        <v>250324</v>
      </c>
      <c r="GL85" s="2">
        <v>56</v>
      </c>
      <c r="GM85" s="2">
        <v>56</v>
      </c>
      <c r="GN85" s="2">
        <v>2</v>
      </c>
      <c r="GO85" s="2">
        <v>5</v>
      </c>
      <c r="GP85" s="2">
        <v>35</v>
      </c>
      <c r="GQ85" s="2">
        <v>2</v>
      </c>
      <c r="GR85" s="2">
        <v>50</v>
      </c>
      <c r="HC85" t="s">
        <v>614</v>
      </c>
      <c r="HD85">
        <v>155.12</v>
      </c>
      <c r="HE85">
        <v>49</v>
      </c>
      <c r="HH85" t="s">
        <v>364</v>
      </c>
      <c r="HI85">
        <v>50</v>
      </c>
      <c r="HJ85">
        <v>242.7</v>
      </c>
      <c r="HL85" t="s">
        <v>614</v>
      </c>
      <c r="HM85">
        <v>-55.42</v>
      </c>
      <c r="HN85">
        <v>49</v>
      </c>
      <c r="HP85">
        <v>50</v>
      </c>
      <c r="HQ85">
        <v>-57.98</v>
      </c>
      <c r="HS85" t="s">
        <v>620</v>
      </c>
      <c r="HT85">
        <v>-61.53</v>
      </c>
      <c r="HU85">
        <f t="shared" si="19"/>
        <v>111.53</v>
      </c>
      <c r="HV85">
        <v>49</v>
      </c>
      <c r="HW85">
        <v>-40.699800000000003</v>
      </c>
      <c r="HX85">
        <v>50</v>
      </c>
      <c r="HY85">
        <v>9.7702000000000009</v>
      </c>
      <c r="HZ85">
        <v>50</v>
      </c>
    </row>
    <row r="86" spans="1:234" ht="13.15" x14ac:dyDescent="0.4">
      <c r="J86">
        <v>180122</v>
      </c>
      <c r="K86" s="1"/>
      <c r="L86">
        <v>0.33</v>
      </c>
      <c r="M86">
        <v>7</v>
      </c>
      <c r="P86" t="s">
        <v>488</v>
      </c>
      <c r="Q86">
        <v>423.72</v>
      </c>
      <c r="R86">
        <v>8</v>
      </c>
      <c r="T86" t="s">
        <v>594</v>
      </c>
      <c r="U86">
        <v>-57.56</v>
      </c>
      <c r="V86">
        <v>8</v>
      </c>
      <c r="X86">
        <v>-39.950000000000003</v>
      </c>
      <c r="Y86">
        <v>8</v>
      </c>
      <c r="AA86">
        <v>12.69</v>
      </c>
      <c r="AB86">
        <v>8</v>
      </c>
      <c r="DO86" t="s">
        <v>616</v>
      </c>
      <c r="DP86">
        <v>22</v>
      </c>
      <c r="DQ86">
        <v>375.2</v>
      </c>
      <c r="DR86">
        <v>21</v>
      </c>
      <c r="DS86">
        <v>312.2</v>
      </c>
      <c r="DV86" t="s">
        <v>616</v>
      </c>
      <c r="DW86">
        <v>-54.33</v>
      </c>
      <c r="DX86">
        <v>22</v>
      </c>
      <c r="DZ86" t="s">
        <v>586</v>
      </c>
      <c r="EA86">
        <v>21</v>
      </c>
      <c r="EB86">
        <v>-72.13</v>
      </c>
      <c r="EE86" t="s">
        <v>616</v>
      </c>
      <c r="EF86">
        <v>-39.068600000000004</v>
      </c>
      <c r="EG86">
        <v>22</v>
      </c>
      <c r="EI86" t="s">
        <v>589</v>
      </c>
      <c r="EJ86">
        <v>-42.053199999999997</v>
      </c>
      <c r="EK86">
        <v>21</v>
      </c>
      <c r="EM86" t="s">
        <v>589</v>
      </c>
      <c r="EN86">
        <v>-70.72</v>
      </c>
      <c r="EP86" t="s">
        <v>589</v>
      </c>
      <c r="EQ86">
        <f t="shared" si="18"/>
        <v>28.666800000000002</v>
      </c>
      <c r="GK86">
        <v>260324</v>
      </c>
      <c r="GL86">
        <v>56</v>
      </c>
      <c r="GM86">
        <v>56</v>
      </c>
      <c r="GN86">
        <v>0</v>
      </c>
      <c r="GO86">
        <v>2</v>
      </c>
      <c r="GP86">
        <v>14</v>
      </c>
      <c r="GQ86">
        <v>0</v>
      </c>
      <c r="GR86">
        <v>50</v>
      </c>
      <c r="HC86" t="s">
        <v>617</v>
      </c>
      <c r="HD86">
        <v>96.45</v>
      </c>
      <c r="HE86">
        <v>49</v>
      </c>
      <c r="HH86" t="s">
        <v>368</v>
      </c>
      <c r="HI86">
        <v>50</v>
      </c>
      <c r="HJ86">
        <v>185.35</v>
      </c>
      <c r="HL86" t="s">
        <v>617</v>
      </c>
      <c r="HM86">
        <v>-55.62</v>
      </c>
      <c r="HN86">
        <v>49</v>
      </c>
      <c r="HP86">
        <v>50</v>
      </c>
      <c r="HQ86">
        <v>-64.75</v>
      </c>
      <c r="HS86" t="s">
        <v>623</v>
      </c>
      <c r="HT86">
        <v>-68.08</v>
      </c>
      <c r="HU86">
        <f t="shared" si="19"/>
        <v>118.08</v>
      </c>
      <c r="HV86">
        <v>49</v>
      </c>
      <c r="HW86">
        <v>-40.6158</v>
      </c>
      <c r="HX86">
        <v>50</v>
      </c>
      <c r="HY86">
        <v>9.3841999999999999</v>
      </c>
      <c r="HZ86">
        <v>50</v>
      </c>
    </row>
    <row r="87" spans="1:234" ht="13.15" x14ac:dyDescent="0.4">
      <c r="J87" t="s">
        <v>59</v>
      </c>
      <c r="K87">
        <v>0.59</v>
      </c>
      <c r="L87">
        <v>0.33</v>
      </c>
      <c r="M87">
        <v>7</v>
      </c>
      <c r="P87" t="s">
        <v>491</v>
      </c>
      <c r="Q87">
        <v>605.6</v>
      </c>
      <c r="R87">
        <v>8</v>
      </c>
      <c r="T87" t="s">
        <v>743</v>
      </c>
      <c r="U87">
        <v>-49.18</v>
      </c>
      <c r="V87">
        <v>8</v>
      </c>
      <c r="X87">
        <v>-34.22</v>
      </c>
      <c r="Y87">
        <v>8</v>
      </c>
      <c r="AA87">
        <v>23.75</v>
      </c>
      <c r="AB87">
        <v>8</v>
      </c>
      <c r="DO87" t="s">
        <v>619</v>
      </c>
      <c r="DP87">
        <v>22</v>
      </c>
      <c r="DQ87">
        <v>238.5</v>
      </c>
      <c r="DR87">
        <v>21</v>
      </c>
      <c r="DS87">
        <v>354.5</v>
      </c>
      <c r="DV87" t="s">
        <v>619</v>
      </c>
      <c r="DW87">
        <v>-47.64</v>
      </c>
      <c r="DX87">
        <v>22</v>
      </c>
      <c r="DZ87" t="s">
        <v>589</v>
      </c>
      <c r="EA87">
        <v>21</v>
      </c>
      <c r="EB87">
        <v>-70.72</v>
      </c>
      <c r="EE87" t="s">
        <v>619</v>
      </c>
      <c r="EF87">
        <v>-37.025399999999998</v>
      </c>
      <c r="EG87">
        <v>22</v>
      </c>
      <c r="EI87" t="s">
        <v>592</v>
      </c>
      <c r="EJ87">
        <v>-44.576300000000003</v>
      </c>
      <c r="EK87">
        <v>21</v>
      </c>
      <c r="EM87" t="s">
        <v>592</v>
      </c>
      <c r="EN87">
        <v>-74.53</v>
      </c>
      <c r="EP87" t="s">
        <v>592</v>
      </c>
      <c r="EQ87">
        <f t="shared" si="18"/>
        <v>29.953699999999998</v>
      </c>
      <c r="ET87" s="68">
        <v>25</v>
      </c>
      <c r="EU87" s="68">
        <v>25</v>
      </c>
      <c r="EV87" s="68">
        <v>25</v>
      </c>
      <c r="EW87" s="68">
        <v>25</v>
      </c>
      <c r="EX87" s="68">
        <v>25</v>
      </c>
      <c r="EY87" s="68">
        <v>25</v>
      </c>
      <c r="EZ87" s="68"/>
      <c r="FA87" s="68"/>
      <c r="FB87" s="68"/>
      <c r="FC87" s="68"/>
      <c r="GK87">
        <v>270324</v>
      </c>
      <c r="GL87">
        <v>30</v>
      </c>
      <c r="GM87">
        <v>30</v>
      </c>
      <c r="GN87">
        <v>0</v>
      </c>
      <c r="GO87">
        <v>4</v>
      </c>
      <c r="GP87">
        <v>20</v>
      </c>
      <c r="GQ87">
        <v>0</v>
      </c>
      <c r="GR87">
        <v>50</v>
      </c>
      <c r="HC87" t="s">
        <v>620</v>
      </c>
      <c r="HD87">
        <v>297.82</v>
      </c>
      <c r="HE87">
        <v>49</v>
      </c>
      <c r="HH87" t="s">
        <v>372</v>
      </c>
      <c r="HI87">
        <v>50</v>
      </c>
      <c r="HJ87">
        <v>107.25</v>
      </c>
      <c r="HL87" t="s">
        <v>620</v>
      </c>
      <c r="HM87">
        <v>-61.53</v>
      </c>
      <c r="HN87">
        <v>49</v>
      </c>
      <c r="HP87">
        <v>50</v>
      </c>
      <c r="HQ87">
        <v>-50.47</v>
      </c>
      <c r="HS87" t="s">
        <v>626</v>
      </c>
      <c r="HT87">
        <v>-65.010000000000005</v>
      </c>
      <c r="HU87">
        <f t="shared" si="19"/>
        <v>115.01</v>
      </c>
      <c r="HV87">
        <v>50</v>
      </c>
      <c r="HW87">
        <v>-48.707599999999999</v>
      </c>
      <c r="HX87">
        <v>50</v>
      </c>
      <c r="HY87">
        <v>12.352399999999999</v>
      </c>
      <c r="HZ87">
        <v>50</v>
      </c>
    </row>
    <row r="88" spans="1:234" ht="13.15" x14ac:dyDescent="0.4">
      <c r="A88" s="43" t="s">
        <v>925</v>
      </c>
      <c r="B88" s="43"/>
      <c r="C88" s="43"/>
      <c r="E88" s="43" t="s">
        <v>926</v>
      </c>
      <c r="F88" s="43"/>
      <c r="G88" s="43"/>
      <c r="J88" t="s">
        <v>62</v>
      </c>
      <c r="K88">
        <v>1.44</v>
      </c>
      <c r="L88">
        <v>0.24</v>
      </c>
      <c r="M88">
        <v>7</v>
      </c>
      <c r="P88" t="s">
        <v>494</v>
      </c>
      <c r="Q88">
        <v>388.57</v>
      </c>
      <c r="R88">
        <v>8</v>
      </c>
      <c r="T88" t="s">
        <v>597</v>
      </c>
      <c r="U88">
        <v>-48.55</v>
      </c>
      <c r="V88">
        <v>8</v>
      </c>
      <c r="X88">
        <v>-38.69</v>
      </c>
      <c r="Y88">
        <v>8</v>
      </c>
      <c r="AA88">
        <v>21.36</v>
      </c>
      <c r="AB88">
        <v>8</v>
      </c>
      <c r="DO88" t="s">
        <v>622</v>
      </c>
      <c r="DP88">
        <v>22</v>
      </c>
      <c r="DQ88">
        <v>290.47000000000003</v>
      </c>
      <c r="DR88">
        <v>21</v>
      </c>
      <c r="DS88">
        <v>288.7</v>
      </c>
      <c r="DV88" t="s">
        <v>622</v>
      </c>
      <c r="DW88">
        <v>-67.03</v>
      </c>
      <c r="DX88">
        <v>22</v>
      </c>
      <c r="DZ88" t="s">
        <v>592</v>
      </c>
      <c r="EA88">
        <v>21</v>
      </c>
      <c r="EB88">
        <v>-74.53</v>
      </c>
      <c r="EE88" t="s">
        <v>622</v>
      </c>
      <c r="EF88">
        <v>-40.606999999999999</v>
      </c>
      <c r="EG88">
        <v>22</v>
      </c>
      <c r="EI88" t="s">
        <v>595</v>
      </c>
      <c r="EJ88">
        <v>-50.637</v>
      </c>
      <c r="EK88">
        <v>21</v>
      </c>
      <c r="EM88" t="s">
        <v>595</v>
      </c>
      <c r="EN88">
        <v>-74.3</v>
      </c>
      <c r="EP88" t="s">
        <v>595</v>
      </c>
      <c r="EQ88">
        <f t="shared" si="18"/>
        <v>23.662999999999997</v>
      </c>
      <c r="ES88" t="s">
        <v>887</v>
      </c>
      <c r="ET88" t="s">
        <v>664</v>
      </c>
      <c r="EU88" t="s">
        <v>666</v>
      </c>
      <c r="EV88" t="s">
        <v>668</v>
      </c>
      <c r="EW88" t="s">
        <v>670</v>
      </c>
      <c r="EX88" t="s">
        <v>672</v>
      </c>
      <c r="EY88" t="s">
        <v>674</v>
      </c>
      <c r="EZ88" t="s">
        <v>927</v>
      </c>
      <c r="FA88" t="s">
        <v>928</v>
      </c>
      <c r="FB88" t="s">
        <v>929</v>
      </c>
      <c r="FC88" t="s">
        <v>930</v>
      </c>
      <c r="GK88">
        <v>280324</v>
      </c>
      <c r="GL88">
        <v>42</v>
      </c>
      <c r="GM88">
        <v>42</v>
      </c>
      <c r="GN88">
        <v>0</v>
      </c>
      <c r="GO88">
        <v>5</v>
      </c>
      <c r="GP88">
        <v>30</v>
      </c>
      <c r="GQ88">
        <v>0</v>
      </c>
      <c r="GR88">
        <v>50</v>
      </c>
      <c r="HC88" t="s">
        <v>623</v>
      </c>
      <c r="HD88">
        <v>307.35000000000002</v>
      </c>
      <c r="HE88">
        <v>49</v>
      </c>
      <c r="HH88" t="s">
        <v>376</v>
      </c>
      <c r="HI88">
        <v>50</v>
      </c>
      <c r="HJ88">
        <v>184.47</v>
      </c>
      <c r="HL88" t="s">
        <v>623</v>
      </c>
      <c r="HM88">
        <v>-68.08</v>
      </c>
      <c r="HN88">
        <v>49</v>
      </c>
      <c r="HP88">
        <v>50</v>
      </c>
      <c r="HQ88">
        <v>-50</v>
      </c>
      <c r="HS88" t="s">
        <v>629</v>
      </c>
      <c r="HT88">
        <v>-67.97</v>
      </c>
      <c r="HU88">
        <f t="shared" si="19"/>
        <v>117.97</v>
      </c>
      <c r="HV88">
        <v>50</v>
      </c>
      <c r="HW88">
        <v>-41.877699999999997</v>
      </c>
      <c r="HX88">
        <v>50</v>
      </c>
      <c r="HY88">
        <v>19.9023</v>
      </c>
      <c r="HZ88">
        <v>50</v>
      </c>
    </row>
    <row r="89" spans="1:234" ht="13.15" x14ac:dyDescent="0.4">
      <c r="A89" t="s">
        <v>8</v>
      </c>
      <c r="B89" t="s">
        <v>131</v>
      </c>
      <c r="C89" t="s">
        <v>132</v>
      </c>
      <c r="E89" t="s">
        <v>8</v>
      </c>
      <c r="F89" t="s">
        <v>131</v>
      </c>
      <c r="G89" t="s">
        <v>132</v>
      </c>
      <c r="J89" t="s">
        <v>65</v>
      </c>
      <c r="L89">
        <v>0.63</v>
      </c>
      <c r="M89">
        <v>8</v>
      </c>
      <c r="P89" t="s">
        <v>497</v>
      </c>
      <c r="Q89">
        <v>633.70000000000005</v>
      </c>
      <c r="R89">
        <v>8</v>
      </c>
      <c r="T89" t="s">
        <v>600</v>
      </c>
      <c r="U89">
        <v>-58.17</v>
      </c>
      <c r="V89">
        <v>8</v>
      </c>
      <c r="X89">
        <v>-45.98</v>
      </c>
      <c r="Y89">
        <v>8</v>
      </c>
      <c r="AA89">
        <v>15.34</v>
      </c>
      <c r="AB89">
        <v>8</v>
      </c>
      <c r="DO89" t="s">
        <v>625</v>
      </c>
      <c r="DP89">
        <v>22</v>
      </c>
      <c r="DQ89">
        <v>271.35000000000002</v>
      </c>
      <c r="DR89">
        <v>21</v>
      </c>
      <c r="DS89">
        <v>274.95</v>
      </c>
      <c r="DV89" t="s">
        <v>625</v>
      </c>
      <c r="DW89">
        <v>-56.92</v>
      </c>
      <c r="DX89">
        <v>22</v>
      </c>
      <c r="DZ89" t="s">
        <v>595</v>
      </c>
      <c r="EA89">
        <v>21</v>
      </c>
      <c r="EB89">
        <v>-74.3</v>
      </c>
      <c r="EE89" t="s">
        <v>625</v>
      </c>
      <c r="EF89">
        <v>-43.328099999999999</v>
      </c>
      <c r="EG89">
        <v>22</v>
      </c>
      <c r="EI89" t="s">
        <v>598</v>
      </c>
      <c r="EJ89">
        <v>-48.965400000000002</v>
      </c>
      <c r="EK89">
        <v>21</v>
      </c>
      <c r="EM89" t="s">
        <v>598</v>
      </c>
      <c r="EN89">
        <v>-68.53</v>
      </c>
      <c r="EP89" t="s">
        <v>598</v>
      </c>
      <c r="EQ89">
        <f t="shared" si="18"/>
        <v>19.564599999999999</v>
      </c>
      <c r="ES89">
        <v>50</v>
      </c>
      <c r="ET89">
        <v>0</v>
      </c>
      <c r="EU89">
        <v>0</v>
      </c>
      <c r="EV89">
        <v>0</v>
      </c>
      <c r="EW89">
        <v>0.5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 s="1">
        <f t="shared" ref="FD89:FD96" si="23">AVERAGE(ET89:FC89)</f>
        <v>0.05</v>
      </c>
      <c r="GK89">
        <v>120624</v>
      </c>
      <c r="GL89">
        <v>30</v>
      </c>
      <c r="GM89">
        <v>30</v>
      </c>
      <c r="GN89">
        <v>0</v>
      </c>
      <c r="GO89">
        <v>2</v>
      </c>
      <c r="GP89">
        <v>10</v>
      </c>
      <c r="GQ89">
        <v>0</v>
      </c>
      <c r="GR89">
        <v>50</v>
      </c>
      <c r="HC89" t="s">
        <v>626</v>
      </c>
      <c r="HD89">
        <v>94.52</v>
      </c>
      <c r="HE89">
        <v>50</v>
      </c>
      <c r="HH89" t="s">
        <v>380</v>
      </c>
      <c r="HI89">
        <v>50</v>
      </c>
      <c r="HJ89">
        <v>195.95</v>
      </c>
      <c r="HL89" t="s">
        <v>626</v>
      </c>
      <c r="HM89">
        <v>-65.010000000000005</v>
      </c>
      <c r="HN89">
        <v>50</v>
      </c>
      <c r="HP89">
        <v>50</v>
      </c>
      <c r="HQ89">
        <v>-61.06</v>
      </c>
      <c r="HS89" t="s">
        <v>632</v>
      </c>
      <c r="HT89">
        <v>-60.65</v>
      </c>
      <c r="HU89">
        <f t="shared" si="19"/>
        <v>110.65</v>
      </c>
      <c r="HV89">
        <v>50</v>
      </c>
      <c r="HW89">
        <v>-43.5349</v>
      </c>
      <c r="HX89">
        <v>50</v>
      </c>
      <c r="HY89">
        <v>20.155100000000001</v>
      </c>
      <c r="HZ89">
        <v>50</v>
      </c>
    </row>
    <row r="90" spans="1:234" ht="13.15" x14ac:dyDescent="0.4">
      <c r="A90">
        <v>57</v>
      </c>
      <c r="B90">
        <v>1596</v>
      </c>
      <c r="C90" s="1">
        <f>Supplementary_Fig4!A90*100/Supplementary_Fig4!B90</f>
        <v>3.5714285714285716</v>
      </c>
      <c r="E90">
        <v>53</v>
      </c>
      <c r="F90">
        <v>732</v>
      </c>
      <c r="G90" s="1">
        <f>Supplementary_Fig4!E90*100/Supplementary_Fig4!F90</f>
        <v>7.2404371584699456</v>
      </c>
      <c r="J90" t="s">
        <v>68</v>
      </c>
      <c r="L90">
        <v>0.68</v>
      </c>
      <c r="M90">
        <v>8</v>
      </c>
      <c r="P90" t="s">
        <v>500</v>
      </c>
      <c r="Q90">
        <v>371.3</v>
      </c>
      <c r="R90">
        <v>8</v>
      </c>
      <c r="T90" t="s">
        <v>603</v>
      </c>
      <c r="U90">
        <v>-52.41</v>
      </c>
      <c r="V90">
        <v>8</v>
      </c>
      <c r="X90">
        <v>-41.25</v>
      </c>
      <c r="Y90">
        <v>8</v>
      </c>
      <c r="AA90">
        <v>10.52</v>
      </c>
      <c r="AB90">
        <v>8</v>
      </c>
      <c r="DO90" t="s">
        <v>628</v>
      </c>
      <c r="DP90">
        <v>22</v>
      </c>
      <c r="DQ90">
        <v>292.17</v>
      </c>
      <c r="DR90">
        <v>21</v>
      </c>
      <c r="DS90">
        <v>365.7</v>
      </c>
      <c r="DV90" t="s">
        <v>628</v>
      </c>
      <c r="DW90">
        <v>-65.61</v>
      </c>
      <c r="DX90">
        <v>22</v>
      </c>
      <c r="DZ90" t="s">
        <v>598</v>
      </c>
      <c r="EA90">
        <v>21</v>
      </c>
      <c r="EB90">
        <v>-68.53</v>
      </c>
      <c r="EE90" t="s">
        <v>628</v>
      </c>
      <c r="EF90">
        <v>-41.635899999999999</v>
      </c>
      <c r="EG90">
        <v>22</v>
      </c>
      <c r="EI90" t="s">
        <v>601</v>
      </c>
      <c r="EJ90">
        <v>-44.599899999999998</v>
      </c>
      <c r="EK90">
        <v>21</v>
      </c>
      <c r="EM90" t="s">
        <v>601</v>
      </c>
      <c r="EN90">
        <v>-71.25</v>
      </c>
      <c r="EP90" t="s">
        <v>601</v>
      </c>
      <c r="EQ90">
        <f t="shared" si="18"/>
        <v>26.650100000000002</v>
      </c>
      <c r="ES90">
        <v>100</v>
      </c>
      <c r="ET90">
        <v>0</v>
      </c>
      <c r="EU90">
        <v>1</v>
      </c>
      <c r="EV90">
        <v>0</v>
      </c>
      <c r="EW90">
        <v>2</v>
      </c>
      <c r="EX90">
        <v>0</v>
      </c>
      <c r="EY90">
        <v>1</v>
      </c>
      <c r="EZ90">
        <v>0.5</v>
      </c>
      <c r="FA90">
        <v>0</v>
      </c>
      <c r="FB90">
        <v>0.5</v>
      </c>
      <c r="FC90">
        <v>0</v>
      </c>
      <c r="FD90" s="1">
        <f t="shared" si="23"/>
        <v>0.5</v>
      </c>
      <c r="GK90">
        <v>1206242</v>
      </c>
      <c r="GL90">
        <v>42</v>
      </c>
      <c r="GM90">
        <v>42</v>
      </c>
      <c r="GN90">
        <v>0</v>
      </c>
      <c r="GO90">
        <v>3</v>
      </c>
      <c r="GP90">
        <v>18</v>
      </c>
      <c r="GQ90">
        <v>0</v>
      </c>
      <c r="GR90">
        <v>50</v>
      </c>
      <c r="HC90" t="s">
        <v>629</v>
      </c>
      <c r="HD90">
        <v>97.4</v>
      </c>
      <c r="HE90">
        <v>50</v>
      </c>
      <c r="HH90" t="s">
        <v>384</v>
      </c>
      <c r="HI90">
        <v>50</v>
      </c>
      <c r="HJ90">
        <v>287.07</v>
      </c>
      <c r="HL90" t="s">
        <v>629</v>
      </c>
      <c r="HM90">
        <v>-67.97</v>
      </c>
      <c r="HN90">
        <v>50</v>
      </c>
      <c r="HP90">
        <v>50</v>
      </c>
      <c r="HQ90">
        <v>-61.78</v>
      </c>
      <c r="HS90" t="s">
        <v>635</v>
      </c>
      <c r="HT90">
        <v>-68.37</v>
      </c>
      <c r="HU90">
        <f t="shared" si="19"/>
        <v>118.37</v>
      </c>
      <c r="HV90">
        <v>50</v>
      </c>
      <c r="HW90">
        <v>-41.371200000000002</v>
      </c>
      <c r="HX90">
        <v>50</v>
      </c>
      <c r="HY90">
        <v>16.878799999999998</v>
      </c>
      <c r="HZ90">
        <v>50</v>
      </c>
    </row>
    <row r="91" spans="1:234" ht="13.15" x14ac:dyDescent="0.4">
      <c r="J91" t="s">
        <v>71</v>
      </c>
      <c r="K91">
        <v>1.42</v>
      </c>
      <c r="L91">
        <v>0.31</v>
      </c>
      <c r="M91">
        <v>8</v>
      </c>
      <c r="P91" t="s">
        <v>503</v>
      </c>
      <c r="Q91">
        <v>222.7</v>
      </c>
      <c r="R91">
        <v>8</v>
      </c>
      <c r="T91" t="s">
        <v>606</v>
      </c>
      <c r="U91">
        <v>-42.48</v>
      </c>
      <c r="V91">
        <v>8</v>
      </c>
      <c r="X91">
        <v>-40.520000000000003</v>
      </c>
      <c r="Y91">
        <v>8</v>
      </c>
      <c r="AA91">
        <v>12.41</v>
      </c>
      <c r="AB91">
        <v>8</v>
      </c>
      <c r="DO91" t="s">
        <v>631</v>
      </c>
      <c r="DP91">
        <v>21</v>
      </c>
      <c r="DQ91">
        <v>294.12</v>
      </c>
      <c r="DR91">
        <v>21</v>
      </c>
      <c r="DS91">
        <v>342.62</v>
      </c>
      <c r="DV91" t="s">
        <v>631</v>
      </c>
      <c r="DW91">
        <v>-68.569999999999993</v>
      </c>
      <c r="DX91">
        <v>21</v>
      </c>
      <c r="DZ91" t="s">
        <v>601</v>
      </c>
      <c r="EA91">
        <v>21</v>
      </c>
      <c r="EB91">
        <v>-71.25</v>
      </c>
      <c r="EE91" t="s">
        <v>631</v>
      </c>
      <c r="EF91">
        <v>-41.633400000000002</v>
      </c>
      <c r="EG91">
        <v>21</v>
      </c>
      <c r="EI91" t="s">
        <v>604</v>
      </c>
      <c r="EJ91">
        <v>-45.5398</v>
      </c>
      <c r="EK91">
        <v>21</v>
      </c>
      <c r="EM91" t="s">
        <v>604</v>
      </c>
      <c r="EN91">
        <v>-61.67</v>
      </c>
      <c r="EP91" t="s">
        <v>604</v>
      </c>
      <c r="EQ91">
        <f t="shared" si="18"/>
        <v>16.130200000000002</v>
      </c>
      <c r="ES91">
        <v>150</v>
      </c>
      <c r="ET91">
        <v>1</v>
      </c>
      <c r="EU91">
        <v>1.5</v>
      </c>
      <c r="EV91">
        <v>1</v>
      </c>
      <c r="EW91">
        <v>2.5</v>
      </c>
      <c r="EX91">
        <v>1</v>
      </c>
      <c r="EY91">
        <v>1.5</v>
      </c>
      <c r="EZ91">
        <v>1</v>
      </c>
      <c r="FA91">
        <v>0.5</v>
      </c>
      <c r="FB91">
        <v>1</v>
      </c>
      <c r="FC91">
        <v>1</v>
      </c>
      <c r="FD91" s="1">
        <f t="shared" si="23"/>
        <v>1.2</v>
      </c>
      <c r="GL91" s="1">
        <f t="shared" ref="GL91:GQ91" si="24">SUM(GL44:GL90)</f>
        <v>1798</v>
      </c>
      <c r="GM91" s="1">
        <f t="shared" si="24"/>
        <v>1841</v>
      </c>
      <c r="GN91" s="1">
        <f t="shared" si="24"/>
        <v>15</v>
      </c>
      <c r="GO91" s="1">
        <f t="shared" si="24"/>
        <v>88</v>
      </c>
      <c r="GP91" s="1">
        <f t="shared" si="24"/>
        <v>540</v>
      </c>
      <c r="GQ91" s="1">
        <f t="shared" si="24"/>
        <v>13</v>
      </c>
      <c r="HC91" t="s">
        <v>632</v>
      </c>
      <c r="HD91">
        <v>191.95</v>
      </c>
      <c r="HE91">
        <v>50</v>
      </c>
      <c r="HH91" t="s">
        <v>387</v>
      </c>
      <c r="HI91">
        <v>50</v>
      </c>
      <c r="HJ91">
        <v>244.67</v>
      </c>
      <c r="HL91" t="s">
        <v>632</v>
      </c>
      <c r="HM91">
        <v>-60.65</v>
      </c>
      <c r="HN91">
        <v>50</v>
      </c>
      <c r="HP91">
        <v>50</v>
      </c>
      <c r="HQ91">
        <v>-63.69</v>
      </c>
      <c r="HS91" t="s">
        <v>638</v>
      </c>
      <c r="HT91">
        <v>-64.8</v>
      </c>
      <c r="HU91">
        <f t="shared" si="19"/>
        <v>114.8</v>
      </c>
      <c r="HV91">
        <v>50</v>
      </c>
      <c r="HW91">
        <v>-34.715299999999999</v>
      </c>
      <c r="HX91">
        <v>50</v>
      </c>
      <c r="HY91">
        <v>18.934699999999999</v>
      </c>
      <c r="HZ91">
        <v>50</v>
      </c>
    </row>
    <row r="92" spans="1:234" ht="13.15" x14ac:dyDescent="0.4">
      <c r="J92" t="s">
        <v>74</v>
      </c>
      <c r="K92">
        <v>1.38</v>
      </c>
      <c r="L92">
        <v>0.72</v>
      </c>
      <c r="M92">
        <v>8</v>
      </c>
      <c r="P92" t="s">
        <v>506</v>
      </c>
      <c r="Q92">
        <v>947.3</v>
      </c>
      <c r="R92">
        <v>8</v>
      </c>
      <c r="T92" t="s">
        <v>609</v>
      </c>
      <c r="U92">
        <v>-55.72</v>
      </c>
      <c r="V92">
        <v>8</v>
      </c>
      <c r="X92">
        <v>-39.17</v>
      </c>
      <c r="Y92">
        <v>8</v>
      </c>
      <c r="AA92">
        <v>13.75</v>
      </c>
      <c r="AB92">
        <v>8</v>
      </c>
      <c r="DO92" t="s">
        <v>634</v>
      </c>
      <c r="DP92">
        <v>21</v>
      </c>
      <c r="DQ92">
        <v>286.35000000000002</v>
      </c>
      <c r="DR92">
        <v>21</v>
      </c>
      <c r="DS92">
        <v>421.7</v>
      </c>
      <c r="DV92" t="s">
        <v>634</v>
      </c>
      <c r="DW92">
        <v>-55.95</v>
      </c>
      <c r="DX92">
        <v>21</v>
      </c>
      <c r="DZ92" t="s">
        <v>604</v>
      </c>
      <c r="EA92">
        <v>21</v>
      </c>
      <c r="EB92">
        <v>-61.67</v>
      </c>
      <c r="EE92" t="s">
        <v>634</v>
      </c>
      <c r="EF92">
        <v>-38.317100000000003</v>
      </c>
      <c r="EG92">
        <v>21</v>
      </c>
      <c r="EI92" t="s">
        <v>607</v>
      </c>
      <c r="EJ92">
        <v>-47.828699999999998</v>
      </c>
      <c r="EK92">
        <v>21</v>
      </c>
      <c r="EM92" t="s">
        <v>607</v>
      </c>
      <c r="EN92">
        <v>-66.489999999999995</v>
      </c>
      <c r="EP92" t="s">
        <v>607</v>
      </c>
      <c r="EQ92">
        <f t="shared" si="18"/>
        <v>18.661299999999997</v>
      </c>
      <c r="ES92">
        <v>200</v>
      </c>
      <c r="ET92">
        <v>2</v>
      </c>
      <c r="EU92">
        <v>2.5</v>
      </c>
      <c r="EV92">
        <v>2</v>
      </c>
      <c r="EW92">
        <v>3.5</v>
      </c>
      <c r="EX92">
        <v>2</v>
      </c>
      <c r="EY92">
        <v>2</v>
      </c>
      <c r="EZ92">
        <v>2</v>
      </c>
      <c r="FA92">
        <v>1</v>
      </c>
      <c r="FB92">
        <v>2</v>
      </c>
      <c r="FC92">
        <v>1.5</v>
      </c>
      <c r="FD92" s="1">
        <f t="shared" si="23"/>
        <v>2.0499999999999998</v>
      </c>
      <c r="HC92" t="s">
        <v>635</v>
      </c>
      <c r="HD92">
        <v>203.77</v>
      </c>
      <c r="HE92">
        <v>50</v>
      </c>
      <c r="HH92" t="s">
        <v>390</v>
      </c>
      <c r="HI92">
        <v>50</v>
      </c>
      <c r="HJ92">
        <v>191.07</v>
      </c>
      <c r="HL92" t="s">
        <v>635</v>
      </c>
      <c r="HM92">
        <v>-68.37</v>
      </c>
      <c r="HN92">
        <v>50</v>
      </c>
      <c r="HP92">
        <v>50</v>
      </c>
      <c r="HQ92">
        <v>-58.25</v>
      </c>
      <c r="HS92" t="s">
        <v>891</v>
      </c>
      <c r="HT92">
        <v>-68.2</v>
      </c>
      <c r="HU92">
        <f t="shared" si="19"/>
        <v>118.2</v>
      </c>
      <c r="HV92">
        <v>46</v>
      </c>
      <c r="HW92">
        <v>-40.013100000000001</v>
      </c>
      <c r="HX92">
        <v>50</v>
      </c>
      <c r="HY92">
        <v>13.276899999999999</v>
      </c>
      <c r="HZ92">
        <v>50</v>
      </c>
    </row>
    <row r="93" spans="1:234" ht="13.15" x14ac:dyDescent="0.4">
      <c r="J93" t="s">
        <v>77</v>
      </c>
      <c r="K93">
        <v>0.93</v>
      </c>
      <c r="L93">
        <v>0.35</v>
      </c>
      <c r="M93">
        <v>7</v>
      </c>
      <c r="P93" t="s">
        <v>537</v>
      </c>
      <c r="Q93">
        <v>394.97</v>
      </c>
      <c r="R93">
        <v>8</v>
      </c>
      <c r="T93" t="s">
        <v>612</v>
      </c>
      <c r="U93">
        <v>-56.62</v>
      </c>
      <c r="V93">
        <v>8</v>
      </c>
      <c r="X93">
        <v>-43.41</v>
      </c>
      <c r="Y93">
        <v>8</v>
      </c>
      <c r="AA93">
        <v>16.489999999999998</v>
      </c>
      <c r="AB93">
        <v>8</v>
      </c>
      <c r="DO93" t="s">
        <v>637</v>
      </c>
      <c r="DP93">
        <v>21</v>
      </c>
      <c r="DQ93">
        <v>330.1</v>
      </c>
      <c r="DR93">
        <v>21</v>
      </c>
      <c r="DS93">
        <v>294.12</v>
      </c>
      <c r="DV93" t="s">
        <v>637</v>
      </c>
      <c r="DW93">
        <v>-52.78</v>
      </c>
      <c r="DX93">
        <v>21</v>
      </c>
      <c r="DZ93" t="s">
        <v>607</v>
      </c>
      <c r="EA93">
        <v>21</v>
      </c>
      <c r="EB93">
        <v>-66.489999999999995</v>
      </c>
      <c r="EE93" t="s">
        <v>637</v>
      </c>
      <c r="EF93">
        <v>-39.720100000000002</v>
      </c>
      <c r="EG93">
        <v>21</v>
      </c>
      <c r="EI93" t="s">
        <v>631</v>
      </c>
      <c r="EJ93">
        <v>-41.633400000000002</v>
      </c>
      <c r="EK93">
        <v>21</v>
      </c>
      <c r="EM93" t="s">
        <v>631</v>
      </c>
      <c r="EN93">
        <v>-68.569999999999993</v>
      </c>
      <c r="EP93" t="s">
        <v>631</v>
      </c>
      <c r="EQ93">
        <f t="shared" si="18"/>
        <v>26.936599999999991</v>
      </c>
      <c r="ES93">
        <v>250</v>
      </c>
      <c r="ET93">
        <v>3.5</v>
      </c>
      <c r="EU93">
        <v>3.5</v>
      </c>
      <c r="EV93">
        <v>2.5</v>
      </c>
      <c r="EW93">
        <v>6</v>
      </c>
      <c r="EX93">
        <v>3</v>
      </c>
      <c r="EY93">
        <v>2.5</v>
      </c>
      <c r="EZ93">
        <v>1.5</v>
      </c>
      <c r="FA93">
        <v>1</v>
      </c>
      <c r="FB93">
        <v>2.5</v>
      </c>
      <c r="FC93">
        <v>1.5</v>
      </c>
      <c r="FD93" s="1">
        <f t="shared" si="23"/>
        <v>2.75</v>
      </c>
      <c r="HC93" t="s">
        <v>638</v>
      </c>
      <c r="HD93">
        <v>332.57</v>
      </c>
      <c r="HE93">
        <v>50</v>
      </c>
      <c r="HH93" t="s">
        <v>393</v>
      </c>
      <c r="HI93">
        <v>50</v>
      </c>
      <c r="HJ93">
        <v>238.47</v>
      </c>
      <c r="HL93" t="s">
        <v>638</v>
      </c>
      <c r="HM93">
        <v>-64.8</v>
      </c>
      <c r="HN93">
        <v>50</v>
      </c>
      <c r="HP93">
        <v>50</v>
      </c>
      <c r="HQ93">
        <v>-53.65</v>
      </c>
      <c r="HS93" t="s">
        <v>892</v>
      </c>
      <c r="HT93">
        <v>-58.2</v>
      </c>
      <c r="HU93">
        <f t="shared" si="19"/>
        <v>108.2</v>
      </c>
      <c r="HV93">
        <v>46</v>
      </c>
      <c r="HW93">
        <v>-46.441699999999997</v>
      </c>
      <c r="HX93">
        <v>50</v>
      </c>
      <c r="HY93">
        <v>14.048299999999999</v>
      </c>
      <c r="HZ93">
        <v>50</v>
      </c>
    </row>
    <row r="94" spans="1:234" ht="13.15" x14ac:dyDescent="0.4">
      <c r="J94" t="s">
        <v>79</v>
      </c>
      <c r="K94">
        <v>0.52</v>
      </c>
      <c r="L94">
        <v>0.54</v>
      </c>
      <c r="M94">
        <v>7</v>
      </c>
      <c r="P94" t="s">
        <v>541</v>
      </c>
      <c r="Q94">
        <v>582.20000000000005</v>
      </c>
      <c r="R94">
        <v>8</v>
      </c>
      <c r="T94" t="s">
        <v>615</v>
      </c>
      <c r="U94">
        <v>-60.34</v>
      </c>
      <c r="V94">
        <v>8</v>
      </c>
      <c r="X94">
        <v>-38.33</v>
      </c>
      <c r="Y94">
        <v>8</v>
      </c>
      <c r="AA94">
        <v>25.67</v>
      </c>
      <c r="AB94">
        <v>8</v>
      </c>
      <c r="DO94" t="s">
        <v>640</v>
      </c>
      <c r="DP94">
        <v>21</v>
      </c>
      <c r="DQ94">
        <v>255.57</v>
      </c>
      <c r="DR94">
        <v>21</v>
      </c>
      <c r="DS94">
        <v>286.35000000000002</v>
      </c>
      <c r="DV94" t="s">
        <v>640</v>
      </c>
      <c r="DW94">
        <v>-63.22</v>
      </c>
      <c r="DX94">
        <v>21</v>
      </c>
      <c r="DZ94" t="s">
        <v>631</v>
      </c>
      <c r="EA94">
        <v>21</v>
      </c>
      <c r="EB94">
        <v>-68.569999999999993</v>
      </c>
      <c r="EE94" t="s">
        <v>640</v>
      </c>
      <c r="EF94">
        <v>-43.528700000000001</v>
      </c>
      <c r="EG94">
        <v>21</v>
      </c>
      <c r="EI94" t="s">
        <v>634</v>
      </c>
      <c r="EJ94">
        <v>-38.317100000000003</v>
      </c>
      <c r="EK94">
        <v>21</v>
      </c>
      <c r="EM94" t="s">
        <v>634</v>
      </c>
      <c r="EN94">
        <v>-55.95</v>
      </c>
      <c r="EP94" t="s">
        <v>634</v>
      </c>
      <c r="EQ94">
        <f t="shared" si="18"/>
        <v>17.632899999999999</v>
      </c>
      <c r="ES94">
        <v>300</v>
      </c>
      <c r="ET94">
        <v>4</v>
      </c>
      <c r="EU94">
        <v>3</v>
      </c>
      <c r="EV94">
        <v>3.5</v>
      </c>
      <c r="EW94">
        <v>6</v>
      </c>
      <c r="EX94">
        <v>4</v>
      </c>
      <c r="EY94">
        <v>4</v>
      </c>
      <c r="EZ94">
        <v>1.5</v>
      </c>
      <c r="FA94">
        <v>2</v>
      </c>
      <c r="FB94">
        <v>3</v>
      </c>
      <c r="FC94">
        <v>3</v>
      </c>
      <c r="FD94" s="1">
        <f t="shared" si="23"/>
        <v>3.4</v>
      </c>
      <c r="HH94" t="s">
        <v>396</v>
      </c>
      <c r="HI94">
        <v>50</v>
      </c>
      <c r="HJ94">
        <v>117.15</v>
      </c>
      <c r="HL94" t="s">
        <v>891</v>
      </c>
      <c r="HM94">
        <v>-68.2</v>
      </c>
      <c r="HN94">
        <v>46</v>
      </c>
      <c r="HP94">
        <v>50</v>
      </c>
      <c r="HQ94">
        <v>-53.29</v>
      </c>
      <c r="HS94" t="s">
        <v>893</v>
      </c>
      <c r="HT94">
        <v>-65</v>
      </c>
      <c r="HU94">
        <f t="shared" si="19"/>
        <v>115</v>
      </c>
      <c r="HV94">
        <v>46</v>
      </c>
      <c r="HW94">
        <v>-45.259099999999997</v>
      </c>
      <c r="HX94">
        <v>50</v>
      </c>
      <c r="HY94">
        <v>8.2209000000000003</v>
      </c>
      <c r="HZ94">
        <v>50</v>
      </c>
    </row>
    <row r="95" spans="1:234" ht="13.15" x14ac:dyDescent="0.4">
      <c r="J95" t="s">
        <v>81</v>
      </c>
      <c r="K95">
        <v>1.1399999999999999</v>
      </c>
      <c r="L95">
        <v>0.44</v>
      </c>
      <c r="M95">
        <v>7</v>
      </c>
      <c r="P95" t="s">
        <v>545</v>
      </c>
      <c r="Q95">
        <v>472.76</v>
      </c>
      <c r="R95">
        <v>8</v>
      </c>
      <c r="T95" t="s">
        <v>618</v>
      </c>
      <c r="U95">
        <v>-64.33</v>
      </c>
      <c r="V95">
        <v>8</v>
      </c>
      <c r="X95">
        <v>-40.76</v>
      </c>
      <c r="Y95">
        <v>8</v>
      </c>
      <c r="AA95">
        <v>12.94</v>
      </c>
      <c r="AB95">
        <v>8</v>
      </c>
      <c r="DO95" t="s">
        <v>642</v>
      </c>
      <c r="DP95">
        <v>21</v>
      </c>
      <c r="DQ95">
        <v>294.57</v>
      </c>
      <c r="DR95">
        <v>21</v>
      </c>
      <c r="DS95">
        <v>330.1</v>
      </c>
      <c r="DV95" t="s">
        <v>642</v>
      </c>
      <c r="DW95">
        <v>-65.959999999999994</v>
      </c>
      <c r="DX95">
        <v>21</v>
      </c>
      <c r="DZ95" t="s">
        <v>634</v>
      </c>
      <c r="EA95">
        <v>21</v>
      </c>
      <c r="EB95">
        <v>-55.95</v>
      </c>
      <c r="EE95" t="s">
        <v>642</v>
      </c>
      <c r="EF95">
        <v>-37.427500000000002</v>
      </c>
      <c r="EG95">
        <v>21</v>
      </c>
      <c r="EI95" t="s">
        <v>637</v>
      </c>
      <c r="EJ95">
        <v>-39.720100000000002</v>
      </c>
      <c r="EK95">
        <v>21</v>
      </c>
      <c r="EM95" t="s">
        <v>637</v>
      </c>
      <c r="EN95">
        <v>-52.78</v>
      </c>
      <c r="EP95" t="s">
        <v>637</v>
      </c>
      <c r="EQ95">
        <f t="shared" si="18"/>
        <v>13.059899999999999</v>
      </c>
      <c r="ES95">
        <v>350</v>
      </c>
      <c r="ET95">
        <v>5</v>
      </c>
      <c r="EU95">
        <v>4</v>
      </c>
      <c r="EV95">
        <v>4</v>
      </c>
      <c r="EW95">
        <v>7.5</v>
      </c>
      <c r="EX95">
        <v>4.5</v>
      </c>
      <c r="EY95">
        <v>3.5</v>
      </c>
      <c r="EZ95" s="8">
        <v>3</v>
      </c>
      <c r="FA95" s="8">
        <v>2</v>
      </c>
      <c r="FB95" s="8">
        <v>3.5</v>
      </c>
      <c r="FC95" s="8">
        <v>4.5</v>
      </c>
      <c r="FD95" s="1">
        <f t="shared" si="23"/>
        <v>4.1500000000000004</v>
      </c>
      <c r="GK95" s="43" t="s">
        <v>931</v>
      </c>
      <c r="GL95" s="43"/>
      <c r="GM95" s="43"/>
      <c r="GP95" s="43" t="s">
        <v>932</v>
      </c>
      <c r="GQ95" s="43"/>
      <c r="GR95" s="43"/>
      <c r="HH95" t="s">
        <v>400</v>
      </c>
      <c r="HI95">
        <v>50</v>
      </c>
      <c r="HJ95">
        <v>218.32</v>
      </c>
      <c r="HL95" t="s">
        <v>892</v>
      </c>
      <c r="HM95">
        <v>-58.2</v>
      </c>
      <c r="HN95">
        <v>46</v>
      </c>
      <c r="HP95">
        <v>50</v>
      </c>
      <c r="HQ95">
        <v>-60.49</v>
      </c>
      <c r="HS95" t="s">
        <v>894</v>
      </c>
      <c r="HT95">
        <v>-77</v>
      </c>
      <c r="HU95">
        <f t="shared" si="19"/>
        <v>127</v>
      </c>
      <c r="HV95">
        <v>46</v>
      </c>
      <c r="HW95">
        <v>-37.077300000000001</v>
      </c>
      <c r="HX95">
        <v>50</v>
      </c>
      <c r="HY95">
        <v>9.7326999999999995</v>
      </c>
      <c r="HZ95">
        <v>50</v>
      </c>
    </row>
    <row r="96" spans="1:234" ht="13.15" x14ac:dyDescent="0.4">
      <c r="J96" t="s">
        <v>83</v>
      </c>
      <c r="K96">
        <v>2.12</v>
      </c>
      <c r="L96">
        <v>0.33</v>
      </c>
      <c r="M96">
        <v>8</v>
      </c>
      <c r="P96" t="s">
        <v>549</v>
      </c>
      <c r="Q96">
        <v>275.17</v>
      </c>
      <c r="R96">
        <v>8</v>
      </c>
      <c r="T96" t="s">
        <v>621</v>
      </c>
      <c r="U96">
        <v>-58.88</v>
      </c>
      <c r="V96">
        <v>8</v>
      </c>
      <c r="X96">
        <v>-40.840000000000003</v>
      </c>
      <c r="Y96">
        <v>8</v>
      </c>
      <c r="AA96">
        <v>16.77</v>
      </c>
      <c r="AB96">
        <v>8</v>
      </c>
      <c r="DO96" t="s">
        <v>644</v>
      </c>
      <c r="DP96">
        <v>21</v>
      </c>
      <c r="DQ96">
        <v>250.7</v>
      </c>
      <c r="DR96">
        <v>21</v>
      </c>
      <c r="DS96">
        <v>255.57</v>
      </c>
      <c r="DV96" t="s">
        <v>644</v>
      </c>
      <c r="DW96">
        <v>-67.73</v>
      </c>
      <c r="DX96">
        <v>21</v>
      </c>
      <c r="DZ96" t="s">
        <v>637</v>
      </c>
      <c r="EA96">
        <v>21</v>
      </c>
      <c r="EB96">
        <v>-52.78</v>
      </c>
      <c r="EE96" t="s">
        <v>644</v>
      </c>
      <c r="EF96">
        <v>-53.852800000000002</v>
      </c>
      <c r="EG96">
        <v>21</v>
      </c>
      <c r="EI96" t="s">
        <v>640</v>
      </c>
      <c r="EJ96">
        <v>-43.528700000000001</v>
      </c>
      <c r="EK96">
        <v>21</v>
      </c>
      <c r="EM96" t="s">
        <v>640</v>
      </c>
      <c r="EN96">
        <v>-63.22</v>
      </c>
      <c r="EP96" t="s">
        <v>640</v>
      </c>
      <c r="EQ96">
        <f t="shared" si="18"/>
        <v>19.691299999999998</v>
      </c>
      <c r="ES96">
        <v>400</v>
      </c>
      <c r="ET96">
        <v>6</v>
      </c>
      <c r="EU96">
        <v>4</v>
      </c>
      <c r="EV96">
        <v>4</v>
      </c>
      <c r="EW96">
        <v>7.5</v>
      </c>
      <c r="EX96">
        <v>5.5</v>
      </c>
      <c r="EY96">
        <v>4.5</v>
      </c>
      <c r="EZ96">
        <v>2.5</v>
      </c>
      <c r="FA96">
        <v>3</v>
      </c>
      <c r="FB96">
        <v>4</v>
      </c>
      <c r="FC96">
        <v>5.5</v>
      </c>
      <c r="FD96" s="1">
        <f t="shared" si="23"/>
        <v>4.6500000000000004</v>
      </c>
      <c r="GK96" t="s">
        <v>8</v>
      </c>
      <c r="GL96" t="s">
        <v>131</v>
      </c>
      <c r="GM96" t="s">
        <v>132</v>
      </c>
      <c r="GP96" t="s">
        <v>8</v>
      </c>
      <c r="GQ96" t="s">
        <v>131</v>
      </c>
      <c r="GR96" t="s">
        <v>132</v>
      </c>
      <c r="HH96" t="s">
        <v>403</v>
      </c>
      <c r="HI96">
        <v>50</v>
      </c>
      <c r="HJ96">
        <v>102.37</v>
      </c>
      <c r="HL96" t="s">
        <v>893</v>
      </c>
      <c r="HM96">
        <v>-65</v>
      </c>
      <c r="HN96">
        <v>46</v>
      </c>
      <c r="HP96">
        <v>50</v>
      </c>
      <c r="HQ96">
        <v>-53.48</v>
      </c>
      <c r="HS96" t="s">
        <v>895</v>
      </c>
      <c r="HT96">
        <v>-68</v>
      </c>
      <c r="HU96">
        <f t="shared" si="19"/>
        <v>118</v>
      </c>
      <c r="HV96">
        <v>46</v>
      </c>
      <c r="HW96">
        <v>-35.310400000000001</v>
      </c>
      <c r="HX96">
        <v>50</v>
      </c>
      <c r="HY96">
        <v>7.4295999999999998</v>
      </c>
      <c r="HZ96">
        <v>50</v>
      </c>
    </row>
    <row r="97" spans="10:234" ht="13.15" x14ac:dyDescent="0.4">
      <c r="J97" t="s">
        <v>85</v>
      </c>
      <c r="K97">
        <v>2.2000000000000002</v>
      </c>
      <c r="L97">
        <v>0.56000000000000005</v>
      </c>
      <c r="M97">
        <v>8</v>
      </c>
      <c r="P97" t="s">
        <v>553</v>
      </c>
      <c r="Q97">
        <v>378.52</v>
      </c>
      <c r="R97">
        <v>8</v>
      </c>
      <c r="T97" t="s">
        <v>624</v>
      </c>
      <c r="U97">
        <v>-52.64</v>
      </c>
      <c r="V97">
        <v>8</v>
      </c>
      <c r="X97">
        <v>-39.700000000000003</v>
      </c>
      <c r="Y97">
        <v>8</v>
      </c>
      <c r="AA97">
        <v>19.3</v>
      </c>
      <c r="AB97">
        <v>8</v>
      </c>
      <c r="DO97" t="s">
        <v>646</v>
      </c>
      <c r="DP97">
        <v>21</v>
      </c>
      <c r="DQ97">
        <v>415.02</v>
      </c>
      <c r="DR97">
        <v>21</v>
      </c>
      <c r="DS97">
        <v>294.57</v>
      </c>
      <c r="DV97" t="s">
        <v>646</v>
      </c>
      <c r="DW97">
        <v>-61.58</v>
      </c>
      <c r="DX97">
        <v>21</v>
      </c>
      <c r="DZ97" t="s">
        <v>640</v>
      </c>
      <c r="EA97">
        <v>21</v>
      </c>
      <c r="EB97">
        <v>-63.22</v>
      </c>
      <c r="EE97" t="s">
        <v>646</v>
      </c>
      <c r="EF97">
        <v>-33.436599999999999</v>
      </c>
      <c r="EG97">
        <v>21</v>
      </c>
      <c r="EI97" t="s">
        <v>642</v>
      </c>
      <c r="EJ97">
        <v>-37.427500000000002</v>
      </c>
      <c r="EK97">
        <v>21</v>
      </c>
      <c r="EM97" t="s">
        <v>642</v>
      </c>
      <c r="EN97">
        <v>-65.959999999999994</v>
      </c>
      <c r="EP97" t="s">
        <v>642</v>
      </c>
      <c r="EQ97">
        <f t="shared" si="18"/>
        <v>28.532499999999992</v>
      </c>
      <c r="GK97">
        <v>15</v>
      </c>
      <c r="GL97">
        <v>1798</v>
      </c>
      <c r="GM97" s="1">
        <f>Supplementary_Fig4!GK97*100/Supplementary_Fig4!GL97</f>
        <v>0.83426028921023354</v>
      </c>
      <c r="GP97">
        <v>13</v>
      </c>
      <c r="GQ97">
        <v>540</v>
      </c>
      <c r="GR97" s="1">
        <f>Supplementary_Fig4!GP97*100/Supplementary_Fig4!GQ97</f>
        <v>2.4074074074074074</v>
      </c>
      <c r="HH97" t="s">
        <v>406</v>
      </c>
      <c r="HI97">
        <v>50</v>
      </c>
      <c r="HJ97">
        <v>71.17</v>
      </c>
      <c r="HL97" t="s">
        <v>894</v>
      </c>
      <c r="HM97">
        <v>-77</v>
      </c>
      <c r="HN97">
        <v>46</v>
      </c>
      <c r="HP97">
        <v>50</v>
      </c>
      <c r="HQ97">
        <v>-46.81</v>
      </c>
      <c r="HS97" t="s">
        <v>896</v>
      </c>
      <c r="HT97">
        <v>-69.849999999999994</v>
      </c>
      <c r="HU97">
        <f t="shared" si="19"/>
        <v>119.85</v>
      </c>
      <c r="HV97">
        <v>46</v>
      </c>
      <c r="HW97">
        <v>-41.743400000000001</v>
      </c>
      <c r="HX97">
        <v>50</v>
      </c>
      <c r="HY97">
        <v>23.2666</v>
      </c>
      <c r="HZ97">
        <v>50</v>
      </c>
    </row>
    <row r="98" spans="10:234" x14ac:dyDescent="0.35">
      <c r="J98" t="s">
        <v>86</v>
      </c>
      <c r="K98">
        <v>2.93</v>
      </c>
      <c r="L98">
        <v>0.28999999999999998</v>
      </c>
      <c r="M98">
        <v>8</v>
      </c>
      <c r="P98" t="s">
        <v>557</v>
      </c>
      <c r="Q98">
        <v>540.29999999999995</v>
      </c>
      <c r="R98">
        <v>8</v>
      </c>
      <c r="T98" t="s">
        <v>627</v>
      </c>
      <c r="U98">
        <v>-57.97</v>
      </c>
      <c r="V98">
        <v>8</v>
      </c>
      <c r="X98">
        <v>-42.33</v>
      </c>
      <c r="Y98">
        <v>8</v>
      </c>
      <c r="AA98">
        <v>25.78</v>
      </c>
      <c r="AB98">
        <v>8</v>
      </c>
      <c r="DO98" t="s">
        <v>648</v>
      </c>
      <c r="DP98">
        <v>21</v>
      </c>
      <c r="DQ98">
        <v>333.75</v>
      </c>
      <c r="DR98">
        <v>21</v>
      </c>
      <c r="DS98">
        <v>250.7</v>
      </c>
      <c r="DV98" t="s">
        <v>648</v>
      </c>
      <c r="DW98">
        <v>-65.7</v>
      </c>
      <c r="DX98">
        <v>21</v>
      </c>
      <c r="DZ98" t="s">
        <v>642</v>
      </c>
      <c r="EA98">
        <v>21</v>
      </c>
      <c r="EB98">
        <v>-65.959999999999994</v>
      </c>
      <c r="EE98" t="s">
        <v>648</v>
      </c>
      <c r="EF98">
        <v>-43.9499</v>
      </c>
      <c r="EG98">
        <v>21</v>
      </c>
      <c r="EI98" t="s">
        <v>644</v>
      </c>
      <c r="EJ98">
        <v>-53.852800000000002</v>
      </c>
      <c r="EK98">
        <v>21</v>
      </c>
      <c r="EM98" t="s">
        <v>644</v>
      </c>
      <c r="EN98">
        <v>-67.73</v>
      </c>
      <c r="EP98" t="s">
        <v>644</v>
      </c>
      <c r="EQ98">
        <f t="shared" si="18"/>
        <v>13.877200000000002</v>
      </c>
      <c r="HH98" t="s">
        <v>409</v>
      </c>
      <c r="HI98">
        <v>50</v>
      </c>
      <c r="HJ98">
        <v>47.12</v>
      </c>
      <c r="HL98" t="s">
        <v>895</v>
      </c>
      <c r="HM98">
        <v>-68</v>
      </c>
      <c r="HN98">
        <v>46</v>
      </c>
      <c r="HP98">
        <v>50</v>
      </c>
      <c r="HQ98">
        <v>-42.74</v>
      </c>
      <c r="HS98" t="s">
        <v>900</v>
      </c>
      <c r="HT98">
        <v>-74.3</v>
      </c>
      <c r="HU98">
        <f t="shared" si="19"/>
        <v>124.3</v>
      </c>
      <c r="HV98">
        <v>47</v>
      </c>
      <c r="HW98">
        <v>-43.979599999999998</v>
      </c>
      <c r="HX98">
        <v>50</v>
      </c>
      <c r="HY98">
        <v>23.990400000000001</v>
      </c>
      <c r="HZ98">
        <v>50</v>
      </c>
    </row>
    <row r="99" spans="10:234" x14ac:dyDescent="0.35">
      <c r="J99" t="s">
        <v>87</v>
      </c>
      <c r="L99">
        <v>0.62</v>
      </c>
      <c r="M99">
        <v>8</v>
      </c>
      <c r="P99" t="s">
        <v>561</v>
      </c>
      <c r="Q99">
        <v>462.5</v>
      </c>
      <c r="R99">
        <v>8</v>
      </c>
      <c r="T99" t="s">
        <v>630</v>
      </c>
      <c r="U99">
        <v>-60.05</v>
      </c>
      <c r="V99">
        <v>8</v>
      </c>
      <c r="X99">
        <v>-38.950000000000003</v>
      </c>
      <c r="Y99">
        <v>8</v>
      </c>
      <c r="AA99">
        <v>15.31</v>
      </c>
      <c r="AB99">
        <v>8</v>
      </c>
      <c r="DO99" t="s">
        <v>650</v>
      </c>
      <c r="DP99">
        <v>21</v>
      </c>
      <c r="DQ99">
        <v>431.13</v>
      </c>
      <c r="DR99">
        <v>21</v>
      </c>
      <c r="DS99">
        <v>415.02</v>
      </c>
      <c r="DV99" t="s">
        <v>650</v>
      </c>
      <c r="DW99">
        <v>-60.7</v>
      </c>
      <c r="DX99">
        <v>21</v>
      </c>
      <c r="DZ99" t="s">
        <v>644</v>
      </c>
      <c r="EA99">
        <v>21</v>
      </c>
      <c r="EB99">
        <v>-67.73</v>
      </c>
      <c r="EE99" t="s">
        <v>650</v>
      </c>
      <c r="EF99">
        <v>-47.88</v>
      </c>
      <c r="EG99">
        <v>21</v>
      </c>
      <c r="EI99" t="s">
        <v>646</v>
      </c>
      <c r="EJ99">
        <v>-33.436599999999999</v>
      </c>
      <c r="EK99">
        <v>21</v>
      </c>
      <c r="EM99" t="s">
        <v>646</v>
      </c>
      <c r="EN99">
        <v>-61.58</v>
      </c>
      <c r="EP99" t="s">
        <v>646</v>
      </c>
      <c r="EQ99">
        <f t="shared" ref="EQ99:EQ130" si="25">EJ99-EN99</f>
        <v>28.1434</v>
      </c>
      <c r="HH99" t="s">
        <v>626</v>
      </c>
      <c r="HI99">
        <v>50</v>
      </c>
      <c r="HJ99">
        <v>94.52</v>
      </c>
      <c r="HL99" t="s">
        <v>896</v>
      </c>
      <c r="HM99">
        <v>-69.849999999999994</v>
      </c>
      <c r="HN99">
        <v>46</v>
      </c>
      <c r="HP99">
        <v>50</v>
      </c>
      <c r="HQ99">
        <v>-65.010000000000005</v>
      </c>
      <c r="HS99" t="s">
        <v>901</v>
      </c>
      <c r="HT99">
        <v>-73.599999999999994</v>
      </c>
      <c r="HU99">
        <f t="shared" ref="HU99:HU101" si="26">HP99-HT99</f>
        <v>123.6</v>
      </c>
      <c r="HV99">
        <v>47</v>
      </c>
      <c r="HW99">
        <v>-53.470599999999997</v>
      </c>
      <c r="HX99">
        <v>50</v>
      </c>
      <c r="HY99">
        <v>7.1794000000000002</v>
      </c>
      <c r="HZ99">
        <v>50</v>
      </c>
    </row>
    <row r="100" spans="10:234" x14ac:dyDescent="0.35">
      <c r="J100" t="s">
        <v>88</v>
      </c>
      <c r="K100">
        <v>1.71</v>
      </c>
      <c r="L100">
        <v>0.56999999999999995</v>
      </c>
      <c r="M100">
        <v>8</v>
      </c>
      <c r="P100" t="s">
        <v>565</v>
      </c>
      <c r="Q100">
        <v>511.7</v>
      </c>
      <c r="R100">
        <v>8</v>
      </c>
      <c r="T100" t="s">
        <v>633</v>
      </c>
      <c r="U100">
        <v>-48.78</v>
      </c>
      <c r="V100">
        <v>8</v>
      </c>
      <c r="X100">
        <v>-40.42</v>
      </c>
      <c r="Y100">
        <v>8</v>
      </c>
      <c r="AA100">
        <v>20.58</v>
      </c>
      <c r="AB100">
        <v>8</v>
      </c>
      <c r="DO100" t="s">
        <v>652</v>
      </c>
      <c r="DP100">
        <v>21</v>
      </c>
      <c r="DQ100">
        <v>412.63</v>
      </c>
      <c r="DR100">
        <v>21</v>
      </c>
      <c r="DS100">
        <v>333.75</v>
      </c>
      <c r="DV100" t="s">
        <v>652</v>
      </c>
      <c r="DW100">
        <v>-54.89</v>
      </c>
      <c r="DX100">
        <v>21</v>
      </c>
      <c r="DZ100" t="s">
        <v>646</v>
      </c>
      <c r="EA100">
        <v>21</v>
      </c>
      <c r="EB100">
        <v>-61.58</v>
      </c>
      <c r="EE100" t="s">
        <v>652</v>
      </c>
      <c r="EF100">
        <v>-45.169800000000002</v>
      </c>
      <c r="EG100">
        <v>21</v>
      </c>
      <c r="EI100" t="s">
        <v>648</v>
      </c>
      <c r="EJ100">
        <v>-43.9499</v>
      </c>
      <c r="EK100">
        <v>21</v>
      </c>
      <c r="EM100" t="s">
        <v>648</v>
      </c>
      <c r="EN100">
        <v>-65.7</v>
      </c>
      <c r="EP100" t="s">
        <v>648</v>
      </c>
      <c r="EQ100">
        <f t="shared" si="25"/>
        <v>21.750100000000003</v>
      </c>
      <c r="HH100" t="s">
        <v>629</v>
      </c>
      <c r="HI100">
        <v>50</v>
      </c>
      <c r="HJ100">
        <v>97.4</v>
      </c>
      <c r="HL100" t="s">
        <v>900</v>
      </c>
      <c r="HM100">
        <v>-74.3</v>
      </c>
      <c r="HN100">
        <v>47</v>
      </c>
      <c r="HP100">
        <v>50</v>
      </c>
      <c r="HQ100">
        <v>-67.97</v>
      </c>
      <c r="HS100" t="s">
        <v>218</v>
      </c>
      <c r="HT100">
        <v>-62.7</v>
      </c>
      <c r="HU100">
        <f t="shared" si="26"/>
        <v>112.7</v>
      </c>
      <c r="HV100">
        <v>47</v>
      </c>
      <c r="HW100">
        <v>-47.39</v>
      </c>
      <c r="HX100">
        <v>50</v>
      </c>
      <c r="HY100">
        <v>20.98</v>
      </c>
      <c r="HZ100">
        <v>50</v>
      </c>
    </row>
    <row r="101" spans="10:234" x14ac:dyDescent="0.35">
      <c r="J101" t="s">
        <v>89</v>
      </c>
      <c r="K101">
        <v>1.52</v>
      </c>
      <c r="L101">
        <v>0.67</v>
      </c>
      <c r="M101">
        <v>8</v>
      </c>
      <c r="P101" t="s">
        <v>603</v>
      </c>
      <c r="Q101">
        <v>785.6</v>
      </c>
      <c r="R101">
        <v>8</v>
      </c>
      <c r="T101" t="s">
        <v>636</v>
      </c>
      <c r="U101">
        <v>-61.32</v>
      </c>
      <c r="V101">
        <v>8</v>
      </c>
      <c r="X101">
        <v>-34.729999999999997</v>
      </c>
      <c r="Y101">
        <v>8</v>
      </c>
      <c r="AA101">
        <v>21.52</v>
      </c>
      <c r="AB101">
        <v>8</v>
      </c>
      <c r="DO101" t="s">
        <v>654</v>
      </c>
      <c r="DP101">
        <v>21</v>
      </c>
      <c r="DQ101">
        <v>449.1</v>
      </c>
      <c r="DR101">
        <v>21</v>
      </c>
      <c r="DS101">
        <v>431.13</v>
      </c>
      <c r="DV101" t="s">
        <v>654</v>
      </c>
      <c r="DW101">
        <v>-65.400000000000006</v>
      </c>
      <c r="DX101">
        <v>21</v>
      </c>
      <c r="DZ101" t="s">
        <v>648</v>
      </c>
      <c r="EA101">
        <v>21</v>
      </c>
      <c r="EB101">
        <v>-65.7</v>
      </c>
      <c r="EE101" t="s">
        <v>654</v>
      </c>
      <c r="EF101">
        <v>-41.965499999999999</v>
      </c>
      <c r="EG101">
        <v>21</v>
      </c>
      <c r="EI101" t="s">
        <v>650</v>
      </c>
      <c r="EJ101">
        <v>-47.88</v>
      </c>
      <c r="EK101">
        <v>21</v>
      </c>
      <c r="EM101" t="s">
        <v>650</v>
      </c>
      <c r="EN101">
        <v>-60.7</v>
      </c>
      <c r="EP101" t="s">
        <v>650</v>
      </c>
      <c r="EQ101">
        <f t="shared" si="25"/>
        <v>12.82</v>
      </c>
      <c r="HH101" t="s">
        <v>632</v>
      </c>
      <c r="HI101">
        <v>50</v>
      </c>
      <c r="HJ101">
        <v>191.95</v>
      </c>
      <c r="HL101" t="s">
        <v>901</v>
      </c>
      <c r="HM101">
        <v>-73.599999999999994</v>
      </c>
      <c r="HN101">
        <v>47</v>
      </c>
      <c r="HP101">
        <v>50</v>
      </c>
      <c r="HQ101">
        <v>-60.65</v>
      </c>
      <c r="HS101" t="s">
        <v>902</v>
      </c>
      <c r="HT101">
        <v>-75</v>
      </c>
      <c r="HU101">
        <f t="shared" si="26"/>
        <v>125</v>
      </c>
      <c r="HV101">
        <v>47</v>
      </c>
      <c r="HW101">
        <v>-40.4602</v>
      </c>
      <c r="HX101">
        <v>50</v>
      </c>
      <c r="HY101">
        <v>24.3398</v>
      </c>
      <c r="HZ101">
        <v>50</v>
      </c>
    </row>
    <row r="102" spans="10:234" x14ac:dyDescent="0.35">
      <c r="J102" t="s">
        <v>90</v>
      </c>
      <c r="K102">
        <v>2.9</v>
      </c>
      <c r="L102">
        <v>0.52</v>
      </c>
      <c r="M102">
        <v>8</v>
      </c>
      <c r="P102" t="s">
        <v>606</v>
      </c>
      <c r="Q102">
        <v>810.1</v>
      </c>
      <c r="R102">
        <v>8</v>
      </c>
      <c r="T102" t="s">
        <v>639</v>
      </c>
      <c r="U102">
        <v>-51.77</v>
      </c>
      <c r="V102">
        <v>8</v>
      </c>
      <c r="X102">
        <v>-34.79</v>
      </c>
      <c r="Y102">
        <v>8</v>
      </c>
      <c r="AA102">
        <v>23.3</v>
      </c>
      <c r="AB102">
        <v>8</v>
      </c>
      <c r="DO102" t="s">
        <v>656</v>
      </c>
      <c r="DP102">
        <v>21</v>
      </c>
      <c r="DQ102">
        <v>452.5</v>
      </c>
      <c r="DR102">
        <v>21</v>
      </c>
      <c r="DS102">
        <v>412.63</v>
      </c>
      <c r="DV102" t="s">
        <v>656</v>
      </c>
      <c r="DW102">
        <v>-65.709999999999994</v>
      </c>
      <c r="DX102">
        <v>21</v>
      </c>
      <c r="DZ102" t="s">
        <v>650</v>
      </c>
      <c r="EA102">
        <v>21</v>
      </c>
      <c r="EB102">
        <v>-60.7</v>
      </c>
      <c r="EE102" t="s">
        <v>656</v>
      </c>
      <c r="EF102">
        <v>-42.775700000000001</v>
      </c>
      <c r="EG102">
        <v>21</v>
      </c>
      <c r="EI102" t="s">
        <v>652</v>
      </c>
      <c r="EJ102">
        <v>-45.169800000000002</v>
      </c>
      <c r="EK102">
        <v>21</v>
      </c>
      <c r="EM102" t="s">
        <v>652</v>
      </c>
      <c r="EN102">
        <v>-54.89</v>
      </c>
      <c r="EP102" t="s">
        <v>652</v>
      </c>
      <c r="EQ102">
        <f t="shared" si="25"/>
        <v>9.7201999999999984</v>
      </c>
      <c r="HH102" t="s">
        <v>635</v>
      </c>
      <c r="HI102">
        <v>50</v>
      </c>
      <c r="HJ102">
        <v>203.77</v>
      </c>
      <c r="HL102" t="s">
        <v>218</v>
      </c>
      <c r="HM102">
        <v>-62.7</v>
      </c>
      <c r="HN102">
        <v>47</v>
      </c>
      <c r="HP102">
        <v>50</v>
      </c>
      <c r="HQ102">
        <v>-68.37</v>
      </c>
    </row>
    <row r="103" spans="10:234" x14ac:dyDescent="0.35">
      <c r="J103" t="s">
        <v>91</v>
      </c>
      <c r="K103">
        <v>1.02</v>
      </c>
      <c r="M103">
        <v>8</v>
      </c>
      <c r="P103" t="s">
        <v>609</v>
      </c>
      <c r="Q103">
        <v>505.35</v>
      </c>
      <c r="R103">
        <v>8</v>
      </c>
      <c r="T103" t="s">
        <v>641</v>
      </c>
      <c r="U103">
        <v>-52.93</v>
      </c>
      <c r="V103">
        <v>8</v>
      </c>
      <c r="X103">
        <v>-34.090000000000003</v>
      </c>
      <c r="Y103">
        <v>8</v>
      </c>
      <c r="AA103">
        <v>10.46</v>
      </c>
      <c r="AB103">
        <v>8</v>
      </c>
      <c r="DO103" t="s">
        <v>658</v>
      </c>
      <c r="DP103">
        <v>21</v>
      </c>
      <c r="DQ103">
        <v>481</v>
      </c>
      <c r="DR103">
        <v>21</v>
      </c>
      <c r="DS103">
        <v>449.1</v>
      </c>
      <c r="DV103" t="s">
        <v>658</v>
      </c>
      <c r="DW103">
        <v>-66.87</v>
      </c>
      <c r="DX103">
        <v>21</v>
      </c>
      <c r="DZ103" t="s">
        <v>652</v>
      </c>
      <c r="EA103">
        <v>21</v>
      </c>
      <c r="EB103">
        <v>-54.89</v>
      </c>
      <c r="EE103" t="s">
        <v>658</v>
      </c>
      <c r="EF103">
        <v>-45.541400000000003</v>
      </c>
      <c r="EG103">
        <v>21</v>
      </c>
      <c r="EI103" t="s">
        <v>654</v>
      </c>
      <c r="EJ103">
        <v>-41.965499999999999</v>
      </c>
      <c r="EK103">
        <v>21</v>
      </c>
      <c r="EM103" t="s">
        <v>654</v>
      </c>
      <c r="EN103">
        <v>-65.400000000000006</v>
      </c>
      <c r="EP103" t="s">
        <v>654</v>
      </c>
      <c r="EQ103">
        <f t="shared" si="25"/>
        <v>23.434500000000007</v>
      </c>
      <c r="HH103" t="s">
        <v>638</v>
      </c>
      <c r="HI103">
        <v>50</v>
      </c>
      <c r="HJ103">
        <v>332.57</v>
      </c>
      <c r="HL103" t="s">
        <v>902</v>
      </c>
      <c r="HM103">
        <v>-75</v>
      </c>
      <c r="HN103">
        <v>47</v>
      </c>
      <c r="HP103">
        <v>50</v>
      </c>
      <c r="HQ103">
        <v>-64.8</v>
      </c>
    </row>
    <row r="104" spans="10:234" x14ac:dyDescent="0.35">
      <c r="J104" t="s">
        <v>92</v>
      </c>
      <c r="K104">
        <v>3.66</v>
      </c>
      <c r="M104">
        <v>8</v>
      </c>
      <c r="P104" t="s">
        <v>612</v>
      </c>
      <c r="Q104">
        <v>788.4</v>
      </c>
      <c r="R104">
        <v>8</v>
      </c>
      <c r="T104" t="s">
        <v>643</v>
      </c>
      <c r="U104">
        <v>-52.92</v>
      </c>
      <c r="V104">
        <v>8</v>
      </c>
      <c r="X104">
        <v>-38.979999999999997</v>
      </c>
      <c r="Y104">
        <v>8</v>
      </c>
      <c r="AA104">
        <v>12.13</v>
      </c>
      <c r="AB104">
        <v>8</v>
      </c>
      <c r="DO104" t="s">
        <v>660</v>
      </c>
      <c r="DP104">
        <v>21</v>
      </c>
      <c r="DQ104">
        <v>397.3</v>
      </c>
      <c r="DR104">
        <v>21</v>
      </c>
      <c r="DS104">
        <v>452.5</v>
      </c>
      <c r="DV104" t="s">
        <v>660</v>
      </c>
      <c r="DW104">
        <v>-66.739999999999995</v>
      </c>
      <c r="DX104">
        <v>21</v>
      </c>
      <c r="DZ104" t="s">
        <v>654</v>
      </c>
      <c r="EA104">
        <v>21</v>
      </c>
      <c r="EB104">
        <v>-65.400000000000006</v>
      </c>
      <c r="EE104" t="s">
        <v>660</v>
      </c>
      <c r="EF104">
        <v>-46.9803</v>
      </c>
      <c r="EG104">
        <v>21</v>
      </c>
      <c r="EI104" t="s">
        <v>656</v>
      </c>
      <c r="EJ104">
        <v>-42.775700000000001</v>
      </c>
      <c r="EK104">
        <v>21</v>
      </c>
      <c r="EM104" t="s">
        <v>656</v>
      </c>
      <c r="EN104">
        <v>-65.709999999999994</v>
      </c>
      <c r="EP104" t="s">
        <v>656</v>
      </c>
      <c r="EQ104">
        <f t="shared" si="25"/>
        <v>22.934299999999993</v>
      </c>
    </row>
    <row r="105" spans="10:234" x14ac:dyDescent="0.35">
      <c r="J105" t="s">
        <v>93</v>
      </c>
      <c r="K105">
        <v>2.5</v>
      </c>
      <c r="M105">
        <v>8</v>
      </c>
      <c r="P105" t="s">
        <v>615</v>
      </c>
      <c r="Q105">
        <v>408.4</v>
      </c>
      <c r="R105">
        <v>8</v>
      </c>
      <c r="T105" t="s">
        <v>645</v>
      </c>
      <c r="U105">
        <v>-59.9</v>
      </c>
      <c r="V105">
        <v>8</v>
      </c>
      <c r="X105">
        <v>-39.840000000000003</v>
      </c>
      <c r="Y105">
        <v>8</v>
      </c>
      <c r="AA105">
        <v>12.18</v>
      </c>
      <c r="AB105">
        <v>8</v>
      </c>
      <c r="DO105" t="s">
        <v>662</v>
      </c>
      <c r="DP105">
        <v>21</v>
      </c>
      <c r="DQ105">
        <v>519.6</v>
      </c>
      <c r="DR105">
        <v>21</v>
      </c>
      <c r="DS105">
        <v>481</v>
      </c>
      <c r="DV105" t="s">
        <v>662</v>
      </c>
      <c r="DW105">
        <v>-60.63</v>
      </c>
      <c r="DX105">
        <v>21</v>
      </c>
      <c r="DZ105" t="s">
        <v>656</v>
      </c>
      <c r="EA105">
        <v>21</v>
      </c>
      <c r="EB105">
        <v>-65.709999999999994</v>
      </c>
      <c r="EE105" t="s">
        <v>662</v>
      </c>
      <c r="EF105">
        <v>-46.777299999999997</v>
      </c>
      <c r="EG105">
        <v>21</v>
      </c>
      <c r="EI105" t="s">
        <v>658</v>
      </c>
      <c r="EJ105">
        <v>-45.541400000000003</v>
      </c>
      <c r="EK105">
        <v>21</v>
      </c>
      <c r="EM105" t="s">
        <v>658</v>
      </c>
      <c r="EN105">
        <v>-66.87</v>
      </c>
      <c r="EP105" t="s">
        <v>658</v>
      </c>
      <c r="EQ105">
        <f t="shared" si="25"/>
        <v>21.328600000000002</v>
      </c>
    </row>
    <row r="106" spans="10:234" x14ac:dyDescent="0.35">
      <c r="J106" t="s">
        <v>94</v>
      </c>
      <c r="K106">
        <v>1.02</v>
      </c>
      <c r="M106">
        <v>8</v>
      </c>
      <c r="P106" t="s">
        <v>618</v>
      </c>
      <c r="Q106">
        <v>299.27</v>
      </c>
      <c r="R106">
        <v>8</v>
      </c>
      <c r="T106" t="s">
        <v>647</v>
      </c>
      <c r="U106">
        <v>-64</v>
      </c>
      <c r="V106">
        <v>8</v>
      </c>
      <c r="X106">
        <v>-37.54</v>
      </c>
      <c r="Y106">
        <v>8</v>
      </c>
      <c r="AA106">
        <v>11.63</v>
      </c>
      <c r="AB106">
        <v>8</v>
      </c>
      <c r="DO106" t="s">
        <v>664</v>
      </c>
      <c r="DP106">
        <v>25</v>
      </c>
      <c r="DQ106">
        <v>264.55</v>
      </c>
      <c r="DR106">
        <v>21</v>
      </c>
      <c r="DS106">
        <v>397.3</v>
      </c>
      <c r="DV106" t="s">
        <v>664</v>
      </c>
      <c r="DW106">
        <v>-73.23</v>
      </c>
      <c r="DX106">
        <v>25</v>
      </c>
      <c r="DZ106" t="s">
        <v>658</v>
      </c>
      <c r="EA106">
        <v>21</v>
      </c>
      <c r="EB106">
        <v>-66.87</v>
      </c>
      <c r="EE106" t="s">
        <v>664</v>
      </c>
      <c r="EF106">
        <v>-50.422600000000003</v>
      </c>
      <c r="EG106">
        <v>25</v>
      </c>
      <c r="EI106" t="s">
        <v>660</v>
      </c>
      <c r="EJ106">
        <v>-46.9803</v>
      </c>
      <c r="EK106">
        <v>21</v>
      </c>
      <c r="EM106" t="s">
        <v>660</v>
      </c>
      <c r="EN106">
        <v>-66.739999999999995</v>
      </c>
      <c r="EP106" t="s">
        <v>660</v>
      </c>
      <c r="EQ106">
        <f t="shared" si="25"/>
        <v>19.759699999999995</v>
      </c>
    </row>
    <row r="107" spans="10:234" x14ac:dyDescent="0.35">
      <c r="J107" t="s">
        <v>95</v>
      </c>
      <c r="K107">
        <v>3.03</v>
      </c>
      <c r="M107">
        <v>8</v>
      </c>
      <c r="P107" t="s">
        <v>621</v>
      </c>
      <c r="Q107">
        <v>709.2</v>
      </c>
      <c r="R107">
        <v>8</v>
      </c>
      <c r="T107" t="s">
        <v>649</v>
      </c>
      <c r="U107">
        <v>-53.7</v>
      </c>
      <c r="V107">
        <v>8</v>
      </c>
      <c r="X107">
        <v>-38.6</v>
      </c>
      <c r="Y107">
        <v>8</v>
      </c>
      <c r="AA107">
        <v>16.309999999999999</v>
      </c>
      <c r="AB107">
        <v>8</v>
      </c>
      <c r="DO107" t="s">
        <v>666</v>
      </c>
      <c r="DP107">
        <v>25</v>
      </c>
      <c r="DQ107">
        <v>277.57</v>
      </c>
      <c r="DR107">
        <v>21</v>
      </c>
      <c r="DS107">
        <v>519.6</v>
      </c>
      <c r="DV107" t="s">
        <v>666</v>
      </c>
      <c r="DW107">
        <v>-57.8</v>
      </c>
      <c r="DX107">
        <v>25</v>
      </c>
      <c r="DZ107" t="s">
        <v>660</v>
      </c>
      <c r="EA107">
        <v>21</v>
      </c>
      <c r="EB107">
        <v>-66.739999999999995</v>
      </c>
      <c r="EE107" t="s">
        <v>666</v>
      </c>
      <c r="EF107">
        <v>-32.290660000000003</v>
      </c>
      <c r="EG107">
        <v>25</v>
      </c>
      <c r="EI107" t="s">
        <v>662</v>
      </c>
      <c r="EJ107">
        <v>-46.777299999999997</v>
      </c>
      <c r="EK107">
        <v>21</v>
      </c>
      <c r="EM107" t="s">
        <v>662</v>
      </c>
      <c r="EN107">
        <v>-60.63</v>
      </c>
      <c r="EP107" t="s">
        <v>662</v>
      </c>
      <c r="EQ107">
        <f t="shared" si="25"/>
        <v>13.852700000000006</v>
      </c>
    </row>
    <row r="108" spans="10:234" x14ac:dyDescent="0.35">
      <c r="J108" t="s">
        <v>96</v>
      </c>
      <c r="K108">
        <v>2.71</v>
      </c>
      <c r="L108">
        <v>0.64</v>
      </c>
      <c r="M108">
        <v>8</v>
      </c>
      <c r="P108" t="s">
        <v>624</v>
      </c>
      <c r="Q108">
        <v>407.7</v>
      </c>
      <c r="R108">
        <v>8</v>
      </c>
      <c r="T108" t="s">
        <v>745</v>
      </c>
      <c r="U108">
        <v>-57.61</v>
      </c>
      <c r="V108">
        <v>8</v>
      </c>
      <c r="X108">
        <v>-40.729999999999997</v>
      </c>
      <c r="Y108">
        <v>8</v>
      </c>
      <c r="AA108">
        <v>11.21</v>
      </c>
      <c r="AB108">
        <v>8</v>
      </c>
      <c r="DO108" t="s">
        <v>668</v>
      </c>
      <c r="DP108">
        <v>25</v>
      </c>
      <c r="DQ108">
        <v>255.85</v>
      </c>
      <c r="DR108">
        <v>22</v>
      </c>
      <c r="DS108">
        <v>431.9</v>
      </c>
      <c r="DV108" t="s">
        <v>668</v>
      </c>
      <c r="DW108">
        <v>-69.819999999999993</v>
      </c>
      <c r="DX108">
        <v>25</v>
      </c>
      <c r="DZ108" t="s">
        <v>662</v>
      </c>
      <c r="EA108">
        <v>21</v>
      </c>
      <c r="EB108">
        <v>-60.63</v>
      </c>
      <c r="EE108" t="s">
        <v>668</v>
      </c>
      <c r="EF108">
        <v>-39.0518</v>
      </c>
      <c r="EG108">
        <v>25</v>
      </c>
      <c r="EI108" t="s">
        <v>516</v>
      </c>
      <c r="EJ108">
        <v>-41.931100000000001</v>
      </c>
      <c r="EK108">
        <v>22</v>
      </c>
      <c r="EM108" t="s">
        <v>516</v>
      </c>
      <c r="EN108">
        <v>-70.69</v>
      </c>
      <c r="EP108" t="s">
        <v>516</v>
      </c>
      <c r="EQ108">
        <f t="shared" si="25"/>
        <v>28.758899999999997</v>
      </c>
    </row>
    <row r="109" spans="10:234" x14ac:dyDescent="0.35">
      <c r="J109" t="s">
        <v>97</v>
      </c>
      <c r="K109">
        <v>1.75</v>
      </c>
      <c r="M109">
        <v>8</v>
      </c>
      <c r="P109" t="s">
        <v>651</v>
      </c>
      <c r="Q109">
        <v>450.7</v>
      </c>
      <c r="R109">
        <v>8</v>
      </c>
      <c r="T109" t="s">
        <v>651</v>
      </c>
      <c r="U109">
        <v>-59</v>
      </c>
      <c r="V109">
        <v>8</v>
      </c>
      <c r="X109">
        <v>-34.1</v>
      </c>
      <c r="Y109">
        <v>8</v>
      </c>
      <c r="AA109">
        <v>18.100000000000001</v>
      </c>
      <c r="AB109">
        <v>8</v>
      </c>
      <c r="DO109" t="s">
        <v>670</v>
      </c>
      <c r="DP109">
        <v>25</v>
      </c>
      <c r="DQ109">
        <v>412.9</v>
      </c>
      <c r="DR109">
        <v>22</v>
      </c>
      <c r="DS109">
        <v>291.32</v>
      </c>
      <c r="DV109" t="s">
        <v>670</v>
      </c>
      <c r="DW109">
        <v>-54.41</v>
      </c>
      <c r="DX109">
        <v>25</v>
      </c>
      <c r="DZ109" t="s">
        <v>516</v>
      </c>
      <c r="EA109">
        <v>22</v>
      </c>
      <c r="EB109">
        <v>-70.69</v>
      </c>
      <c r="EE109" t="s">
        <v>670</v>
      </c>
      <c r="EF109">
        <v>-37.734200000000001</v>
      </c>
      <c r="EG109">
        <v>25</v>
      </c>
      <c r="EI109" t="s">
        <v>519</v>
      </c>
      <c r="EJ109">
        <v>-48.662599999999998</v>
      </c>
      <c r="EK109">
        <v>22</v>
      </c>
      <c r="EM109" t="s">
        <v>519</v>
      </c>
      <c r="EN109">
        <v>-70.459999999999994</v>
      </c>
      <c r="EP109" t="s">
        <v>519</v>
      </c>
      <c r="EQ109">
        <f t="shared" si="25"/>
        <v>21.797399999999996</v>
      </c>
    </row>
    <row r="110" spans="10:234" x14ac:dyDescent="0.35">
      <c r="J110" t="s">
        <v>98</v>
      </c>
      <c r="K110">
        <v>1.61</v>
      </c>
      <c r="L110">
        <v>0.92</v>
      </c>
      <c r="M110">
        <v>8</v>
      </c>
      <c r="P110" t="s">
        <v>653</v>
      </c>
      <c r="Q110">
        <v>600.6</v>
      </c>
      <c r="R110">
        <v>8</v>
      </c>
      <c r="T110" t="s">
        <v>653</v>
      </c>
      <c r="U110">
        <v>-68.11</v>
      </c>
      <c r="V110">
        <v>8</v>
      </c>
      <c r="X110">
        <v>-39.229999999999997</v>
      </c>
      <c r="Y110">
        <v>8</v>
      </c>
      <c r="AA110">
        <v>29.73</v>
      </c>
      <c r="AB110">
        <v>8</v>
      </c>
      <c r="DO110" t="s">
        <v>672</v>
      </c>
      <c r="DP110">
        <v>25</v>
      </c>
      <c r="DQ110">
        <v>243.47</v>
      </c>
      <c r="DR110">
        <v>22</v>
      </c>
      <c r="DS110">
        <v>339.8</v>
      </c>
      <c r="DV110" t="s">
        <v>672</v>
      </c>
      <c r="DW110">
        <v>-67.78</v>
      </c>
      <c r="DX110">
        <v>25</v>
      </c>
      <c r="DZ110" t="s">
        <v>519</v>
      </c>
      <c r="EA110">
        <v>22</v>
      </c>
      <c r="EB110">
        <v>-70.459999999999994</v>
      </c>
      <c r="EE110" t="s">
        <v>672</v>
      </c>
      <c r="EF110">
        <v>-39.942100000000003</v>
      </c>
      <c r="EG110">
        <v>25</v>
      </c>
      <c r="EI110" t="s">
        <v>522</v>
      </c>
      <c r="EJ110">
        <v>-47.245699999999999</v>
      </c>
      <c r="EK110">
        <v>22</v>
      </c>
      <c r="EM110" t="s">
        <v>522</v>
      </c>
      <c r="EN110">
        <v>-75.61</v>
      </c>
      <c r="EP110" t="s">
        <v>522</v>
      </c>
      <c r="EQ110">
        <f t="shared" si="25"/>
        <v>28.3643</v>
      </c>
    </row>
    <row r="111" spans="10:234" x14ac:dyDescent="0.35">
      <c r="J111" t="s">
        <v>99</v>
      </c>
      <c r="K111">
        <v>2.27</v>
      </c>
      <c r="L111">
        <v>0.17</v>
      </c>
      <c r="M111">
        <v>8</v>
      </c>
      <c r="P111" t="s">
        <v>655</v>
      </c>
      <c r="Q111">
        <v>429.72</v>
      </c>
      <c r="R111">
        <v>8</v>
      </c>
      <c r="T111" t="s">
        <v>655</v>
      </c>
      <c r="U111">
        <v>-54.26</v>
      </c>
      <c r="V111">
        <v>8</v>
      </c>
      <c r="X111">
        <v>-37.750999999999998</v>
      </c>
      <c r="Y111">
        <v>8</v>
      </c>
      <c r="AA111">
        <v>15.359</v>
      </c>
      <c r="AB111">
        <v>8</v>
      </c>
      <c r="DO111" t="s">
        <v>674</v>
      </c>
      <c r="DP111">
        <v>25</v>
      </c>
      <c r="DQ111">
        <v>319.25</v>
      </c>
      <c r="DR111">
        <v>22</v>
      </c>
      <c r="DS111">
        <v>270.57</v>
      </c>
      <c r="DV111" t="s">
        <v>674</v>
      </c>
      <c r="DW111">
        <v>-55.28</v>
      </c>
      <c r="DX111">
        <v>25</v>
      </c>
      <c r="DZ111" t="s">
        <v>522</v>
      </c>
      <c r="EA111">
        <v>22</v>
      </c>
      <c r="EB111">
        <v>-75.61</v>
      </c>
      <c r="EE111" t="s">
        <v>674</v>
      </c>
      <c r="EF111">
        <v>-35.789499999999997</v>
      </c>
      <c r="EG111">
        <v>25</v>
      </c>
      <c r="EI111" t="s">
        <v>526</v>
      </c>
      <c r="EJ111">
        <v>-50.920099999999998</v>
      </c>
      <c r="EK111">
        <v>22</v>
      </c>
      <c r="EM111" t="s">
        <v>526</v>
      </c>
      <c r="EN111">
        <v>-60.1</v>
      </c>
      <c r="EP111" t="s">
        <v>526</v>
      </c>
      <c r="EQ111">
        <f t="shared" si="25"/>
        <v>9.1799000000000035</v>
      </c>
    </row>
    <row r="112" spans="10:234" x14ac:dyDescent="0.35">
      <c r="J112" t="s">
        <v>100</v>
      </c>
      <c r="K112">
        <v>3.5</v>
      </c>
      <c r="M112">
        <v>8</v>
      </c>
      <c r="P112" t="s">
        <v>657</v>
      </c>
      <c r="Q112">
        <v>348.32</v>
      </c>
      <c r="R112">
        <v>8</v>
      </c>
      <c r="T112" t="s">
        <v>657</v>
      </c>
      <c r="U112">
        <v>-61</v>
      </c>
      <c r="V112">
        <v>8</v>
      </c>
      <c r="X112">
        <v>-39.049500000000002</v>
      </c>
      <c r="Y112">
        <v>8</v>
      </c>
      <c r="AA112">
        <v>18.930499999999999</v>
      </c>
      <c r="AB112">
        <v>8</v>
      </c>
      <c r="DO112" t="s">
        <v>676</v>
      </c>
      <c r="DP112">
        <v>19</v>
      </c>
      <c r="DQ112">
        <v>399.7</v>
      </c>
      <c r="DR112">
        <v>22</v>
      </c>
      <c r="DS112">
        <v>264.5</v>
      </c>
      <c r="DV112" t="s">
        <v>676</v>
      </c>
      <c r="DW112">
        <v>-68.430000000000007</v>
      </c>
      <c r="DX112">
        <v>19</v>
      </c>
      <c r="DZ112" t="s">
        <v>526</v>
      </c>
      <c r="EA112">
        <v>22</v>
      </c>
      <c r="EB112">
        <v>-60.1</v>
      </c>
      <c r="EE112" t="s">
        <v>676</v>
      </c>
      <c r="EF112">
        <v>-38.90305</v>
      </c>
      <c r="EG112">
        <v>19</v>
      </c>
      <c r="EI112" t="s">
        <v>534</v>
      </c>
      <c r="EJ112">
        <v>-47.628700000000002</v>
      </c>
      <c r="EK112">
        <v>22</v>
      </c>
      <c r="EM112" t="s">
        <v>534</v>
      </c>
      <c r="EN112">
        <v>-64.28</v>
      </c>
      <c r="EP112" t="s">
        <v>534</v>
      </c>
      <c r="EQ112">
        <f t="shared" si="25"/>
        <v>16.651299999999999</v>
      </c>
    </row>
    <row r="113" spans="10:147" x14ac:dyDescent="0.35">
      <c r="J113" t="s">
        <v>101</v>
      </c>
      <c r="K113">
        <v>4.5599999999999996</v>
      </c>
      <c r="M113">
        <v>7</v>
      </c>
      <c r="P113" t="s">
        <v>659</v>
      </c>
      <c r="Q113">
        <v>352.25</v>
      </c>
      <c r="R113">
        <v>8</v>
      </c>
      <c r="T113" t="s">
        <v>659</v>
      </c>
      <c r="U113">
        <v>-56.25</v>
      </c>
      <c r="V113">
        <v>8</v>
      </c>
      <c r="X113">
        <v>-41.812899999999999</v>
      </c>
      <c r="Y113">
        <v>8</v>
      </c>
      <c r="AA113">
        <v>19.7271</v>
      </c>
      <c r="AB113">
        <v>8</v>
      </c>
      <c r="DO113" t="s">
        <v>678</v>
      </c>
      <c r="DP113">
        <v>19</v>
      </c>
      <c r="DQ113">
        <v>393.4</v>
      </c>
      <c r="DR113">
        <v>22</v>
      </c>
      <c r="DS113">
        <v>369.97</v>
      </c>
      <c r="DV113" t="s">
        <v>678</v>
      </c>
      <c r="DW113">
        <v>-70.430000000000007</v>
      </c>
      <c r="DX113">
        <v>19</v>
      </c>
      <c r="EE113" t="s">
        <v>678</v>
      </c>
      <c r="EF113">
        <v>-39.214300000000001</v>
      </c>
      <c r="EG113">
        <v>19</v>
      </c>
      <c r="EI113" t="s">
        <v>538</v>
      </c>
      <c r="EJ113">
        <v>-40.459400000000002</v>
      </c>
      <c r="EK113">
        <v>22</v>
      </c>
      <c r="EM113" t="s">
        <v>538</v>
      </c>
      <c r="EN113">
        <v>-58.63</v>
      </c>
      <c r="EP113" t="s">
        <v>538</v>
      </c>
      <c r="EQ113">
        <f t="shared" si="25"/>
        <v>18.1706</v>
      </c>
    </row>
    <row r="114" spans="10:147" x14ac:dyDescent="0.35">
      <c r="J114" t="s">
        <v>102</v>
      </c>
      <c r="K114">
        <v>1.93</v>
      </c>
      <c r="M114">
        <v>7</v>
      </c>
      <c r="P114" t="s">
        <v>661</v>
      </c>
      <c r="Q114">
        <v>424.6</v>
      </c>
      <c r="R114">
        <v>8</v>
      </c>
      <c r="T114" t="s">
        <v>661</v>
      </c>
      <c r="U114">
        <v>-58.09</v>
      </c>
      <c r="V114">
        <v>8</v>
      </c>
      <c r="X114">
        <v>-36.708100000000002</v>
      </c>
      <c r="Y114">
        <v>8</v>
      </c>
      <c r="AA114">
        <v>16.381900000000002</v>
      </c>
      <c r="AB114">
        <v>8</v>
      </c>
      <c r="DO114" t="s">
        <v>680</v>
      </c>
      <c r="DP114">
        <v>19</v>
      </c>
      <c r="DQ114">
        <v>443.6</v>
      </c>
      <c r="DR114">
        <v>22</v>
      </c>
      <c r="DS114">
        <v>351.3</v>
      </c>
      <c r="DV114" t="s">
        <v>680</v>
      </c>
      <c r="DW114">
        <v>-69.099999999999994</v>
      </c>
      <c r="DX114">
        <v>19</v>
      </c>
      <c r="DZ114" t="s">
        <v>534</v>
      </c>
      <c r="EA114">
        <v>22</v>
      </c>
      <c r="EB114">
        <v>-64.28</v>
      </c>
      <c r="EE114" t="s">
        <v>680</v>
      </c>
      <c r="EF114">
        <v>-49.590299999999999</v>
      </c>
      <c r="EG114">
        <v>19</v>
      </c>
      <c r="EI114" t="s">
        <v>542</v>
      </c>
      <c r="EJ114">
        <v>-24.3523</v>
      </c>
      <c r="EK114">
        <v>22</v>
      </c>
      <c r="EM114" t="s">
        <v>542</v>
      </c>
      <c r="EN114">
        <v>-70.53</v>
      </c>
      <c r="EP114" t="s">
        <v>542</v>
      </c>
      <c r="EQ114">
        <f t="shared" si="25"/>
        <v>46.177700000000002</v>
      </c>
    </row>
    <row r="115" spans="10:147" x14ac:dyDescent="0.35">
      <c r="J115" t="s">
        <v>103</v>
      </c>
      <c r="K115">
        <v>2.75</v>
      </c>
      <c r="M115">
        <v>7</v>
      </c>
      <c r="P115" t="s">
        <v>663</v>
      </c>
      <c r="Q115">
        <v>237.82</v>
      </c>
      <c r="R115">
        <v>8</v>
      </c>
      <c r="T115" t="s">
        <v>663</v>
      </c>
      <c r="U115">
        <v>-44.55</v>
      </c>
      <c r="V115">
        <v>8</v>
      </c>
      <c r="X115">
        <v>-38.442900000000002</v>
      </c>
      <c r="Y115">
        <v>8</v>
      </c>
      <c r="AA115">
        <v>23.207100000000001</v>
      </c>
      <c r="AB115">
        <v>8</v>
      </c>
      <c r="DO115" t="s">
        <v>682</v>
      </c>
      <c r="DP115">
        <v>19</v>
      </c>
      <c r="DQ115">
        <v>325.60000000000002</v>
      </c>
      <c r="DR115">
        <v>22</v>
      </c>
      <c r="DS115">
        <v>329.22</v>
      </c>
      <c r="DV115" t="s">
        <v>682</v>
      </c>
      <c r="DW115">
        <v>-68.569999999999993</v>
      </c>
      <c r="DX115">
        <v>19</v>
      </c>
      <c r="DZ115" t="s">
        <v>538</v>
      </c>
      <c r="EA115">
        <v>22</v>
      </c>
      <c r="EB115">
        <v>-58.63</v>
      </c>
      <c r="EE115" t="s">
        <v>682</v>
      </c>
      <c r="EF115">
        <v>-54.437199999999997</v>
      </c>
      <c r="EG115">
        <v>19</v>
      </c>
      <c r="EI115" t="s">
        <v>546</v>
      </c>
      <c r="EJ115">
        <v>-47.555500000000002</v>
      </c>
      <c r="EK115">
        <v>22</v>
      </c>
      <c r="EM115" t="s">
        <v>546</v>
      </c>
      <c r="EN115">
        <v>-71.52</v>
      </c>
      <c r="EP115" t="s">
        <v>546</v>
      </c>
      <c r="EQ115">
        <f t="shared" si="25"/>
        <v>23.964499999999994</v>
      </c>
    </row>
    <row r="116" spans="10:147" x14ac:dyDescent="0.35">
      <c r="J116" t="s">
        <v>104</v>
      </c>
      <c r="K116">
        <v>1.8</v>
      </c>
      <c r="M116">
        <v>7</v>
      </c>
      <c r="P116" t="s">
        <v>665</v>
      </c>
      <c r="Q116">
        <v>411.25</v>
      </c>
      <c r="R116">
        <v>8</v>
      </c>
      <c r="T116" t="s">
        <v>665</v>
      </c>
      <c r="U116">
        <v>-51.11</v>
      </c>
      <c r="V116">
        <v>8</v>
      </c>
      <c r="X116">
        <v>-36.467700000000001</v>
      </c>
      <c r="Y116">
        <v>8</v>
      </c>
      <c r="AA116">
        <v>22.8123</v>
      </c>
      <c r="AB116">
        <v>8</v>
      </c>
      <c r="DO116" t="s">
        <v>684</v>
      </c>
      <c r="DP116">
        <v>19</v>
      </c>
      <c r="DQ116">
        <v>482.4</v>
      </c>
      <c r="DR116">
        <v>22</v>
      </c>
      <c r="DS116">
        <v>214.02</v>
      </c>
      <c r="DV116" t="s">
        <v>684</v>
      </c>
      <c r="DW116">
        <v>-71.37</v>
      </c>
      <c r="DX116">
        <v>19</v>
      </c>
      <c r="DZ116" t="s">
        <v>542</v>
      </c>
      <c r="EA116">
        <v>22</v>
      </c>
      <c r="EB116">
        <v>-70.53</v>
      </c>
      <c r="EE116" t="s">
        <v>684</v>
      </c>
      <c r="EF116">
        <v>-47.081699999999998</v>
      </c>
      <c r="EG116">
        <v>19</v>
      </c>
      <c r="EI116" t="s">
        <v>550</v>
      </c>
      <c r="EJ116">
        <v>-41.292499999999997</v>
      </c>
      <c r="EK116">
        <v>22</v>
      </c>
      <c r="EM116" t="s">
        <v>550</v>
      </c>
      <c r="EN116">
        <v>-57.37</v>
      </c>
      <c r="EP116" t="s">
        <v>550</v>
      </c>
      <c r="EQ116">
        <f t="shared" si="25"/>
        <v>16.077500000000001</v>
      </c>
    </row>
    <row r="117" spans="10:147" x14ac:dyDescent="0.35">
      <c r="J117" t="s">
        <v>105</v>
      </c>
      <c r="K117">
        <v>2.17</v>
      </c>
      <c r="M117">
        <v>8</v>
      </c>
      <c r="P117" t="s">
        <v>667</v>
      </c>
      <c r="Q117">
        <v>440.9</v>
      </c>
      <c r="R117">
        <v>8</v>
      </c>
      <c r="T117" t="s">
        <v>667</v>
      </c>
      <c r="U117">
        <v>-52.02</v>
      </c>
      <c r="V117">
        <v>8</v>
      </c>
      <c r="X117">
        <v>-39.545999999999999</v>
      </c>
      <c r="Y117">
        <v>8</v>
      </c>
      <c r="AA117">
        <v>25.884</v>
      </c>
      <c r="AB117">
        <v>8</v>
      </c>
      <c r="DO117" t="s">
        <v>686</v>
      </c>
      <c r="DP117">
        <v>19</v>
      </c>
      <c r="DQ117">
        <v>352.6</v>
      </c>
      <c r="DR117">
        <v>22</v>
      </c>
      <c r="DS117">
        <v>295.8</v>
      </c>
      <c r="DV117" t="s">
        <v>686</v>
      </c>
      <c r="DW117">
        <v>-71.73</v>
      </c>
      <c r="DX117">
        <v>19</v>
      </c>
      <c r="DZ117" t="s">
        <v>546</v>
      </c>
      <c r="EA117">
        <v>22</v>
      </c>
      <c r="EB117">
        <v>-71.52</v>
      </c>
      <c r="EE117" t="s">
        <v>686</v>
      </c>
      <c r="EF117">
        <v>-51.3352</v>
      </c>
      <c r="EG117">
        <v>19</v>
      </c>
      <c r="EI117" t="s">
        <v>554</v>
      </c>
      <c r="EJ117">
        <v>-47.7791</v>
      </c>
      <c r="EK117">
        <v>22</v>
      </c>
      <c r="EM117" t="s">
        <v>554</v>
      </c>
      <c r="EN117">
        <v>-58.25</v>
      </c>
      <c r="EP117" t="s">
        <v>554</v>
      </c>
      <c r="EQ117">
        <f t="shared" si="25"/>
        <v>10.4709</v>
      </c>
    </row>
    <row r="118" spans="10:147" x14ac:dyDescent="0.35">
      <c r="J118" t="s">
        <v>106</v>
      </c>
      <c r="K118">
        <v>2.3199999999999998</v>
      </c>
      <c r="M118">
        <v>8</v>
      </c>
      <c r="P118" t="s">
        <v>679</v>
      </c>
      <c r="Q118">
        <v>294.55</v>
      </c>
      <c r="R118">
        <v>8</v>
      </c>
      <c r="T118" t="s">
        <v>669</v>
      </c>
      <c r="U118">
        <v>-49.17</v>
      </c>
      <c r="V118">
        <v>8</v>
      </c>
      <c r="X118">
        <v>-39.126600000000003</v>
      </c>
      <c r="Y118">
        <v>8</v>
      </c>
      <c r="AA118">
        <v>12.4734</v>
      </c>
      <c r="AB118">
        <v>8</v>
      </c>
      <c r="DO118" t="s">
        <v>688</v>
      </c>
      <c r="DP118">
        <v>19</v>
      </c>
      <c r="DQ118">
        <v>341.37</v>
      </c>
      <c r="DR118">
        <v>22</v>
      </c>
      <c r="DS118">
        <v>249.15</v>
      </c>
      <c r="DV118" t="s">
        <v>688</v>
      </c>
      <c r="DW118">
        <v>-60.9</v>
      </c>
      <c r="DX118">
        <v>19</v>
      </c>
      <c r="DZ118" t="s">
        <v>550</v>
      </c>
      <c r="EA118">
        <v>22</v>
      </c>
      <c r="EB118">
        <v>-57.37</v>
      </c>
      <c r="EE118" t="s">
        <v>688</v>
      </c>
      <c r="EF118">
        <v>-44.637300000000003</v>
      </c>
      <c r="EG118">
        <v>19</v>
      </c>
      <c r="EI118" t="s">
        <v>610</v>
      </c>
      <c r="EJ118">
        <v>-35.896999999999998</v>
      </c>
      <c r="EK118">
        <v>22</v>
      </c>
      <c r="EM118" t="s">
        <v>610</v>
      </c>
      <c r="EN118">
        <v>-52.94</v>
      </c>
      <c r="EP118" t="s">
        <v>610</v>
      </c>
      <c r="EQ118">
        <f t="shared" si="25"/>
        <v>17.042999999999999</v>
      </c>
    </row>
    <row r="119" spans="10:147" x14ac:dyDescent="0.35">
      <c r="J119" t="s">
        <v>107</v>
      </c>
      <c r="M119">
        <v>8</v>
      </c>
      <c r="P119" t="s">
        <v>681</v>
      </c>
      <c r="Q119">
        <v>282.62</v>
      </c>
      <c r="R119">
        <v>8</v>
      </c>
      <c r="T119" t="s">
        <v>671</v>
      </c>
      <c r="U119">
        <v>-54.91</v>
      </c>
      <c r="V119">
        <v>8</v>
      </c>
      <c r="X119">
        <v>-36.563899999999997</v>
      </c>
      <c r="Y119">
        <v>8</v>
      </c>
      <c r="AA119">
        <v>15.9061</v>
      </c>
      <c r="AB119">
        <v>8</v>
      </c>
      <c r="DO119" t="s">
        <v>689</v>
      </c>
      <c r="DP119">
        <v>19</v>
      </c>
      <c r="DQ119">
        <v>350.97</v>
      </c>
      <c r="DR119">
        <v>22</v>
      </c>
      <c r="DS119">
        <v>248.55</v>
      </c>
      <c r="DV119" t="s">
        <v>689</v>
      </c>
      <c r="DW119">
        <v>-65.739999999999995</v>
      </c>
      <c r="DX119">
        <v>19</v>
      </c>
      <c r="DZ119" t="s">
        <v>554</v>
      </c>
      <c r="EA119">
        <v>22</v>
      </c>
      <c r="EB119">
        <v>-58.25</v>
      </c>
      <c r="EE119" t="s">
        <v>689</v>
      </c>
      <c r="EF119">
        <v>-39.748399999999997</v>
      </c>
      <c r="EG119">
        <v>19</v>
      </c>
      <c r="EI119" t="s">
        <v>613</v>
      </c>
      <c r="EJ119">
        <v>-34.3765</v>
      </c>
      <c r="EK119">
        <v>22</v>
      </c>
      <c r="EM119" t="s">
        <v>613</v>
      </c>
      <c r="EN119">
        <v>-51.52</v>
      </c>
      <c r="EP119" t="s">
        <v>613</v>
      </c>
      <c r="EQ119">
        <f t="shared" si="25"/>
        <v>17.143500000000003</v>
      </c>
    </row>
    <row r="120" spans="10:147" x14ac:dyDescent="0.35">
      <c r="J120" t="s">
        <v>108</v>
      </c>
      <c r="K120">
        <v>3.92</v>
      </c>
      <c r="M120">
        <v>8</v>
      </c>
      <c r="P120" t="s">
        <v>683</v>
      </c>
      <c r="Q120">
        <v>519.97</v>
      </c>
      <c r="R120">
        <v>8</v>
      </c>
      <c r="T120" t="s">
        <v>673</v>
      </c>
      <c r="U120">
        <v>-51.94</v>
      </c>
      <c r="V120">
        <v>8</v>
      </c>
      <c r="X120">
        <v>-39.440100000000001</v>
      </c>
      <c r="Y120">
        <v>8</v>
      </c>
      <c r="AA120">
        <v>14.639900000000001</v>
      </c>
      <c r="AB120">
        <v>8</v>
      </c>
      <c r="DO120" t="s">
        <v>690</v>
      </c>
      <c r="DP120">
        <v>19</v>
      </c>
      <c r="DQ120">
        <v>310.05</v>
      </c>
      <c r="DR120">
        <v>22</v>
      </c>
      <c r="DS120">
        <v>319.10000000000002</v>
      </c>
      <c r="DV120" t="s">
        <v>690</v>
      </c>
      <c r="DW120">
        <v>-66.150000000000006</v>
      </c>
      <c r="DX120">
        <v>19</v>
      </c>
      <c r="DZ120" t="s">
        <v>610</v>
      </c>
      <c r="EA120">
        <v>22</v>
      </c>
      <c r="EB120">
        <v>-52.94</v>
      </c>
      <c r="EE120" t="s">
        <v>690</v>
      </c>
      <c r="EF120">
        <v>-43.095399999999998</v>
      </c>
      <c r="EG120">
        <v>19</v>
      </c>
      <c r="EI120" t="s">
        <v>616</v>
      </c>
      <c r="EJ120">
        <v>-39.068600000000004</v>
      </c>
      <c r="EK120">
        <v>22</v>
      </c>
      <c r="EM120" t="s">
        <v>616</v>
      </c>
      <c r="EN120">
        <v>-54.33</v>
      </c>
      <c r="EP120" t="s">
        <v>616</v>
      </c>
      <c r="EQ120">
        <f t="shared" si="25"/>
        <v>15.261399999999995</v>
      </c>
    </row>
    <row r="121" spans="10:147" x14ac:dyDescent="0.35">
      <c r="J121" t="s">
        <v>109</v>
      </c>
      <c r="K121">
        <v>1.2</v>
      </c>
      <c r="M121">
        <v>7</v>
      </c>
      <c r="P121" t="s">
        <v>685</v>
      </c>
      <c r="Q121">
        <v>563.5</v>
      </c>
      <c r="R121">
        <v>8</v>
      </c>
      <c r="T121" t="s">
        <v>675</v>
      </c>
      <c r="U121">
        <v>-52.2</v>
      </c>
      <c r="V121">
        <v>8</v>
      </c>
      <c r="X121">
        <v>-39.773499999999999</v>
      </c>
      <c r="Y121">
        <v>8</v>
      </c>
      <c r="AA121">
        <v>10.656499999999999</v>
      </c>
      <c r="AB121">
        <v>8</v>
      </c>
      <c r="DO121" t="s">
        <v>691</v>
      </c>
      <c r="DP121">
        <v>19</v>
      </c>
      <c r="DQ121">
        <v>293.92</v>
      </c>
      <c r="DR121">
        <v>22</v>
      </c>
      <c r="DS121">
        <v>375.2</v>
      </c>
      <c r="DV121" t="s">
        <v>691</v>
      </c>
      <c r="DW121">
        <v>-67.040000000000006</v>
      </c>
      <c r="DX121">
        <v>19</v>
      </c>
      <c r="DZ121" t="s">
        <v>613</v>
      </c>
      <c r="EA121">
        <v>22</v>
      </c>
      <c r="EB121">
        <v>-51.52</v>
      </c>
      <c r="EE121" t="s">
        <v>691</v>
      </c>
      <c r="EF121">
        <v>-43.231900000000003</v>
      </c>
      <c r="EG121">
        <v>19</v>
      </c>
      <c r="EI121" t="s">
        <v>619</v>
      </c>
      <c r="EJ121">
        <v>-37.025399999999998</v>
      </c>
      <c r="EK121">
        <v>22</v>
      </c>
      <c r="EM121" t="s">
        <v>619</v>
      </c>
      <c r="EN121">
        <v>-47.64</v>
      </c>
      <c r="EP121" t="s">
        <v>619</v>
      </c>
      <c r="EQ121">
        <f t="shared" si="25"/>
        <v>10.614600000000003</v>
      </c>
    </row>
    <row r="122" spans="10:147" x14ac:dyDescent="0.35">
      <c r="J122" t="s">
        <v>110</v>
      </c>
      <c r="K122">
        <v>3.52</v>
      </c>
      <c r="M122">
        <v>7</v>
      </c>
      <c r="P122" t="s">
        <v>687</v>
      </c>
      <c r="Q122">
        <v>476.15</v>
      </c>
      <c r="R122">
        <v>8</v>
      </c>
      <c r="T122" t="s">
        <v>677</v>
      </c>
      <c r="U122">
        <v>-68.959999999999994</v>
      </c>
      <c r="V122">
        <v>8</v>
      </c>
      <c r="X122">
        <v>-35.561300000000003</v>
      </c>
      <c r="Y122">
        <v>8</v>
      </c>
      <c r="AA122">
        <v>14.498699999999999</v>
      </c>
      <c r="AB122">
        <v>8</v>
      </c>
      <c r="DO122" t="s">
        <v>692</v>
      </c>
      <c r="DP122">
        <v>19</v>
      </c>
      <c r="DQ122">
        <v>292.42</v>
      </c>
      <c r="DR122">
        <v>22</v>
      </c>
      <c r="DS122">
        <v>238.5</v>
      </c>
      <c r="DV122" t="s">
        <v>692</v>
      </c>
      <c r="DW122">
        <v>-62.17</v>
      </c>
      <c r="DX122">
        <v>19</v>
      </c>
      <c r="DZ122" t="s">
        <v>616</v>
      </c>
      <c r="EA122">
        <v>22</v>
      </c>
      <c r="EB122">
        <v>-54.33</v>
      </c>
      <c r="EE122" t="s">
        <v>692</v>
      </c>
      <c r="EF122">
        <v>-53.041800000000002</v>
      </c>
      <c r="EG122">
        <v>19</v>
      </c>
      <c r="EI122" t="s">
        <v>622</v>
      </c>
      <c r="EJ122">
        <v>-40.606999999999999</v>
      </c>
      <c r="EK122">
        <v>22</v>
      </c>
      <c r="EM122" t="s">
        <v>622</v>
      </c>
      <c r="EN122">
        <v>-67.03</v>
      </c>
      <c r="EP122" t="s">
        <v>622</v>
      </c>
      <c r="EQ122">
        <f t="shared" si="25"/>
        <v>26.423000000000002</v>
      </c>
    </row>
    <row r="123" spans="10:147" ht="13.15" x14ac:dyDescent="0.4">
      <c r="J123" t="s">
        <v>111</v>
      </c>
      <c r="K123">
        <v>0.94</v>
      </c>
      <c r="M123">
        <v>7</v>
      </c>
      <c r="Q123" s="1">
        <f>AVERAGE(Q57:Q122)</f>
        <v>486.56151515151504</v>
      </c>
      <c r="T123" t="s">
        <v>679</v>
      </c>
      <c r="U123">
        <v>-53.11</v>
      </c>
      <c r="V123">
        <v>8</v>
      </c>
      <c r="DO123" t="s">
        <v>693</v>
      </c>
      <c r="DP123">
        <v>19</v>
      </c>
      <c r="DQ123">
        <v>479.9</v>
      </c>
      <c r="DR123">
        <v>22</v>
      </c>
      <c r="DS123">
        <v>290.47000000000003</v>
      </c>
      <c r="DV123" t="s">
        <v>693</v>
      </c>
      <c r="DW123">
        <v>-65.599999999999994</v>
      </c>
      <c r="DX123">
        <v>19</v>
      </c>
      <c r="DZ123" t="s">
        <v>619</v>
      </c>
      <c r="EA123">
        <v>22</v>
      </c>
      <c r="EB123">
        <v>-47.64</v>
      </c>
      <c r="EE123" t="s">
        <v>693</v>
      </c>
      <c r="EF123">
        <v>-45.896099999999997</v>
      </c>
      <c r="EG123">
        <v>19</v>
      </c>
      <c r="EI123" t="s">
        <v>625</v>
      </c>
      <c r="EJ123">
        <v>-43.328099999999999</v>
      </c>
      <c r="EK123">
        <v>22</v>
      </c>
      <c r="EM123" t="s">
        <v>625</v>
      </c>
      <c r="EN123">
        <v>-56.92</v>
      </c>
      <c r="EP123" t="s">
        <v>625</v>
      </c>
      <c r="EQ123">
        <f t="shared" si="25"/>
        <v>13.591900000000003</v>
      </c>
    </row>
    <row r="124" spans="10:147" x14ac:dyDescent="0.35">
      <c r="J124" t="s">
        <v>112</v>
      </c>
      <c r="K124">
        <v>2.82</v>
      </c>
      <c r="L124">
        <v>0.34</v>
      </c>
      <c r="M124">
        <v>8</v>
      </c>
      <c r="T124" t="s">
        <v>681</v>
      </c>
      <c r="U124">
        <v>-57.98</v>
      </c>
      <c r="V124">
        <v>8</v>
      </c>
      <c r="DO124" t="s">
        <v>694</v>
      </c>
      <c r="DP124">
        <v>19</v>
      </c>
      <c r="DQ124">
        <v>349.5</v>
      </c>
      <c r="DR124">
        <v>22</v>
      </c>
      <c r="DS124">
        <v>271.35000000000002</v>
      </c>
      <c r="DV124" t="s">
        <v>694</v>
      </c>
      <c r="DW124">
        <v>-65.569999999999993</v>
      </c>
      <c r="DX124">
        <v>19</v>
      </c>
      <c r="DZ124" t="s">
        <v>622</v>
      </c>
      <c r="EA124">
        <v>22</v>
      </c>
      <c r="EB124">
        <v>-67.03</v>
      </c>
      <c r="EE124" t="s">
        <v>694</v>
      </c>
      <c r="EF124">
        <v>-39.820900000000002</v>
      </c>
      <c r="EG124">
        <v>19</v>
      </c>
      <c r="EI124" t="s">
        <v>628</v>
      </c>
      <c r="EJ124">
        <v>-41.635899999999999</v>
      </c>
      <c r="EK124">
        <v>22</v>
      </c>
      <c r="EM124" t="s">
        <v>628</v>
      </c>
      <c r="EN124">
        <v>-65.61</v>
      </c>
      <c r="EP124" t="s">
        <v>628</v>
      </c>
      <c r="EQ124">
        <f t="shared" si="25"/>
        <v>23.9741</v>
      </c>
    </row>
    <row r="125" spans="10:147" x14ac:dyDescent="0.35">
      <c r="J125" t="s">
        <v>113</v>
      </c>
      <c r="K125">
        <v>1.96</v>
      </c>
      <c r="M125">
        <v>8</v>
      </c>
      <c r="T125" t="s">
        <v>683</v>
      </c>
      <c r="U125">
        <v>-61.54</v>
      </c>
      <c r="V125">
        <v>8</v>
      </c>
      <c r="DO125" t="s">
        <v>695</v>
      </c>
      <c r="DP125">
        <v>19</v>
      </c>
      <c r="DQ125">
        <v>303.8</v>
      </c>
      <c r="DR125">
        <v>22</v>
      </c>
      <c r="DS125">
        <v>292.17</v>
      </c>
      <c r="DV125" t="s">
        <v>695</v>
      </c>
      <c r="DW125">
        <v>-63.57</v>
      </c>
      <c r="DX125">
        <v>19</v>
      </c>
      <c r="DZ125" t="s">
        <v>625</v>
      </c>
      <c r="EA125">
        <v>22</v>
      </c>
      <c r="EB125">
        <v>-56.92</v>
      </c>
      <c r="EE125" t="s">
        <v>695</v>
      </c>
      <c r="EF125">
        <v>-48.929600000000001</v>
      </c>
      <c r="EG125">
        <v>19</v>
      </c>
      <c r="EI125" t="s">
        <v>933</v>
      </c>
      <c r="EJ125">
        <v>-31.8</v>
      </c>
      <c r="EK125">
        <v>23</v>
      </c>
      <c r="EM125" t="s">
        <v>933</v>
      </c>
      <c r="EN125">
        <v>-52</v>
      </c>
      <c r="EP125" t="s">
        <v>933</v>
      </c>
      <c r="EQ125">
        <f t="shared" si="25"/>
        <v>20.2</v>
      </c>
    </row>
    <row r="126" spans="10:147" x14ac:dyDescent="0.35">
      <c r="J126" t="s">
        <v>114</v>
      </c>
      <c r="K126">
        <v>0.7</v>
      </c>
      <c r="L126">
        <v>0.41</v>
      </c>
      <c r="M126">
        <v>8</v>
      </c>
      <c r="T126" t="s">
        <v>685</v>
      </c>
      <c r="U126">
        <v>-53.09</v>
      </c>
      <c r="V126">
        <v>8</v>
      </c>
      <c r="DO126" t="s">
        <v>159</v>
      </c>
      <c r="DP126">
        <v>18</v>
      </c>
      <c r="DQ126">
        <v>353.96</v>
      </c>
      <c r="DR126">
        <v>23</v>
      </c>
      <c r="DS126">
        <v>250.97</v>
      </c>
      <c r="DV126" t="s">
        <v>159</v>
      </c>
      <c r="DW126">
        <v>-66</v>
      </c>
      <c r="DX126">
        <v>18</v>
      </c>
      <c r="DZ126" t="s">
        <v>628</v>
      </c>
      <c r="EA126">
        <v>22</v>
      </c>
      <c r="EB126">
        <v>-65.61</v>
      </c>
      <c r="EE126" t="s">
        <v>159</v>
      </c>
      <c r="EF126">
        <v>-46.81</v>
      </c>
      <c r="EG126">
        <v>18</v>
      </c>
      <c r="EI126" t="s">
        <v>934</v>
      </c>
      <c r="EJ126">
        <v>-37.31</v>
      </c>
      <c r="EK126">
        <v>23</v>
      </c>
      <c r="EM126" t="s">
        <v>934</v>
      </c>
      <c r="EN126">
        <v>-57.55</v>
      </c>
      <c r="EP126" t="s">
        <v>934</v>
      </c>
      <c r="EQ126">
        <f t="shared" si="25"/>
        <v>20.239999999999995</v>
      </c>
    </row>
    <row r="127" spans="10:147" x14ac:dyDescent="0.35">
      <c r="J127" t="s">
        <v>115</v>
      </c>
      <c r="K127">
        <v>0.94</v>
      </c>
      <c r="M127">
        <v>8</v>
      </c>
      <c r="T127" t="s">
        <v>687</v>
      </c>
      <c r="U127">
        <v>-61.65</v>
      </c>
      <c r="V127">
        <v>8</v>
      </c>
      <c r="DO127" t="s">
        <v>169</v>
      </c>
      <c r="DP127">
        <v>18</v>
      </c>
      <c r="DQ127">
        <v>239.92</v>
      </c>
      <c r="DR127">
        <v>23</v>
      </c>
      <c r="DS127">
        <v>222.57499999999999</v>
      </c>
      <c r="DV127" t="s">
        <v>169</v>
      </c>
      <c r="DW127">
        <v>-58.12</v>
      </c>
      <c r="DX127">
        <v>18</v>
      </c>
      <c r="DZ127" t="s">
        <v>910</v>
      </c>
      <c r="EA127">
        <v>23</v>
      </c>
      <c r="EB127">
        <v>-69.180000000000007</v>
      </c>
      <c r="EE127" t="s">
        <v>169</v>
      </c>
      <c r="EF127">
        <v>-46.98</v>
      </c>
      <c r="EG127">
        <v>18</v>
      </c>
      <c r="EI127" t="s">
        <v>935</v>
      </c>
      <c r="EJ127">
        <v>-33.369999999999997</v>
      </c>
      <c r="EK127">
        <v>23</v>
      </c>
      <c r="EM127" t="s">
        <v>935</v>
      </c>
      <c r="EN127">
        <v>-50.74</v>
      </c>
      <c r="EP127" t="s">
        <v>935</v>
      </c>
      <c r="EQ127">
        <f t="shared" si="25"/>
        <v>17.370000000000005</v>
      </c>
    </row>
    <row r="128" spans="10:147" x14ac:dyDescent="0.35">
      <c r="J128" t="s">
        <v>116</v>
      </c>
      <c r="K128">
        <v>1.84</v>
      </c>
      <c r="M128">
        <v>8</v>
      </c>
      <c r="T128" t="s">
        <v>699</v>
      </c>
      <c r="U128">
        <v>-59.28</v>
      </c>
      <c r="V128">
        <v>8</v>
      </c>
      <c r="DO128" t="s">
        <v>175</v>
      </c>
      <c r="DP128">
        <v>18</v>
      </c>
      <c r="DQ128">
        <v>232.92</v>
      </c>
      <c r="DR128">
        <v>23</v>
      </c>
      <c r="DS128">
        <v>201.5</v>
      </c>
      <c r="DV128" t="s">
        <v>175</v>
      </c>
      <c r="DW128">
        <v>-62.5</v>
      </c>
      <c r="DX128">
        <v>18</v>
      </c>
      <c r="DZ128" t="s">
        <v>911</v>
      </c>
      <c r="EA128">
        <v>23</v>
      </c>
      <c r="EB128">
        <v>-52.43</v>
      </c>
      <c r="EE128" t="s">
        <v>175</v>
      </c>
      <c r="EF128">
        <v>-51.88</v>
      </c>
      <c r="EG128">
        <v>18</v>
      </c>
      <c r="EI128" t="s">
        <v>936</v>
      </c>
      <c r="EJ128">
        <v>-44.56</v>
      </c>
      <c r="EK128">
        <v>23</v>
      </c>
      <c r="EM128" t="s">
        <v>936</v>
      </c>
      <c r="EN128">
        <v>-58.33</v>
      </c>
      <c r="EP128" t="s">
        <v>936</v>
      </c>
      <c r="EQ128">
        <f t="shared" si="25"/>
        <v>13.769999999999996</v>
      </c>
    </row>
    <row r="129" spans="10:147" x14ac:dyDescent="0.35">
      <c r="J129" t="s">
        <v>117</v>
      </c>
      <c r="K129">
        <v>1.52</v>
      </c>
      <c r="L129">
        <v>0.31</v>
      </c>
      <c r="M129">
        <v>8</v>
      </c>
      <c r="T129" t="s">
        <v>702</v>
      </c>
      <c r="U129">
        <v>-65.430000000000007</v>
      </c>
      <c r="V129">
        <v>8</v>
      </c>
      <c r="DO129" t="s">
        <v>184</v>
      </c>
      <c r="DP129">
        <v>18</v>
      </c>
      <c r="DQ129">
        <v>382</v>
      </c>
      <c r="DR129">
        <v>23</v>
      </c>
      <c r="DS129">
        <v>219.2</v>
      </c>
      <c r="DV129" t="s">
        <v>184</v>
      </c>
      <c r="DW129">
        <v>-76.2</v>
      </c>
      <c r="DX129">
        <v>18</v>
      </c>
      <c r="DZ129" t="s">
        <v>912</v>
      </c>
      <c r="EA129">
        <v>23</v>
      </c>
      <c r="EB129">
        <v>-66.89</v>
      </c>
      <c r="EE129" t="s">
        <v>184</v>
      </c>
      <c r="EF129">
        <v>-39.24</v>
      </c>
      <c r="EG129">
        <v>18</v>
      </c>
      <c r="EI129" t="s">
        <v>937</v>
      </c>
      <c r="EJ129">
        <v>-39.86</v>
      </c>
      <c r="EK129">
        <v>23</v>
      </c>
      <c r="EM129" t="s">
        <v>937</v>
      </c>
      <c r="EN129">
        <v>-55</v>
      </c>
      <c r="EP129" t="s">
        <v>937</v>
      </c>
      <c r="EQ129">
        <f t="shared" si="25"/>
        <v>15.14</v>
      </c>
    </row>
    <row r="130" spans="10:147" x14ac:dyDescent="0.35">
      <c r="J130" t="s">
        <v>118</v>
      </c>
      <c r="K130">
        <v>3.04</v>
      </c>
      <c r="M130">
        <v>8</v>
      </c>
      <c r="T130" t="s">
        <v>703</v>
      </c>
      <c r="U130">
        <v>-51.6</v>
      </c>
      <c r="V130">
        <v>8</v>
      </c>
      <c r="DO130" t="s">
        <v>178</v>
      </c>
      <c r="DP130">
        <v>18</v>
      </c>
      <c r="DQ130">
        <v>310.55</v>
      </c>
      <c r="DR130">
        <v>23</v>
      </c>
      <c r="DS130">
        <v>88</v>
      </c>
      <c r="DV130" t="s">
        <v>178</v>
      </c>
      <c r="DW130">
        <v>-64.2</v>
      </c>
      <c r="DX130">
        <v>18</v>
      </c>
      <c r="DZ130" t="s">
        <v>933</v>
      </c>
      <c r="EA130">
        <v>23</v>
      </c>
      <c r="EB130">
        <v>-52</v>
      </c>
      <c r="EE130" t="s">
        <v>178</v>
      </c>
      <c r="EF130">
        <v>-36.76</v>
      </c>
      <c r="EG130">
        <v>18</v>
      </c>
      <c r="EI130" t="s">
        <v>938</v>
      </c>
      <c r="EJ130">
        <v>-37.61</v>
      </c>
      <c r="EK130">
        <v>23</v>
      </c>
      <c r="EM130" t="s">
        <v>938</v>
      </c>
      <c r="EN130">
        <v>-55.65</v>
      </c>
      <c r="EP130" t="s">
        <v>938</v>
      </c>
      <c r="EQ130">
        <f t="shared" si="25"/>
        <v>18.04</v>
      </c>
    </row>
    <row r="131" spans="10:147" x14ac:dyDescent="0.35">
      <c r="J131" t="s">
        <v>119</v>
      </c>
      <c r="K131">
        <v>1.25</v>
      </c>
      <c r="M131">
        <v>7</v>
      </c>
      <c r="T131" t="s">
        <v>704</v>
      </c>
      <c r="U131">
        <v>-52.47</v>
      </c>
      <c r="V131">
        <v>8</v>
      </c>
      <c r="DO131" t="s">
        <v>182</v>
      </c>
      <c r="DP131">
        <v>18</v>
      </c>
      <c r="DQ131">
        <v>444.9</v>
      </c>
      <c r="DR131">
        <v>23</v>
      </c>
      <c r="DS131">
        <v>127.8</v>
      </c>
      <c r="DV131" t="s">
        <v>182</v>
      </c>
      <c r="DW131">
        <v>-67.91</v>
      </c>
      <c r="DX131">
        <v>18</v>
      </c>
      <c r="DZ131" t="s">
        <v>934</v>
      </c>
      <c r="EA131">
        <v>23</v>
      </c>
      <c r="EB131">
        <v>-57.55</v>
      </c>
      <c r="EE131" t="s">
        <v>182</v>
      </c>
      <c r="EF131">
        <v>-45.04</v>
      </c>
      <c r="EG131">
        <v>18</v>
      </c>
      <c r="EI131" t="s">
        <v>939</v>
      </c>
      <c r="EJ131">
        <v>-40.880000000000003</v>
      </c>
      <c r="EK131">
        <v>23</v>
      </c>
      <c r="EM131" t="s">
        <v>939</v>
      </c>
      <c r="EN131">
        <v>-59</v>
      </c>
      <c r="EP131" t="s">
        <v>939</v>
      </c>
      <c r="EQ131">
        <f t="shared" ref="EQ131:EQ147" si="27">EJ131-EN131</f>
        <v>18.119999999999997</v>
      </c>
    </row>
    <row r="132" spans="10:147" x14ac:dyDescent="0.35">
      <c r="J132" t="s">
        <v>120</v>
      </c>
      <c r="K132">
        <v>3.48</v>
      </c>
      <c r="M132">
        <v>7</v>
      </c>
      <c r="T132" t="s">
        <v>705</v>
      </c>
      <c r="U132">
        <v>-54.08</v>
      </c>
      <c r="V132">
        <v>8</v>
      </c>
      <c r="DO132" t="s">
        <v>888</v>
      </c>
      <c r="DP132">
        <v>18</v>
      </c>
      <c r="DQ132">
        <v>643.4</v>
      </c>
      <c r="DR132">
        <v>24</v>
      </c>
      <c r="DS132">
        <v>350.37</v>
      </c>
      <c r="DV132" t="s">
        <v>888</v>
      </c>
      <c r="DW132">
        <v>-60.43</v>
      </c>
      <c r="DX132">
        <v>18</v>
      </c>
      <c r="DZ132" t="s">
        <v>935</v>
      </c>
      <c r="EA132">
        <v>23</v>
      </c>
      <c r="EB132">
        <v>-50.74</v>
      </c>
      <c r="EE132" t="s">
        <v>888</v>
      </c>
      <c r="EF132">
        <v>-40.119999999999997</v>
      </c>
      <c r="EG132">
        <v>18</v>
      </c>
      <c r="EI132" t="s">
        <v>940</v>
      </c>
      <c r="EJ132">
        <v>-39.44</v>
      </c>
      <c r="EK132">
        <v>23</v>
      </c>
      <c r="EM132" t="s">
        <v>940</v>
      </c>
      <c r="EN132">
        <v>-61.23</v>
      </c>
      <c r="EP132" t="s">
        <v>940</v>
      </c>
      <c r="EQ132">
        <f t="shared" si="27"/>
        <v>21.79</v>
      </c>
    </row>
    <row r="133" spans="10:147" x14ac:dyDescent="0.35">
      <c r="J133" t="s">
        <v>121</v>
      </c>
      <c r="K133">
        <v>1.68</v>
      </c>
      <c r="M133">
        <v>7</v>
      </c>
      <c r="T133" t="s">
        <v>706</v>
      </c>
      <c r="U133">
        <v>-50.43</v>
      </c>
      <c r="V133">
        <v>8</v>
      </c>
      <c r="DO133" t="s">
        <v>889</v>
      </c>
      <c r="DP133">
        <v>18</v>
      </c>
      <c r="DQ133">
        <v>621.5</v>
      </c>
      <c r="DR133">
        <v>24</v>
      </c>
      <c r="DS133">
        <v>196.47</v>
      </c>
      <c r="DV133" t="s">
        <v>889</v>
      </c>
      <c r="DW133">
        <v>-56</v>
      </c>
      <c r="DX133">
        <v>18</v>
      </c>
      <c r="DZ133" t="s">
        <v>936</v>
      </c>
      <c r="EA133">
        <v>23</v>
      </c>
      <c r="EB133">
        <v>-58.33</v>
      </c>
      <c r="EE133" t="s">
        <v>889</v>
      </c>
      <c r="EF133">
        <v>-39.32</v>
      </c>
      <c r="EG133">
        <v>18</v>
      </c>
      <c r="EI133" t="s">
        <v>910</v>
      </c>
      <c r="EJ133">
        <v>-41.96</v>
      </c>
      <c r="EK133">
        <v>23</v>
      </c>
      <c r="EM133" t="s">
        <v>910</v>
      </c>
      <c r="EN133">
        <v>-69.180000000000007</v>
      </c>
      <c r="EP133" t="s">
        <v>910</v>
      </c>
      <c r="EQ133">
        <f t="shared" si="27"/>
        <v>27.220000000000006</v>
      </c>
    </row>
    <row r="134" spans="10:147" x14ac:dyDescent="0.35">
      <c r="J134" t="s">
        <v>122</v>
      </c>
      <c r="K134">
        <v>0.75</v>
      </c>
      <c r="M134">
        <v>7</v>
      </c>
      <c r="T134" t="s">
        <v>707</v>
      </c>
      <c r="U134">
        <v>-50.06</v>
      </c>
      <c r="V134">
        <v>8</v>
      </c>
      <c r="DO134" t="s">
        <v>189</v>
      </c>
      <c r="DP134">
        <v>18</v>
      </c>
      <c r="DQ134">
        <v>452.5</v>
      </c>
      <c r="DR134">
        <v>24</v>
      </c>
      <c r="DS134">
        <v>282.35000000000002</v>
      </c>
      <c r="DV134" t="s">
        <v>189</v>
      </c>
      <c r="DW134">
        <v>-66.400000000000006</v>
      </c>
      <c r="DX134">
        <v>18</v>
      </c>
      <c r="DZ134" t="s">
        <v>937</v>
      </c>
      <c r="EA134">
        <v>23</v>
      </c>
      <c r="EB134">
        <v>-55</v>
      </c>
      <c r="EE134" t="s">
        <v>189</v>
      </c>
      <c r="EF134">
        <v>-41.18</v>
      </c>
      <c r="EG134">
        <v>18</v>
      </c>
      <c r="EI134" t="s">
        <v>911</v>
      </c>
      <c r="EJ134">
        <v>-48.57</v>
      </c>
      <c r="EK134">
        <v>23</v>
      </c>
      <c r="EM134" t="s">
        <v>911</v>
      </c>
      <c r="EN134">
        <v>-52.43</v>
      </c>
      <c r="EP134" t="s">
        <v>911</v>
      </c>
      <c r="EQ134">
        <f t="shared" si="27"/>
        <v>3.8599999999999994</v>
      </c>
    </row>
    <row r="135" spans="10:147" x14ac:dyDescent="0.35">
      <c r="J135" t="s">
        <v>123</v>
      </c>
      <c r="K135">
        <v>0.97</v>
      </c>
      <c r="M135">
        <v>7</v>
      </c>
      <c r="T135" t="s">
        <v>205</v>
      </c>
      <c r="U135">
        <v>-62.14</v>
      </c>
      <c r="V135">
        <v>8</v>
      </c>
      <c r="DO135" t="s">
        <v>198</v>
      </c>
      <c r="DP135">
        <v>18</v>
      </c>
      <c r="DQ135">
        <v>148.69999999999999</v>
      </c>
      <c r="DR135">
        <v>24</v>
      </c>
      <c r="DS135">
        <v>228.82</v>
      </c>
      <c r="DV135" t="s">
        <v>198</v>
      </c>
      <c r="DW135">
        <v>-54</v>
      </c>
      <c r="DX135">
        <v>18</v>
      </c>
      <c r="DZ135" t="s">
        <v>938</v>
      </c>
      <c r="EA135">
        <v>23</v>
      </c>
      <c r="EB135">
        <v>-55.65</v>
      </c>
      <c r="EE135" t="s">
        <v>198</v>
      </c>
      <c r="EF135">
        <v>-34</v>
      </c>
      <c r="EG135">
        <v>18</v>
      </c>
      <c r="EI135" t="s">
        <v>912</v>
      </c>
      <c r="EJ135">
        <v>-45.84</v>
      </c>
      <c r="EK135">
        <v>23</v>
      </c>
      <c r="EM135" t="s">
        <v>912</v>
      </c>
      <c r="EN135">
        <v>-66.89</v>
      </c>
      <c r="EP135" t="s">
        <v>912</v>
      </c>
      <c r="EQ135">
        <f t="shared" si="27"/>
        <v>21.049999999999997</v>
      </c>
    </row>
    <row r="136" spans="10:147" x14ac:dyDescent="0.35">
      <c r="J136" t="s">
        <v>124</v>
      </c>
      <c r="K136">
        <v>2.91</v>
      </c>
      <c r="M136">
        <v>7</v>
      </c>
      <c r="T136" t="s">
        <v>708</v>
      </c>
      <c r="U136">
        <v>-60.94</v>
      </c>
      <c r="V136">
        <v>8</v>
      </c>
      <c r="DO136" t="s">
        <v>202</v>
      </c>
      <c r="DP136">
        <v>18</v>
      </c>
      <c r="DQ136">
        <v>494.8</v>
      </c>
      <c r="DR136">
        <v>24</v>
      </c>
      <c r="DS136">
        <v>285.95</v>
      </c>
      <c r="DV136" t="s">
        <v>202</v>
      </c>
      <c r="DW136">
        <v>-73.73</v>
      </c>
      <c r="DX136">
        <v>18</v>
      </c>
      <c r="DZ136" t="s">
        <v>939</v>
      </c>
      <c r="EA136">
        <v>23</v>
      </c>
      <c r="EB136">
        <v>-59</v>
      </c>
      <c r="EE136" t="s">
        <v>202</v>
      </c>
      <c r="EF136">
        <v>-50.9</v>
      </c>
      <c r="EG136">
        <v>18</v>
      </c>
      <c r="EI136" t="s">
        <v>355</v>
      </c>
      <c r="EJ136">
        <v>-57.691000000000003</v>
      </c>
      <c r="EK136">
        <v>24</v>
      </c>
      <c r="EM136" t="s">
        <v>355</v>
      </c>
      <c r="EN136">
        <v>-65.52</v>
      </c>
      <c r="EP136" t="s">
        <v>355</v>
      </c>
      <c r="EQ136">
        <f t="shared" si="27"/>
        <v>7.8289999999999935</v>
      </c>
    </row>
    <row r="137" spans="10:147" x14ac:dyDescent="0.35">
      <c r="J137" t="s">
        <v>125</v>
      </c>
      <c r="K137">
        <v>2.42</v>
      </c>
      <c r="M137">
        <v>7</v>
      </c>
      <c r="T137" t="s">
        <v>208</v>
      </c>
      <c r="U137">
        <v>-54.47</v>
      </c>
      <c r="V137">
        <v>8</v>
      </c>
      <c r="DO137" t="s">
        <v>206</v>
      </c>
      <c r="DP137">
        <v>18</v>
      </c>
      <c r="DQ137">
        <v>607.4</v>
      </c>
      <c r="DR137">
        <v>24</v>
      </c>
      <c r="DS137">
        <v>229.65</v>
      </c>
      <c r="DV137" t="s">
        <v>206</v>
      </c>
      <c r="DW137">
        <v>-61</v>
      </c>
      <c r="DX137">
        <v>18</v>
      </c>
      <c r="DZ137" t="s">
        <v>940</v>
      </c>
      <c r="EA137">
        <v>23</v>
      </c>
      <c r="EB137">
        <v>-61.23</v>
      </c>
      <c r="EE137" t="s">
        <v>206</v>
      </c>
      <c r="EF137">
        <v>-35.17</v>
      </c>
      <c r="EG137">
        <v>18</v>
      </c>
      <c r="EI137" t="s">
        <v>359</v>
      </c>
      <c r="EJ137">
        <v>-44.439700000000002</v>
      </c>
      <c r="EK137">
        <v>24</v>
      </c>
      <c r="EM137" t="s">
        <v>359</v>
      </c>
      <c r="EN137">
        <v>-54.17</v>
      </c>
      <c r="EP137" t="s">
        <v>359</v>
      </c>
      <c r="EQ137">
        <f t="shared" si="27"/>
        <v>9.7302999999999997</v>
      </c>
    </row>
    <row r="138" spans="10:147" x14ac:dyDescent="0.35">
      <c r="J138" t="s">
        <v>126</v>
      </c>
      <c r="K138">
        <v>5.08</v>
      </c>
      <c r="M138">
        <v>7</v>
      </c>
      <c r="T138" t="s">
        <v>213</v>
      </c>
      <c r="U138">
        <v>-64.599999999999994</v>
      </c>
      <c r="V138">
        <v>8</v>
      </c>
      <c r="DO138" t="s">
        <v>941</v>
      </c>
      <c r="DP138">
        <v>23</v>
      </c>
      <c r="DQ138">
        <v>250.97</v>
      </c>
      <c r="DR138">
        <v>25</v>
      </c>
      <c r="DS138">
        <v>264.55</v>
      </c>
      <c r="DV138" t="s">
        <v>209</v>
      </c>
      <c r="DW138">
        <v>-68</v>
      </c>
      <c r="DX138">
        <v>18</v>
      </c>
      <c r="DZ138" t="s">
        <v>355</v>
      </c>
      <c r="EA138">
        <v>24</v>
      </c>
      <c r="EB138">
        <v>-65.52</v>
      </c>
      <c r="EI138" t="s">
        <v>363</v>
      </c>
      <c r="EJ138">
        <v>-40.609000000000002</v>
      </c>
      <c r="EK138">
        <v>24</v>
      </c>
      <c r="EM138" t="s">
        <v>363</v>
      </c>
      <c r="EN138">
        <v>-63.83</v>
      </c>
      <c r="EP138" t="s">
        <v>363</v>
      </c>
      <c r="EQ138">
        <f t="shared" si="27"/>
        <v>23.220999999999997</v>
      </c>
    </row>
    <row r="139" spans="10:147" x14ac:dyDescent="0.35">
      <c r="J139" t="s">
        <v>127</v>
      </c>
      <c r="K139">
        <v>8.51</v>
      </c>
      <c r="M139">
        <v>8</v>
      </c>
      <c r="T139" t="s">
        <v>216</v>
      </c>
      <c r="U139">
        <v>-70.430000000000007</v>
      </c>
      <c r="V139">
        <v>8</v>
      </c>
      <c r="DO139" t="s">
        <v>942</v>
      </c>
      <c r="DP139">
        <v>24</v>
      </c>
      <c r="DQ139">
        <v>267.85000000000002</v>
      </c>
      <c r="DR139">
        <v>25</v>
      </c>
      <c r="DS139">
        <v>277.57</v>
      </c>
      <c r="DV139" t="s">
        <v>910</v>
      </c>
      <c r="DW139">
        <v>-69.180000000000007</v>
      </c>
      <c r="DX139">
        <v>23</v>
      </c>
      <c r="DZ139" t="s">
        <v>359</v>
      </c>
      <c r="EA139">
        <v>24</v>
      </c>
      <c r="EB139">
        <v>-54.17</v>
      </c>
      <c r="EI139" t="s">
        <v>367</v>
      </c>
      <c r="EJ139">
        <v>-42.905999999999999</v>
      </c>
      <c r="EK139">
        <v>24</v>
      </c>
      <c r="EM139" t="s">
        <v>367</v>
      </c>
      <c r="EN139">
        <v>-61.24</v>
      </c>
      <c r="EP139" t="s">
        <v>367</v>
      </c>
      <c r="EQ139">
        <f t="shared" si="27"/>
        <v>18.334000000000003</v>
      </c>
    </row>
    <row r="140" spans="10:147" x14ac:dyDescent="0.35">
      <c r="J140" t="s">
        <v>524</v>
      </c>
      <c r="K140">
        <v>1.84</v>
      </c>
      <c r="M140">
        <v>8</v>
      </c>
      <c r="T140" t="s">
        <v>219</v>
      </c>
      <c r="U140">
        <v>-68.680000000000007</v>
      </c>
      <c r="V140">
        <v>8</v>
      </c>
      <c r="DO140" t="s">
        <v>934</v>
      </c>
      <c r="DP140">
        <v>23</v>
      </c>
      <c r="DQ140">
        <v>222.57499999999999</v>
      </c>
      <c r="DR140">
        <v>25</v>
      </c>
      <c r="DS140">
        <v>255.85</v>
      </c>
      <c r="DV140" t="s">
        <v>911</v>
      </c>
      <c r="DW140">
        <v>-52.43</v>
      </c>
      <c r="DX140">
        <v>23</v>
      </c>
      <c r="DZ140" t="s">
        <v>363</v>
      </c>
      <c r="EA140">
        <v>24</v>
      </c>
      <c r="EB140">
        <v>-63.83</v>
      </c>
      <c r="EI140" t="s">
        <v>371</v>
      </c>
      <c r="EJ140">
        <v>-43.791899999999998</v>
      </c>
      <c r="EK140">
        <v>24</v>
      </c>
      <c r="EM140" t="s">
        <v>371</v>
      </c>
      <c r="EN140">
        <v>-71</v>
      </c>
      <c r="EP140" t="s">
        <v>371</v>
      </c>
      <c r="EQ140">
        <f t="shared" si="27"/>
        <v>27.208100000000002</v>
      </c>
    </row>
    <row r="141" spans="10:147" x14ac:dyDescent="0.35">
      <c r="J141" t="s">
        <v>528</v>
      </c>
      <c r="K141">
        <v>2.58</v>
      </c>
      <c r="M141">
        <v>8</v>
      </c>
      <c r="T141" t="s">
        <v>709</v>
      </c>
      <c r="U141">
        <v>-75.33</v>
      </c>
      <c r="V141">
        <v>8</v>
      </c>
      <c r="DO141" t="s">
        <v>936</v>
      </c>
      <c r="DP141">
        <v>23</v>
      </c>
      <c r="DQ141">
        <v>201.5</v>
      </c>
      <c r="DR141">
        <v>25</v>
      </c>
      <c r="DS141">
        <v>412.9</v>
      </c>
      <c r="DV141" t="s">
        <v>912</v>
      </c>
      <c r="DW141">
        <v>-66.89</v>
      </c>
      <c r="DX141">
        <v>23</v>
      </c>
      <c r="DZ141" t="s">
        <v>367</v>
      </c>
      <c r="EA141">
        <v>24</v>
      </c>
      <c r="EB141">
        <v>-61.24</v>
      </c>
      <c r="EI141" t="s">
        <v>375</v>
      </c>
      <c r="EJ141">
        <v>-55.677</v>
      </c>
      <c r="EK141">
        <v>24</v>
      </c>
      <c r="EM141" t="s">
        <v>375</v>
      </c>
      <c r="EN141">
        <v>-67.53</v>
      </c>
      <c r="EP141" t="s">
        <v>375</v>
      </c>
      <c r="EQ141">
        <f t="shared" si="27"/>
        <v>11.853000000000002</v>
      </c>
    </row>
    <row r="142" spans="10:147" x14ac:dyDescent="0.35">
      <c r="J142" t="s">
        <v>532</v>
      </c>
      <c r="K142">
        <v>1.74</v>
      </c>
      <c r="M142">
        <v>8</v>
      </c>
      <c r="T142" t="s">
        <v>710</v>
      </c>
      <c r="U142">
        <v>-60.13</v>
      </c>
      <c r="V142">
        <v>8</v>
      </c>
      <c r="DO142" t="s">
        <v>912</v>
      </c>
      <c r="DP142">
        <v>23</v>
      </c>
      <c r="DQ142">
        <v>219.2</v>
      </c>
      <c r="DR142">
        <v>25</v>
      </c>
      <c r="DS142">
        <v>243.47</v>
      </c>
      <c r="DV142" t="s">
        <v>933</v>
      </c>
      <c r="DW142">
        <v>-52</v>
      </c>
      <c r="DX142">
        <v>23</v>
      </c>
      <c r="DZ142" t="s">
        <v>371</v>
      </c>
      <c r="EA142">
        <v>24</v>
      </c>
      <c r="EB142">
        <v>-71</v>
      </c>
      <c r="EI142" t="s">
        <v>664</v>
      </c>
      <c r="EJ142">
        <v>-50.422600000000003</v>
      </c>
      <c r="EK142">
        <v>25</v>
      </c>
      <c r="EM142" t="s">
        <v>664</v>
      </c>
      <c r="EN142">
        <v>-73.23</v>
      </c>
      <c r="EP142" t="s">
        <v>664</v>
      </c>
      <c r="EQ142">
        <f t="shared" si="27"/>
        <v>22.807400000000001</v>
      </c>
    </row>
    <row r="143" spans="10:147" x14ac:dyDescent="0.35">
      <c r="J143" t="s">
        <v>536</v>
      </c>
      <c r="K143">
        <v>5.18</v>
      </c>
      <c r="M143">
        <v>8</v>
      </c>
      <c r="T143" t="s">
        <v>712</v>
      </c>
      <c r="U143">
        <v>-61.21</v>
      </c>
      <c r="V143">
        <v>8</v>
      </c>
      <c r="DO143" t="s">
        <v>910</v>
      </c>
      <c r="DP143">
        <v>23</v>
      </c>
      <c r="DQ143">
        <v>88</v>
      </c>
      <c r="DR143">
        <v>25</v>
      </c>
      <c r="DS143">
        <v>319.25</v>
      </c>
      <c r="DV143" t="s">
        <v>934</v>
      </c>
      <c r="DW143">
        <v>-57.55</v>
      </c>
      <c r="DX143">
        <v>23</v>
      </c>
      <c r="DZ143" t="s">
        <v>375</v>
      </c>
      <c r="EA143">
        <v>24</v>
      </c>
      <c r="EB143">
        <v>-67.53</v>
      </c>
      <c r="EI143" t="s">
        <v>666</v>
      </c>
      <c r="EJ143">
        <v>-32.290660000000003</v>
      </c>
      <c r="EK143">
        <v>25</v>
      </c>
      <c r="EM143" t="s">
        <v>666</v>
      </c>
      <c r="EN143">
        <v>-57.8</v>
      </c>
      <c r="EP143" t="s">
        <v>666</v>
      </c>
      <c r="EQ143">
        <f t="shared" si="27"/>
        <v>25.509339999999995</v>
      </c>
    </row>
    <row r="144" spans="10:147" x14ac:dyDescent="0.35">
      <c r="J144" t="s">
        <v>540</v>
      </c>
      <c r="K144">
        <v>3.35</v>
      </c>
      <c r="M144">
        <v>7</v>
      </c>
      <c r="T144" t="s">
        <v>713</v>
      </c>
      <c r="U144">
        <v>-67</v>
      </c>
      <c r="V144">
        <v>8</v>
      </c>
      <c r="DO144" t="s">
        <v>943</v>
      </c>
      <c r="DP144">
        <v>23</v>
      </c>
      <c r="DQ144">
        <v>127.8</v>
      </c>
      <c r="DV144" t="s">
        <v>935</v>
      </c>
      <c r="DW144">
        <v>-50.74</v>
      </c>
      <c r="DX144">
        <v>23</v>
      </c>
      <c r="DZ144" t="s">
        <v>664</v>
      </c>
      <c r="EA144">
        <v>25</v>
      </c>
      <c r="EB144">
        <v>-73.23</v>
      </c>
      <c r="EI144" t="s">
        <v>668</v>
      </c>
      <c r="EJ144">
        <v>-39.0518</v>
      </c>
      <c r="EK144">
        <v>25</v>
      </c>
      <c r="EM144" t="s">
        <v>668</v>
      </c>
      <c r="EN144">
        <v>-69.819999999999993</v>
      </c>
      <c r="EP144" t="s">
        <v>668</v>
      </c>
      <c r="EQ144">
        <f t="shared" si="27"/>
        <v>30.768199999999993</v>
      </c>
    </row>
    <row r="145" spans="10:147" x14ac:dyDescent="0.35">
      <c r="J145" t="s">
        <v>544</v>
      </c>
      <c r="K145">
        <v>1.79</v>
      </c>
      <c r="M145">
        <v>7</v>
      </c>
      <c r="T145" t="s">
        <v>714</v>
      </c>
      <c r="U145">
        <v>-53.47</v>
      </c>
      <c r="V145">
        <v>8</v>
      </c>
      <c r="DV145" t="s">
        <v>936</v>
      </c>
      <c r="DW145">
        <v>-58.33</v>
      </c>
      <c r="DX145">
        <v>23</v>
      </c>
      <c r="DZ145" t="s">
        <v>666</v>
      </c>
      <c r="EA145">
        <v>25</v>
      </c>
      <c r="EB145">
        <v>-57.8</v>
      </c>
      <c r="EI145" t="s">
        <v>670</v>
      </c>
      <c r="EJ145">
        <v>-37.734200000000001</v>
      </c>
      <c r="EK145">
        <v>25</v>
      </c>
      <c r="EM145" t="s">
        <v>670</v>
      </c>
      <c r="EN145">
        <v>-54.41</v>
      </c>
      <c r="EP145" t="s">
        <v>670</v>
      </c>
      <c r="EQ145">
        <f t="shared" si="27"/>
        <v>16.675799999999995</v>
      </c>
    </row>
    <row r="146" spans="10:147" x14ac:dyDescent="0.35">
      <c r="J146" t="s">
        <v>548</v>
      </c>
      <c r="K146">
        <v>5.98</v>
      </c>
      <c r="M146">
        <v>8</v>
      </c>
      <c r="T146" t="s">
        <v>715</v>
      </c>
      <c r="U146">
        <v>-59.33</v>
      </c>
      <c r="V146">
        <v>8</v>
      </c>
      <c r="DV146" t="s">
        <v>937</v>
      </c>
      <c r="DW146">
        <v>-55</v>
      </c>
      <c r="DX146">
        <v>23</v>
      </c>
      <c r="DZ146" t="s">
        <v>668</v>
      </c>
      <c r="EA146">
        <v>25</v>
      </c>
      <c r="EB146">
        <v>-69.819999999999993</v>
      </c>
      <c r="EI146" t="s">
        <v>672</v>
      </c>
      <c r="EJ146">
        <v>-39.942100000000003</v>
      </c>
      <c r="EK146">
        <v>25</v>
      </c>
      <c r="EM146" t="s">
        <v>672</v>
      </c>
      <c r="EN146">
        <v>-67.78</v>
      </c>
      <c r="EP146" t="s">
        <v>672</v>
      </c>
      <c r="EQ146">
        <f t="shared" si="27"/>
        <v>27.837899999999998</v>
      </c>
    </row>
    <row r="147" spans="10:147" x14ac:dyDescent="0.35">
      <c r="J147" t="s">
        <v>552</v>
      </c>
      <c r="K147">
        <v>2.4700000000000002</v>
      </c>
      <c r="M147">
        <v>8</v>
      </c>
      <c r="T147" t="s">
        <v>716</v>
      </c>
      <c r="U147">
        <v>-62.12</v>
      </c>
      <c r="V147">
        <v>8</v>
      </c>
      <c r="DV147" t="s">
        <v>938</v>
      </c>
      <c r="DW147">
        <v>-55.65</v>
      </c>
      <c r="DX147">
        <v>23</v>
      </c>
      <c r="DZ147" t="s">
        <v>670</v>
      </c>
      <c r="EA147">
        <v>25</v>
      </c>
      <c r="EB147">
        <v>-54.41</v>
      </c>
      <c r="EI147" t="s">
        <v>674</v>
      </c>
      <c r="EJ147">
        <v>-35.789499999999997</v>
      </c>
      <c r="EK147">
        <v>25</v>
      </c>
      <c r="EM147" t="s">
        <v>674</v>
      </c>
      <c r="EN147">
        <v>-55.28</v>
      </c>
      <c r="EP147" t="s">
        <v>674</v>
      </c>
      <c r="EQ147">
        <f t="shared" si="27"/>
        <v>19.490500000000004</v>
      </c>
    </row>
    <row r="148" spans="10:147" x14ac:dyDescent="0.35">
      <c r="J148" t="s">
        <v>556</v>
      </c>
      <c r="K148">
        <v>0.62</v>
      </c>
      <c r="M148">
        <v>8</v>
      </c>
      <c r="T148" t="s">
        <v>717</v>
      </c>
      <c r="U148">
        <v>-71.78</v>
      </c>
      <c r="V148">
        <v>8</v>
      </c>
      <c r="DV148" t="s">
        <v>939</v>
      </c>
      <c r="DW148">
        <v>-59</v>
      </c>
      <c r="DX148">
        <v>23</v>
      </c>
      <c r="DZ148" t="s">
        <v>672</v>
      </c>
      <c r="EA148">
        <v>25</v>
      </c>
      <c r="EB148">
        <v>-67.78</v>
      </c>
    </row>
    <row r="149" spans="10:147" x14ac:dyDescent="0.35">
      <c r="J149" t="s">
        <v>560</v>
      </c>
      <c r="K149">
        <v>6.82</v>
      </c>
      <c r="M149">
        <v>7</v>
      </c>
      <c r="T149" t="s">
        <v>718</v>
      </c>
      <c r="U149">
        <v>-56.54</v>
      </c>
      <c r="V149">
        <v>8</v>
      </c>
      <c r="DV149" t="s">
        <v>940</v>
      </c>
      <c r="DW149">
        <v>-61.23</v>
      </c>
      <c r="DX149">
        <v>23</v>
      </c>
      <c r="DZ149" t="s">
        <v>674</v>
      </c>
      <c r="EA149">
        <v>25</v>
      </c>
      <c r="EB149">
        <v>-55.28</v>
      </c>
    </row>
    <row r="150" spans="10:147" x14ac:dyDescent="0.35">
      <c r="J150" t="s">
        <v>944</v>
      </c>
      <c r="M150">
        <v>7</v>
      </c>
      <c r="T150" t="s">
        <v>719</v>
      </c>
      <c r="U150">
        <v>-65.3</v>
      </c>
      <c r="V150">
        <v>8</v>
      </c>
    </row>
    <row r="151" spans="10:147" x14ac:dyDescent="0.35">
      <c r="J151" t="s">
        <v>945</v>
      </c>
      <c r="M151">
        <v>7</v>
      </c>
      <c r="T151" t="s">
        <v>720</v>
      </c>
      <c r="U151">
        <v>-61.31</v>
      </c>
      <c r="V151">
        <v>8</v>
      </c>
    </row>
    <row r="152" spans="10:147" x14ac:dyDescent="0.35">
      <c r="J152" t="s">
        <v>946</v>
      </c>
      <c r="M152">
        <v>7</v>
      </c>
      <c r="T152" t="s">
        <v>721</v>
      </c>
      <c r="U152">
        <v>-54.73</v>
      </c>
      <c r="V152">
        <v>8</v>
      </c>
    </row>
    <row r="153" spans="10:147" x14ac:dyDescent="0.35">
      <c r="J153" t="s">
        <v>947</v>
      </c>
      <c r="M153">
        <v>7</v>
      </c>
      <c r="T153" t="s">
        <v>722</v>
      </c>
      <c r="U153">
        <v>-67.56</v>
      </c>
      <c r="V153">
        <v>8</v>
      </c>
    </row>
    <row r="154" spans="10:147" x14ac:dyDescent="0.35">
      <c r="J154" t="s">
        <v>564</v>
      </c>
      <c r="K154">
        <v>1.28</v>
      </c>
      <c r="M154">
        <v>7</v>
      </c>
      <c r="T154" t="s">
        <v>723</v>
      </c>
      <c r="U154">
        <v>-63.34</v>
      </c>
      <c r="V154">
        <v>8</v>
      </c>
    </row>
    <row r="155" spans="10:147" x14ac:dyDescent="0.35">
      <c r="J155" t="s">
        <v>568</v>
      </c>
      <c r="K155">
        <v>5.03</v>
      </c>
      <c r="M155">
        <v>7</v>
      </c>
      <c r="T155" t="s">
        <v>724</v>
      </c>
      <c r="U155">
        <v>-60.88</v>
      </c>
      <c r="V155">
        <v>8</v>
      </c>
    </row>
    <row r="156" spans="10:147" x14ac:dyDescent="0.35">
      <c r="J156" t="s">
        <v>572</v>
      </c>
      <c r="K156">
        <v>5.39</v>
      </c>
      <c r="M156">
        <v>8</v>
      </c>
      <c r="T156" t="s">
        <v>725</v>
      </c>
      <c r="U156">
        <v>-59.11</v>
      </c>
      <c r="V156">
        <v>8</v>
      </c>
    </row>
    <row r="157" spans="10:147" x14ac:dyDescent="0.35">
      <c r="T157" t="s">
        <v>726</v>
      </c>
      <c r="U157">
        <v>-58.77</v>
      </c>
      <c r="V157">
        <v>8</v>
      </c>
    </row>
    <row r="158" spans="10:147" x14ac:dyDescent="0.35">
      <c r="T158" t="s">
        <v>727</v>
      </c>
      <c r="U158">
        <v>-60.52</v>
      </c>
      <c r="V158">
        <v>8</v>
      </c>
    </row>
    <row r="159" spans="10:147" x14ac:dyDescent="0.35">
      <c r="T159" t="s">
        <v>728</v>
      </c>
      <c r="U159">
        <v>-55.35</v>
      </c>
      <c r="V159">
        <v>8</v>
      </c>
    </row>
    <row r="160" spans="10:147" x14ac:dyDescent="0.35">
      <c r="T160" t="s">
        <v>729</v>
      </c>
      <c r="U160">
        <v>-62.25</v>
      </c>
      <c r="V160">
        <v>8</v>
      </c>
    </row>
    <row r="161" spans="20:22" x14ac:dyDescent="0.35">
      <c r="T161" t="s">
        <v>730</v>
      </c>
      <c r="U161">
        <v>-59.39</v>
      </c>
      <c r="V161">
        <v>8</v>
      </c>
    </row>
    <row r="162" spans="20:22" x14ac:dyDescent="0.35">
      <c r="T162" t="s">
        <v>731</v>
      </c>
      <c r="U162">
        <v>-57.12</v>
      </c>
      <c r="V162">
        <v>8</v>
      </c>
    </row>
    <row r="163" spans="20:22" x14ac:dyDescent="0.35">
      <c r="T163" t="s">
        <v>732</v>
      </c>
      <c r="U163">
        <v>-62.23</v>
      </c>
      <c r="V163">
        <v>8</v>
      </c>
    </row>
    <row r="164" spans="20:22" x14ac:dyDescent="0.35">
      <c r="T164" t="s">
        <v>733</v>
      </c>
      <c r="U164">
        <v>-58.73</v>
      </c>
      <c r="V164">
        <v>8</v>
      </c>
    </row>
    <row r="165" spans="20:22" x14ac:dyDescent="0.35">
      <c r="T165" t="s">
        <v>734</v>
      </c>
      <c r="U165">
        <v>-58.17</v>
      </c>
      <c r="V165">
        <v>8</v>
      </c>
    </row>
    <row r="166" spans="20:22" x14ac:dyDescent="0.35">
      <c r="T166" t="s">
        <v>735</v>
      </c>
      <c r="U166">
        <v>-64.63</v>
      </c>
      <c r="V166">
        <v>8</v>
      </c>
    </row>
    <row r="167" spans="20:22" x14ac:dyDescent="0.35">
      <c r="T167" t="s">
        <v>736</v>
      </c>
      <c r="U167">
        <v>-59.68</v>
      </c>
      <c r="V167">
        <v>8</v>
      </c>
    </row>
    <row r="168" spans="20:22" x14ac:dyDescent="0.35">
      <c r="T168" t="s">
        <v>737</v>
      </c>
      <c r="U168">
        <v>-56.64</v>
      </c>
      <c r="V168">
        <v>8</v>
      </c>
    </row>
    <row r="169" spans="20:22" x14ac:dyDescent="0.35">
      <c r="T169" t="s">
        <v>738</v>
      </c>
      <c r="U169">
        <v>-59.73</v>
      </c>
      <c r="V169">
        <v>8</v>
      </c>
    </row>
    <row r="170" spans="20:22" x14ac:dyDescent="0.35">
      <c r="T170" t="s">
        <v>739</v>
      </c>
      <c r="U170">
        <v>-67</v>
      </c>
      <c r="V170">
        <v>8</v>
      </c>
    </row>
    <row r="171" spans="20:22" ht="13.15" x14ac:dyDescent="0.4">
      <c r="U171" s="1">
        <f>AVERAGE(U68:U170)</f>
        <v>-57.529805825242732</v>
      </c>
    </row>
  </sheetData>
  <mergeCells count="43">
    <mergeCell ref="GK95:GM95"/>
    <mergeCell ref="GP95:GR95"/>
    <mergeCell ref="ET62:FB62"/>
    <mergeCell ref="IC65:IU65"/>
    <mergeCell ref="ET74:FE74"/>
    <mergeCell ref="ET87:FC87"/>
    <mergeCell ref="A88:C88"/>
    <mergeCell ref="E88:G88"/>
    <mergeCell ref="IC39:JA39"/>
    <mergeCell ref="ET50:FK50"/>
    <mergeCell ref="IC52:IT52"/>
    <mergeCell ref="CW53:CY53"/>
    <mergeCell ref="DB53:DD53"/>
    <mergeCell ref="A36:C36"/>
    <mergeCell ref="E36:G36"/>
    <mergeCell ref="GK38:GM38"/>
    <mergeCell ref="GP38:GR38"/>
    <mergeCell ref="ET39:GH39"/>
    <mergeCell ref="AE17:CS17"/>
    <mergeCell ref="ET27:FZ27"/>
    <mergeCell ref="IC27:IM27"/>
    <mergeCell ref="CW28:CY28"/>
    <mergeCell ref="DB28:DD28"/>
    <mergeCell ref="ET2:FF2"/>
    <mergeCell ref="AE3:CF3"/>
    <mergeCell ref="IC3:IW3"/>
    <mergeCell ref="ET15:FM15"/>
    <mergeCell ref="IC15:IO15"/>
    <mergeCell ref="GK1:GR1"/>
    <mergeCell ref="GT1:HA1"/>
    <mergeCell ref="HC1:HJ1"/>
    <mergeCell ref="HL1:HQ1"/>
    <mergeCell ref="HS1:HZ1"/>
    <mergeCell ref="CW1:DD1"/>
    <mergeCell ref="DF1:DM1"/>
    <mergeCell ref="DO1:DS1"/>
    <mergeCell ref="DV1:EB1"/>
    <mergeCell ref="EE1:EQ1"/>
    <mergeCell ref="A1:H1"/>
    <mergeCell ref="J1:N1"/>
    <mergeCell ref="P1:R1"/>
    <mergeCell ref="T1:V1"/>
    <mergeCell ref="X1:AB1"/>
  </mergeCells>
  <pageMargins left="0.78749999999999998" right="0.78749999999999998" top="1.0249999999999999" bottom="1.0249999999999999" header="0.78749999999999998" footer="0.78749999999999998"/>
  <pageSetup firstPageNumber="0" orientation="portrait" horizontalDpi="1200" verticalDpi="1200" r:id="rId1"/>
  <headerFooter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O932"/>
  <sheetViews>
    <sheetView zoomScale="120" zoomScaleNormal="120" workbookViewId="0">
      <selection sqref="A1:F1"/>
    </sheetView>
  </sheetViews>
  <sheetFormatPr defaultRowHeight="12.75" x14ac:dyDescent="0.35"/>
  <cols>
    <col min="45" max="45" width="16.86328125"/>
    <col min="46" max="46" width="18.59765625"/>
    <col min="47" max="47" width="17.3984375"/>
    <col min="61" max="61" width="12.1328125"/>
  </cols>
  <sheetData>
    <row r="1" spans="1:249" ht="13.15" x14ac:dyDescent="0.4">
      <c r="A1" s="39" t="s">
        <v>16</v>
      </c>
      <c r="B1" s="39"/>
      <c r="C1" s="39"/>
      <c r="D1" s="39"/>
      <c r="E1" s="39"/>
      <c r="F1" s="39"/>
      <c r="AS1" s="8"/>
      <c r="AT1" s="8"/>
      <c r="AV1" s="8"/>
      <c r="AW1" s="8"/>
      <c r="AY1" s="8"/>
      <c r="AZ1" s="8"/>
      <c r="BB1" s="39" t="s">
        <v>1</v>
      </c>
      <c r="BC1" s="39"/>
      <c r="BD1" s="39"/>
      <c r="BE1" s="39"/>
      <c r="BF1" s="39"/>
      <c r="BG1" s="39"/>
      <c r="BH1" s="39"/>
      <c r="BK1" s="40" t="s">
        <v>17</v>
      </c>
      <c r="BL1" s="40"/>
      <c r="BM1" s="40"/>
      <c r="BN1" s="40"/>
      <c r="BO1" s="40"/>
      <c r="BP1" s="40"/>
      <c r="DD1" s="40" t="s">
        <v>9</v>
      </c>
      <c r="DE1" s="40"/>
      <c r="DF1" s="40"/>
      <c r="DG1" s="40"/>
      <c r="DH1" s="40"/>
      <c r="DI1" s="40"/>
      <c r="DJ1" s="40"/>
      <c r="DM1" s="41" t="s">
        <v>18</v>
      </c>
      <c r="DN1" s="41"/>
      <c r="DO1" s="41"/>
      <c r="DP1" s="41"/>
      <c r="DQ1" s="41"/>
      <c r="DR1" s="41"/>
      <c r="FS1" s="41" t="s">
        <v>10</v>
      </c>
      <c r="FT1" s="41"/>
      <c r="FU1" s="41"/>
      <c r="FV1" s="41"/>
      <c r="FW1" s="41"/>
      <c r="FX1" s="41"/>
      <c r="FY1" s="41"/>
      <c r="GB1" s="39" t="s">
        <v>948</v>
      </c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39"/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G1" s="40" t="s">
        <v>949</v>
      </c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Y1" s="41" t="s">
        <v>950</v>
      </c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</row>
    <row r="2" spans="1:249" ht="13.15" x14ac:dyDescent="0.4">
      <c r="B2">
        <v>291121</v>
      </c>
      <c r="C2" s="8">
        <v>712212</v>
      </c>
      <c r="D2" s="8">
        <v>1312212</v>
      </c>
      <c r="E2" s="8">
        <v>201221</v>
      </c>
      <c r="F2" s="8">
        <v>221221</v>
      </c>
      <c r="G2">
        <v>231221</v>
      </c>
      <c r="H2">
        <v>180122</v>
      </c>
      <c r="I2">
        <v>1801222</v>
      </c>
      <c r="J2">
        <v>2501222</v>
      </c>
      <c r="K2">
        <v>2601222</v>
      </c>
      <c r="L2">
        <v>70223</v>
      </c>
      <c r="M2">
        <v>1502232</v>
      </c>
      <c r="N2">
        <v>160223</v>
      </c>
      <c r="O2">
        <v>1602232</v>
      </c>
      <c r="P2">
        <v>170223</v>
      </c>
      <c r="Q2">
        <v>200223</v>
      </c>
      <c r="R2">
        <v>2002232</v>
      </c>
      <c r="S2">
        <v>2102232</v>
      </c>
      <c r="T2">
        <v>220223</v>
      </c>
      <c r="U2">
        <v>120423</v>
      </c>
      <c r="V2">
        <v>1304232</v>
      </c>
      <c r="W2">
        <v>1804232</v>
      </c>
      <c r="X2">
        <v>120623</v>
      </c>
      <c r="Y2">
        <v>50923</v>
      </c>
      <c r="Z2">
        <v>70923</v>
      </c>
      <c r="AA2">
        <v>80923</v>
      </c>
      <c r="AB2">
        <v>110923</v>
      </c>
      <c r="AC2">
        <v>1109232</v>
      </c>
      <c r="AD2">
        <v>140923</v>
      </c>
      <c r="AE2">
        <v>300124</v>
      </c>
      <c r="AF2">
        <v>3001242</v>
      </c>
      <c r="AG2">
        <v>310124</v>
      </c>
      <c r="AH2">
        <v>3101242</v>
      </c>
      <c r="AI2">
        <v>20224</v>
      </c>
      <c r="AJ2">
        <v>202242</v>
      </c>
      <c r="AK2">
        <v>50224</v>
      </c>
      <c r="AL2">
        <v>502242</v>
      </c>
      <c r="AM2">
        <v>60224</v>
      </c>
      <c r="AN2">
        <v>602242</v>
      </c>
      <c r="AO2">
        <v>80224</v>
      </c>
      <c r="AP2">
        <v>802242</v>
      </c>
      <c r="AS2" s="8"/>
      <c r="AT2" s="8"/>
      <c r="AV2" s="8"/>
      <c r="AW2" s="8"/>
      <c r="AY2" s="8"/>
      <c r="AZ2" s="8"/>
      <c r="BD2" t="s">
        <v>15</v>
      </c>
      <c r="BE2" t="s">
        <v>951</v>
      </c>
      <c r="BF2" t="s">
        <v>952</v>
      </c>
      <c r="BL2">
        <v>2507222</v>
      </c>
      <c r="BM2">
        <v>260722</v>
      </c>
      <c r="BN2">
        <v>2607222</v>
      </c>
      <c r="BO2">
        <v>270722</v>
      </c>
      <c r="BP2">
        <v>2707222</v>
      </c>
      <c r="BQ2">
        <v>10822</v>
      </c>
      <c r="BR2">
        <v>20822</v>
      </c>
      <c r="BS2">
        <v>30822</v>
      </c>
      <c r="BT2">
        <v>308222</v>
      </c>
      <c r="BU2">
        <v>90822</v>
      </c>
      <c r="BV2">
        <v>908222</v>
      </c>
      <c r="BW2">
        <v>170822</v>
      </c>
      <c r="BX2">
        <v>190822</v>
      </c>
      <c r="BY2">
        <v>2608222</v>
      </c>
      <c r="BZ2">
        <v>310822</v>
      </c>
      <c r="CA2">
        <v>50723</v>
      </c>
      <c r="CB2">
        <v>507232</v>
      </c>
      <c r="CC2">
        <v>110723</v>
      </c>
      <c r="CD2">
        <v>1107232</v>
      </c>
      <c r="CE2">
        <v>200723</v>
      </c>
      <c r="CF2">
        <v>221223</v>
      </c>
      <c r="CG2">
        <v>120224</v>
      </c>
      <c r="CH2">
        <v>130224</v>
      </c>
      <c r="CI2">
        <v>1302242</v>
      </c>
      <c r="CJ2">
        <v>150224</v>
      </c>
      <c r="CK2">
        <v>190224</v>
      </c>
      <c r="CL2">
        <v>200224</v>
      </c>
      <c r="CM2">
        <v>2002242</v>
      </c>
      <c r="CN2">
        <v>210224</v>
      </c>
      <c r="CO2">
        <v>270224</v>
      </c>
      <c r="CP2">
        <v>280224</v>
      </c>
      <c r="CQ2">
        <v>290224</v>
      </c>
      <c r="CR2">
        <v>140624</v>
      </c>
      <c r="DD2" s="1"/>
      <c r="DF2" t="s">
        <v>15</v>
      </c>
      <c r="DG2" t="s">
        <v>951</v>
      </c>
      <c r="DH2" t="s">
        <v>952</v>
      </c>
      <c r="DN2">
        <v>203222</v>
      </c>
      <c r="DO2">
        <v>80322</v>
      </c>
      <c r="DP2">
        <v>100322</v>
      </c>
      <c r="DQ2">
        <v>140322</v>
      </c>
      <c r="DR2">
        <v>150322</v>
      </c>
      <c r="DS2">
        <v>1503222</v>
      </c>
      <c r="DT2">
        <v>2303222</v>
      </c>
      <c r="DU2">
        <v>240322</v>
      </c>
      <c r="DV2">
        <v>200422</v>
      </c>
      <c r="DW2">
        <v>2004222</v>
      </c>
      <c r="DX2">
        <v>210422</v>
      </c>
      <c r="DY2">
        <v>260422</v>
      </c>
      <c r="DZ2">
        <v>2604222</v>
      </c>
      <c r="EA2">
        <v>280422</v>
      </c>
      <c r="EB2">
        <v>30522</v>
      </c>
      <c r="EC2">
        <v>70622</v>
      </c>
      <c r="ED2">
        <v>40722</v>
      </c>
      <c r="EE2">
        <v>110722</v>
      </c>
      <c r="EF2">
        <v>260523</v>
      </c>
      <c r="EG2">
        <v>10623</v>
      </c>
      <c r="EH2">
        <v>310723</v>
      </c>
      <c r="EI2">
        <v>10823</v>
      </c>
      <c r="EJ2">
        <v>30823</v>
      </c>
      <c r="EK2">
        <v>131223</v>
      </c>
      <c r="EL2">
        <v>141224</v>
      </c>
      <c r="EM2">
        <v>150124</v>
      </c>
      <c r="EN2">
        <v>160124</v>
      </c>
      <c r="EO2">
        <v>1601242</v>
      </c>
      <c r="EP2">
        <v>60324</v>
      </c>
      <c r="EQ2" s="8">
        <v>70324</v>
      </c>
      <c r="ER2">
        <v>130324</v>
      </c>
      <c r="ES2">
        <v>140323</v>
      </c>
      <c r="ET2">
        <v>150324</v>
      </c>
      <c r="EU2">
        <v>190324</v>
      </c>
      <c r="EV2">
        <v>200324</v>
      </c>
      <c r="EW2">
        <v>210324</v>
      </c>
      <c r="EX2">
        <v>250324</v>
      </c>
      <c r="EY2">
        <v>260324</v>
      </c>
      <c r="EZ2">
        <v>270324</v>
      </c>
      <c r="FA2">
        <v>280324</v>
      </c>
      <c r="FB2">
        <v>110624</v>
      </c>
      <c r="FC2">
        <v>1106242</v>
      </c>
      <c r="FD2">
        <v>120624</v>
      </c>
      <c r="FE2">
        <v>1206242</v>
      </c>
      <c r="FF2">
        <v>130624</v>
      </c>
      <c r="FG2">
        <v>1306242</v>
      </c>
      <c r="FS2" t="s">
        <v>15</v>
      </c>
      <c r="FT2" t="s">
        <v>953</v>
      </c>
      <c r="FU2" t="s">
        <v>952</v>
      </c>
      <c r="FW2" t="s">
        <v>954</v>
      </c>
      <c r="FX2" t="s">
        <v>955</v>
      </c>
      <c r="GC2" t="s">
        <v>158</v>
      </c>
      <c r="GD2" t="s">
        <v>168</v>
      </c>
      <c r="GE2" t="s">
        <v>172</v>
      </c>
      <c r="GF2" t="s">
        <v>177</v>
      </c>
      <c r="GG2" t="s">
        <v>181</v>
      </c>
      <c r="GH2" t="s">
        <v>188</v>
      </c>
      <c r="GI2" t="s">
        <v>193</v>
      </c>
      <c r="GJ2" t="s">
        <v>197</v>
      </c>
      <c r="GK2" t="s">
        <v>201</v>
      </c>
      <c r="GL2" s="17" t="s">
        <v>205</v>
      </c>
      <c r="GM2" s="17" t="s">
        <v>208</v>
      </c>
      <c r="GN2" s="17" t="s">
        <v>213</v>
      </c>
      <c r="GO2" s="17" t="s">
        <v>216</v>
      </c>
      <c r="GP2" s="17" t="s">
        <v>219</v>
      </c>
      <c r="GQ2" t="s">
        <v>223</v>
      </c>
      <c r="GR2" s="18" t="s">
        <v>227</v>
      </c>
      <c r="GS2" s="18" t="s">
        <v>232</v>
      </c>
      <c r="GT2" t="s">
        <v>236</v>
      </c>
      <c r="GU2" t="s">
        <v>240</v>
      </c>
      <c r="GV2" t="s">
        <v>246</v>
      </c>
      <c r="GW2" t="s">
        <v>250</v>
      </c>
      <c r="GX2" t="s">
        <v>255</v>
      </c>
      <c r="GY2" t="s">
        <v>258</v>
      </c>
      <c r="GZ2" t="s">
        <v>262</v>
      </c>
      <c r="HA2" t="s">
        <v>265</v>
      </c>
      <c r="HB2" t="s">
        <v>268</v>
      </c>
      <c r="HC2" t="s">
        <v>271</v>
      </c>
      <c r="HD2" t="s">
        <v>273</v>
      </c>
      <c r="HH2" t="s">
        <v>159</v>
      </c>
      <c r="HI2" t="s">
        <v>169</v>
      </c>
      <c r="HJ2" t="s">
        <v>173</v>
      </c>
      <c r="HK2" t="s">
        <v>178</v>
      </c>
      <c r="HL2" t="s">
        <v>182</v>
      </c>
      <c r="HM2" t="s">
        <v>189</v>
      </c>
      <c r="HN2" t="s">
        <v>194</v>
      </c>
      <c r="HO2" t="s">
        <v>198</v>
      </c>
      <c r="HP2" t="s">
        <v>202</v>
      </c>
      <c r="HQ2" t="s">
        <v>206</v>
      </c>
      <c r="HR2" t="s">
        <v>209</v>
      </c>
      <c r="HS2" t="s">
        <v>214</v>
      </c>
      <c r="HT2" t="s">
        <v>217</v>
      </c>
      <c r="HU2" t="s">
        <v>220</v>
      </c>
      <c r="HV2" t="s">
        <v>224</v>
      </c>
      <c r="HZ2" t="s">
        <v>160</v>
      </c>
      <c r="IA2" t="s">
        <v>170</v>
      </c>
      <c r="IB2" t="s">
        <v>174</v>
      </c>
      <c r="IC2" t="s">
        <v>179</v>
      </c>
      <c r="ID2" t="s">
        <v>183</v>
      </c>
      <c r="IE2" t="s">
        <v>190</v>
      </c>
      <c r="IF2" t="s">
        <v>195</v>
      </c>
      <c r="IG2" t="s">
        <v>199</v>
      </c>
      <c r="IH2" t="s">
        <v>203</v>
      </c>
      <c r="II2" t="s">
        <v>207</v>
      </c>
      <c r="IJ2" t="s">
        <v>210</v>
      </c>
      <c r="IK2" t="s">
        <v>215</v>
      </c>
      <c r="IL2" t="s">
        <v>218</v>
      </c>
      <c r="IM2" t="s">
        <v>221</v>
      </c>
      <c r="IN2" t="s">
        <v>225</v>
      </c>
      <c r="IO2" t="s">
        <v>229</v>
      </c>
    </row>
    <row r="3" spans="1:249" x14ac:dyDescent="0.35">
      <c r="B3" t="s">
        <v>956</v>
      </c>
      <c r="C3" s="8" t="s">
        <v>956</v>
      </c>
      <c r="D3" s="8" t="s">
        <v>956</v>
      </c>
      <c r="E3" s="8" t="s">
        <v>956</v>
      </c>
      <c r="F3" s="8" t="s">
        <v>956</v>
      </c>
      <c r="G3" t="s">
        <v>956</v>
      </c>
      <c r="H3" t="s">
        <v>956</v>
      </c>
      <c r="I3" t="s">
        <v>956</v>
      </c>
      <c r="J3" t="s">
        <v>956</v>
      </c>
      <c r="K3" t="s">
        <v>956</v>
      </c>
      <c r="L3" t="s">
        <v>956</v>
      </c>
      <c r="M3" t="s">
        <v>956</v>
      </c>
      <c r="N3" t="s">
        <v>956</v>
      </c>
      <c r="O3" t="s">
        <v>956</v>
      </c>
      <c r="P3" t="s">
        <v>956</v>
      </c>
      <c r="Q3" t="s">
        <v>956</v>
      </c>
      <c r="R3" t="s">
        <v>956</v>
      </c>
      <c r="S3" t="s">
        <v>956</v>
      </c>
      <c r="T3" t="s">
        <v>956</v>
      </c>
      <c r="U3" t="s">
        <v>956</v>
      </c>
      <c r="V3" t="s">
        <v>956</v>
      </c>
      <c r="W3" t="s">
        <v>956</v>
      </c>
      <c r="X3" t="s">
        <v>956</v>
      </c>
      <c r="Y3" t="s">
        <v>956</v>
      </c>
      <c r="Z3" t="s">
        <v>956</v>
      </c>
      <c r="AA3" t="s">
        <v>956</v>
      </c>
      <c r="AB3" t="s">
        <v>956</v>
      </c>
      <c r="AC3" t="s">
        <v>956</v>
      </c>
      <c r="AD3" t="s">
        <v>956</v>
      </c>
      <c r="AE3" t="s">
        <v>956</v>
      </c>
      <c r="AF3" t="s">
        <v>956</v>
      </c>
      <c r="AG3" t="s">
        <v>956</v>
      </c>
      <c r="AH3" t="s">
        <v>956</v>
      </c>
      <c r="AI3" t="s">
        <v>956</v>
      </c>
      <c r="AJ3" t="s">
        <v>956</v>
      </c>
      <c r="AK3" t="s">
        <v>956</v>
      </c>
      <c r="AL3" t="s">
        <v>956</v>
      </c>
      <c r="AM3" t="s">
        <v>956</v>
      </c>
      <c r="AN3" t="s">
        <v>956</v>
      </c>
      <c r="AO3" t="s">
        <v>956</v>
      </c>
      <c r="AP3" t="s">
        <v>956</v>
      </c>
      <c r="AS3" s="8"/>
      <c r="AT3" s="8"/>
      <c r="AV3" s="8"/>
      <c r="AW3" s="8"/>
      <c r="AY3" s="8"/>
      <c r="AZ3" s="8"/>
      <c r="BD3" t="s">
        <v>23</v>
      </c>
      <c r="BE3">
        <v>146.99600000000001</v>
      </c>
      <c r="BF3">
        <v>2.33</v>
      </c>
      <c r="BL3" t="s">
        <v>956</v>
      </c>
      <c r="BM3" s="8" t="s">
        <v>956</v>
      </c>
      <c r="BN3" s="8" t="s">
        <v>956</v>
      </c>
      <c r="BO3" s="8" t="s">
        <v>956</v>
      </c>
      <c r="BP3" s="8" t="s">
        <v>956</v>
      </c>
      <c r="BQ3" t="s">
        <v>956</v>
      </c>
      <c r="BR3" t="s">
        <v>956</v>
      </c>
      <c r="BS3" t="s">
        <v>956</v>
      </c>
      <c r="BT3" t="s">
        <v>956</v>
      </c>
      <c r="BU3" t="s">
        <v>956</v>
      </c>
      <c r="BV3" t="s">
        <v>956</v>
      </c>
      <c r="BW3" t="s">
        <v>956</v>
      </c>
      <c r="BX3" t="s">
        <v>956</v>
      </c>
      <c r="BY3" t="s">
        <v>956</v>
      </c>
      <c r="BZ3" t="s">
        <v>956</v>
      </c>
      <c r="CA3" t="s">
        <v>956</v>
      </c>
      <c r="CB3" t="s">
        <v>956</v>
      </c>
      <c r="CC3" t="s">
        <v>956</v>
      </c>
      <c r="CD3" t="s">
        <v>956</v>
      </c>
      <c r="CE3" t="s">
        <v>956</v>
      </c>
      <c r="CF3" t="s">
        <v>956</v>
      </c>
      <c r="CG3" t="s">
        <v>956</v>
      </c>
      <c r="CH3" t="s">
        <v>956</v>
      </c>
      <c r="CI3" t="s">
        <v>956</v>
      </c>
      <c r="CJ3" t="s">
        <v>956</v>
      </c>
      <c r="CK3" t="s">
        <v>956</v>
      </c>
      <c r="CL3" t="s">
        <v>956</v>
      </c>
      <c r="CM3" t="s">
        <v>956</v>
      </c>
      <c r="CN3" t="s">
        <v>956</v>
      </c>
      <c r="CO3" t="s">
        <v>956</v>
      </c>
      <c r="CP3" t="s">
        <v>956</v>
      </c>
      <c r="CQ3" t="s">
        <v>956</v>
      </c>
      <c r="CR3" t="s">
        <v>956</v>
      </c>
      <c r="DF3" t="s">
        <v>24</v>
      </c>
      <c r="DG3">
        <v>84</v>
      </c>
      <c r="DH3">
        <v>1.58</v>
      </c>
      <c r="DN3" t="s">
        <v>956</v>
      </c>
      <c r="DO3" t="s">
        <v>956</v>
      </c>
      <c r="DP3" t="s">
        <v>956</v>
      </c>
      <c r="DQ3" t="s">
        <v>956</v>
      </c>
      <c r="DR3" t="s">
        <v>956</v>
      </c>
      <c r="DS3" t="s">
        <v>956</v>
      </c>
      <c r="DT3" t="s">
        <v>956</v>
      </c>
      <c r="DU3" t="s">
        <v>956</v>
      </c>
      <c r="DV3" t="s">
        <v>956</v>
      </c>
      <c r="DW3" t="s">
        <v>956</v>
      </c>
      <c r="DX3" t="s">
        <v>956</v>
      </c>
      <c r="DY3" t="s">
        <v>956</v>
      </c>
      <c r="DZ3" t="s">
        <v>956</v>
      </c>
      <c r="EA3" t="s">
        <v>956</v>
      </c>
      <c r="EB3" t="s">
        <v>956</v>
      </c>
      <c r="EC3" t="s">
        <v>956</v>
      </c>
      <c r="ED3" t="s">
        <v>956</v>
      </c>
      <c r="EE3" t="s">
        <v>956</v>
      </c>
      <c r="EF3" t="s">
        <v>956</v>
      </c>
      <c r="EG3" t="s">
        <v>956</v>
      </c>
      <c r="EH3" t="s">
        <v>956</v>
      </c>
      <c r="EI3" t="s">
        <v>956</v>
      </c>
      <c r="EJ3" t="s">
        <v>956</v>
      </c>
      <c r="EK3" t="s">
        <v>956</v>
      </c>
      <c r="EL3" t="s">
        <v>956</v>
      </c>
      <c r="EM3" t="s">
        <v>956</v>
      </c>
      <c r="EN3" t="s">
        <v>956</v>
      </c>
      <c r="EO3" t="s">
        <v>956</v>
      </c>
      <c r="EP3" t="s">
        <v>956</v>
      </c>
      <c r="EQ3" t="s">
        <v>956</v>
      </c>
      <c r="ER3" t="s">
        <v>956</v>
      </c>
      <c r="ES3" t="s">
        <v>956</v>
      </c>
      <c r="ET3" t="s">
        <v>956</v>
      </c>
      <c r="EU3" t="s">
        <v>956</v>
      </c>
      <c r="EV3" t="s">
        <v>956</v>
      </c>
      <c r="EW3" t="s">
        <v>956</v>
      </c>
      <c r="EX3" t="s">
        <v>956</v>
      </c>
      <c r="EY3" t="s">
        <v>956</v>
      </c>
      <c r="EZ3" t="s">
        <v>956</v>
      </c>
      <c r="FA3" t="s">
        <v>956</v>
      </c>
      <c r="FB3" t="s">
        <v>956</v>
      </c>
      <c r="FC3" t="s">
        <v>956</v>
      </c>
      <c r="FD3" t="s">
        <v>956</v>
      </c>
      <c r="FE3" t="s">
        <v>956</v>
      </c>
      <c r="FF3" t="s">
        <v>956</v>
      </c>
      <c r="FG3" t="s">
        <v>956</v>
      </c>
      <c r="FS3" t="s">
        <v>25</v>
      </c>
      <c r="FT3">
        <v>92</v>
      </c>
      <c r="FU3">
        <v>1.71</v>
      </c>
      <c r="FW3">
        <v>0.36702022581030302</v>
      </c>
      <c r="FX3">
        <v>0.64</v>
      </c>
      <c r="GB3" t="s">
        <v>957</v>
      </c>
      <c r="GC3" s="42" t="s">
        <v>958</v>
      </c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G3" t="s">
        <v>957</v>
      </c>
      <c r="HH3" s="42" t="s">
        <v>958</v>
      </c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Y3" t="s">
        <v>957</v>
      </c>
      <c r="HZ3" s="42" t="s">
        <v>958</v>
      </c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</row>
    <row r="4" spans="1:249" x14ac:dyDescent="0.35">
      <c r="A4" t="s">
        <v>959</v>
      </c>
      <c r="B4">
        <v>40.488</v>
      </c>
      <c r="C4" s="8">
        <v>28.088999999999999</v>
      </c>
      <c r="D4" s="8">
        <v>61.372</v>
      </c>
      <c r="E4" s="8"/>
      <c r="F4" s="8">
        <v>36.893000000000001</v>
      </c>
      <c r="I4">
        <v>61.795000000000002</v>
      </c>
      <c r="J4">
        <v>68.114000000000004</v>
      </c>
      <c r="K4">
        <v>43.359000000000002</v>
      </c>
      <c r="M4" s="8">
        <v>58.804000000000002</v>
      </c>
      <c r="N4">
        <v>136.41200000000001</v>
      </c>
      <c r="O4">
        <v>26.965</v>
      </c>
      <c r="P4">
        <v>80.198999999999998</v>
      </c>
      <c r="Q4">
        <v>42.823999999999998</v>
      </c>
      <c r="R4">
        <v>53.433999999999997</v>
      </c>
      <c r="S4">
        <v>138.64500000000001</v>
      </c>
      <c r="U4">
        <v>219.548</v>
      </c>
      <c r="V4">
        <v>52.462000000000003</v>
      </c>
      <c r="W4">
        <v>151.18899999999999</v>
      </c>
      <c r="X4">
        <v>151.809</v>
      </c>
      <c r="Y4">
        <v>184.965</v>
      </c>
      <c r="Z4" s="8">
        <v>267.49299999999999</v>
      </c>
      <c r="AA4">
        <v>239.197</v>
      </c>
      <c r="AB4">
        <v>134.71199999999999</v>
      </c>
      <c r="AC4">
        <v>120.005</v>
      </c>
      <c r="AD4">
        <v>204.27500000000001</v>
      </c>
      <c r="AE4">
        <v>104.669</v>
      </c>
      <c r="AF4">
        <v>238.28399999999999</v>
      </c>
      <c r="AG4">
        <v>61.198</v>
      </c>
      <c r="AI4">
        <v>32.920999999999999</v>
      </c>
      <c r="AJ4">
        <v>34.453000000000003</v>
      </c>
      <c r="AK4">
        <v>43.984000000000002</v>
      </c>
      <c r="AM4">
        <v>59.509</v>
      </c>
      <c r="AN4">
        <v>126.34399999999999</v>
      </c>
      <c r="AO4">
        <v>114.273</v>
      </c>
      <c r="AS4" s="8"/>
      <c r="AT4" s="8"/>
      <c r="AV4" s="8"/>
      <c r="AW4" s="8"/>
      <c r="AY4" s="8"/>
      <c r="AZ4" s="8"/>
      <c r="BD4" t="s">
        <v>33</v>
      </c>
      <c r="BE4">
        <v>33.277000000000001</v>
      </c>
      <c r="BF4">
        <v>3.14</v>
      </c>
      <c r="BK4" t="s">
        <v>959</v>
      </c>
      <c r="BL4">
        <v>157.15299999999999</v>
      </c>
      <c r="BM4">
        <v>88.162000000000006</v>
      </c>
      <c r="BN4">
        <v>186.173</v>
      </c>
      <c r="BO4">
        <v>104.175</v>
      </c>
      <c r="BP4">
        <v>102.43600000000001</v>
      </c>
      <c r="BQ4" s="2">
        <v>147.78899999999999</v>
      </c>
      <c r="BR4">
        <v>174.547</v>
      </c>
      <c r="BS4">
        <v>46.499000000000002</v>
      </c>
      <c r="BT4">
        <v>60.243000000000002</v>
      </c>
      <c r="BW4">
        <v>76.647000000000006</v>
      </c>
      <c r="BX4">
        <v>54.290999999999997</v>
      </c>
      <c r="BY4">
        <v>80.463999999999999</v>
      </c>
      <c r="BZ4">
        <v>153.227</v>
      </c>
      <c r="CA4">
        <v>83.397000000000006</v>
      </c>
      <c r="CB4">
        <v>92.108000000000004</v>
      </c>
      <c r="CC4">
        <v>159.22499999999999</v>
      </c>
      <c r="CD4">
        <v>66.558999999999997</v>
      </c>
      <c r="CE4">
        <v>391.45600000000002</v>
      </c>
      <c r="CF4">
        <v>180.71</v>
      </c>
      <c r="CG4">
        <v>50.436999999999998</v>
      </c>
      <c r="CH4">
        <v>50.743000000000002</v>
      </c>
      <c r="CI4">
        <v>154.41800000000001</v>
      </c>
      <c r="CJ4">
        <v>75.090999999999994</v>
      </c>
      <c r="CL4">
        <v>61.070999999999998</v>
      </c>
      <c r="CM4">
        <v>175.96</v>
      </c>
      <c r="CN4">
        <v>36.359000000000002</v>
      </c>
      <c r="CO4">
        <v>123.88200000000001</v>
      </c>
      <c r="CP4">
        <v>267.101</v>
      </c>
      <c r="CQ4">
        <v>88.210999999999999</v>
      </c>
      <c r="CR4">
        <v>122.20699999999999</v>
      </c>
      <c r="DF4" t="s">
        <v>34</v>
      </c>
      <c r="DG4">
        <v>171</v>
      </c>
      <c r="DH4">
        <v>1.55</v>
      </c>
      <c r="DM4" t="s">
        <v>959</v>
      </c>
      <c r="DN4" s="2">
        <v>91.706000000000003</v>
      </c>
      <c r="DO4">
        <v>70.947999999999993</v>
      </c>
      <c r="DP4">
        <v>82.816999999999993</v>
      </c>
      <c r="DR4">
        <v>118.18600000000001</v>
      </c>
      <c r="DT4">
        <v>16.285</v>
      </c>
      <c r="DV4">
        <v>300.83999999999997</v>
      </c>
      <c r="DW4">
        <v>57.764000000000003</v>
      </c>
      <c r="DX4">
        <v>233.995</v>
      </c>
      <c r="DY4">
        <v>382.65499999999997</v>
      </c>
      <c r="DZ4">
        <v>107.777</v>
      </c>
      <c r="EB4">
        <v>71.688000000000002</v>
      </c>
      <c r="EC4">
        <v>141.928</v>
      </c>
      <c r="ED4">
        <v>55.456000000000003</v>
      </c>
      <c r="EE4">
        <v>62.328000000000003</v>
      </c>
      <c r="EF4">
        <v>117.83199999999999</v>
      </c>
      <c r="EG4">
        <v>219.84700000000001</v>
      </c>
      <c r="EH4">
        <v>80.34</v>
      </c>
      <c r="EI4">
        <v>55.453000000000003</v>
      </c>
      <c r="EJ4">
        <v>50.148000000000003</v>
      </c>
      <c r="EK4">
        <v>53.122999999999998</v>
      </c>
      <c r="EL4">
        <v>205.517</v>
      </c>
      <c r="EM4">
        <v>72.180000000000007</v>
      </c>
      <c r="EN4">
        <v>65.257000000000005</v>
      </c>
      <c r="EO4">
        <v>113.288</v>
      </c>
      <c r="EP4">
        <v>122.426</v>
      </c>
      <c r="ER4">
        <v>93.337000000000003</v>
      </c>
      <c r="ES4">
        <v>62.398000000000003</v>
      </c>
      <c r="ET4">
        <v>397.43900000000002</v>
      </c>
      <c r="EU4">
        <v>135.53800000000001</v>
      </c>
      <c r="EV4">
        <v>27.207000000000001</v>
      </c>
      <c r="EW4">
        <v>437.94</v>
      </c>
      <c r="EX4">
        <v>139.124</v>
      </c>
      <c r="EY4">
        <v>20.51</v>
      </c>
      <c r="EZ4">
        <v>171.90700000000001</v>
      </c>
      <c r="FA4">
        <v>55.398000000000003</v>
      </c>
      <c r="FB4">
        <v>31.646000000000001</v>
      </c>
      <c r="FC4">
        <v>45.05</v>
      </c>
      <c r="FD4">
        <v>45.62</v>
      </c>
      <c r="FE4">
        <v>98.036000000000001</v>
      </c>
      <c r="FF4">
        <v>91.501999999999995</v>
      </c>
      <c r="FG4">
        <v>138.56299999999999</v>
      </c>
      <c r="FS4" t="s">
        <v>35</v>
      </c>
      <c r="FT4">
        <v>92</v>
      </c>
      <c r="FU4">
        <v>1.2</v>
      </c>
      <c r="FW4">
        <v>0.20131026843115599</v>
      </c>
      <c r="FX4">
        <v>0.91300000000000003</v>
      </c>
      <c r="GB4">
        <v>0</v>
      </c>
      <c r="GG4">
        <v>1</v>
      </c>
      <c r="GH4">
        <v>1</v>
      </c>
      <c r="GI4">
        <v>1</v>
      </c>
      <c r="GJ4">
        <v>1</v>
      </c>
      <c r="GS4">
        <v>1</v>
      </c>
      <c r="GV4">
        <v>1</v>
      </c>
      <c r="GW4">
        <v>1</v>
      </c>
      <c r="HD4">
        <v>1</v>
      </c>
      <c r="HG4">
        <v>0</v>
      </c>
      <c r="HH4">
        <v>1</v>
      </c>
      <c r="HP4">
        <v>1</v>
      </c>
      <c r="HQ4">
        <v>1</v>
      </c>
      <c r="HS4">
        <v>1</v>
      </c>
      <c r="HT4">
        <v>1</v>
      </c>
      <c r="HY4">
        <v>0</v>
      </c>
      <c r="IA4">
        <v>1</v>
      </c>
      <c r="IB4">
        <v>1</v>
      </c>
      <c r="IC4">
        <v>1</v>
      </c>
      <c r="IE4">
        <v>1</v>
      </c>
      <c r="IG4">
        <v>1</v>
      </c>
      <c r="IH4">
        <v>1</v>
      </c>
      <c r="II4">
        <v>1</v>
      </c>
      <c r="IK4">
        <v>1</v>
      </c>
      <c r="IM4">
        <v>1</v>
      </c>
    </row>
    <row r="5" spans="1:249" x14ac:dyDescent="0.35">
      <c r="A5" t="s">
        <v>960</v>
      </c>
      <c r="B5">
        <v>90.584000000000003</v>
      </c>
      <c r="C5" s="8">
        <v>73.218999999999994</v>
      </c>
      <c r="D5" s="8">
        <v>89.715000000000003</v>
      </c>
      <c r="E5" s="8"/>
      <c r="F5" s="8">
        <v>84.896000000000001</v>
      </c>
      <c r="I5">
        <v>77.081000000000003</v>
      </c>
      <c r="J5">
        <v>85.555999999999997</v>
      </c>
      <c r="K5">
        <v>80.662999999999997</v>
      </c>
      <c r="M5" s="8">
        <v>93.942999999999998</v>
      </c>
      <c r="N5" s="2">
        <v>59.561</v>
      </c>
      <c r="O5" s="2">
        <v>71.897000000000006</v>
      </c>
      <c r="P5">
        <v>61.134999999999998</v>
      </c>
      <c r="Q5">
        <v>74.036000000000001</v>
      </c>
      <c r="R5">
        <v>62.566000000000003</v>
      </c>
      <c r="T5" s="2">
        <v>61.131999999999998</v>
      </c>
      <c r="U5" s="2">
        <v>33.985999999999997</v>
      </c>
      <c r="V5">
        <v>41.363999999999997</v>
      </c>
      <c r="W5">
        <v>27.536000000000001</v>
      </c>
      <c r="X5">
        <v>97.635000000000005</v>
      </c>
      <c r="Y5">
        <v>59.277999999999999</v>
      </c>
      <c r="Z5" s="8">
        <v>25.709</v>
      </c>
      <c r="AA5">
        <v>53.307000000000002</v>
      </c>
      <c r="AB5">
        <v>43.417999999999999</v>
      </c>
      <c r="AC5">
        <v>70.382000000000005</v>
      </c>
      <c r="AD5">
        <v>72.622</v>
      </c>
      <c r="AE5">
        <v>131.035</v>
      </c>
      <c r="AF5" s="2">
        <v>64.888999999999996</v>
      </c>
      <c r="AG5">
        <v>58.042000000000002</v>
      </c>
      <c r="AI5">
        <v>45.201000000000001</v>
      </c>
      <c r="AJ5">
        <v>62.457000000000001</v>
      </c>
      <c r="AK5">
        <v>37.213000000000001</v>
      </c>
      <c r="AM5">
        <v>116.593</v>
      </c>
      <c r="AN5">
        <v>71.174000000000007</v>
      </c>
      <c r="AO5">
        <v>135.673</v>
      </c>
      <c r="AS5" s="8"/>
      <c r="AT5" s="8"/>
      <c r="AV5" s="8"/>
      <c r="AW5" s="8"/>
      <c r="AY5" s="8"/>
      <c r="AZ5" s="8"/>
      <c r="BD5" t="s">
        <v>36</v>
      </c>
      <c r="BE5">
        <v>52.087000000000003</v>
      </c>
      <c r="BF5">
        <v>1.7</v>
      </c>
      <c r="BK5" t="s">
        <v>960</v>
      </c>
      <c r="BL5">
        <v>37.786000000000001</v>
      </c>
      <c r="BM5">
        <v>22.928999999999998</v>
      </c>
      <c r="BN5">
        <v>58.951000000000001</v>
      </c>
      <c r="BO5">
        <v>44.171999999999997</v>
      </c>
      <c r="BP5">
        <v>81.867000000000004</v>
      </c>
      <c r="BQ5">
        <v>35.289000000000001</v>
      </c>
      <c r="BR5">
        <v>96.781999999999996</v>
      </c>
      <c r="BS5">
        <v>41.414000000000001</v>
      </c>
      <c r="BT5">
        <v>19.899999999999999</v>
      </c>
      <c r="BV5">
        <v>31.731000000000002</v>
      </c>
      <c r="BW5">
        <v>38.709000000000003</v>
      </c>
      <c r="BX5">
        <v>24.437000000000001</v>
      </c>
      <c r="BZ5">
        <v>84.634</v>
      </c>
      <c r="CA5">
        <v>68.271000000000001</v>
      </c>
      <c r="CB5">
        <v>49.670999999999999</v>
      </c>
      <c r="CC5">
        <v>127.98</v>
      </c>
      <c r="CD5">
        <v>101.37</v>
      </c>
      <c r="CE5">
        <v>108.56399999999999</v>
      </c>
      <c r="CF5">
        <v>28.384</v>
      </c>
      <c r="CG5">
        <v>102.087</v>
      </c>
      <c r="CH5">
        <v>80.468999999999994</v>
      </c>
      <c r="CI5">
        <v>45.238999999999997</v>
      </c>
      <c r="CJ5">
        <v>141.97999999999999</v>
      </c>
      <c r="CK5">
        <v>47.170999999999999</v>
      </c>
      <c r="CL5">
        <v>87.131</v>
      </c>
      <c r="CM5">
        <v>253.49199999999999</v>
      </c>
      <c r="CN5">
        <v>91.510999999999996</v>
      </c>
      <c r="CO5">
        <v>137.166</v>
      </c>
      <c r="CP5">
        <v>37.247999999999998</v>
      </c>
      <c r="CQ5">
        <v>27.373999999999999</v>
      </c>
      <c r="CR5">
        <v>32.886000000000003</v>
      </c>
      <c r="DF5" t="s">
        <v>40</v>
      </c>
      <c r="DG5">
        <v>148</v>
      </c>
      <c r="DH5">
        <v>0.92</v>
      </c>
      <c r="DM5" t="s">
        <v>960</v>
      </c>
      <c r="DO5">
        <v>46.423999999999999</v>
      </c>
      <c r="DP5">
        <v>58.905000000000001</v>
      </c>
      <c r="DR5">
        <v>73.465000000000003</v>
      </c>
      <c r="DS5">
        <v>69.308000000000007</v>
      </c>
      <c r="DT5">
        <v>186.06800000000001</v>
      </c>
      <c r="DV5">
        <v>36.630000000000003</v>
      </c>
      <c r="DW5">
        <v>134.58699999999999</v>
      </c>
      <c r="DX5">
        <v>35.857999999999997</v>
      </c>
      <c r="DY5">
        <v>42.573</v>
      </c>
      <c r="DZ5">
        <v>164.71899999999999</v>
      </c>
      <c r="EB5">
        <v>115.148</v>
      </c>
      <c r="EC5">
        <v>62.701000000000001</v>
      </c>
      <c r="ED5">
        <v>99.930999999999997</v>
      </c>
      <c r="EF5">
        <v>118.233</v>
      </c>
      <c r="EH5">
        <v>177.81800000000001</v>
      </c>
      <c r="EI5">
        <v>151.17099999999999</v>
      </c>
      <c r="EJ5">
        <v>80.364000000000004</v>
      </c>
      <c r="EK5">
        <v>89.272000000000006</v>
      </c>
      <c r="EL5">
        <v>255.69900000000001</v>
      </c>
      <c r="EM5">
        <v>222.864</v>
      </c>
      <c r="EN5">
        <v>71.352999999999994</v>
      </c>
      <c r="EO5">
        <v>169.50299999999999</v>
      </c>
      <c r="EP5">
        <v>203.63300000000001</v>
      </c>
      <c r="ER5">
        <v>140.81700000000001</v>
      </c>
      <c r="ES5">
        <v>96.683999999999997</v>
      </c>
      <c r="ET5">
        <v>41.436</v>
      </c>
      <c r="EU5">
        <v>35.908000000000001</v>
      </c>
      <c r="EV5">
        <v>58.192</v>
      </c>
      <c r="EW5">
        <v>56.793999999999997</v>
      </c>
      <c r="EX5">
        <v>22.026</v>
      </c>
      <c r="EY5">
        <v>66.34</v>
      </c>
      <c r="EZ5">
        <v>247.333</v>
      </c>
      <c r="FA5">
        <v>136.286</v>
      </c>
      <c r="FB5">
        <v>64.037999999999997</v>
      </c>
      <c r="FC5">
        <v>78.31</v>
      </c>
      <c r="FD5">
        <v>81.424999999999997</v>
      </c>
      <c r="FE5">
        <v>160.446</v>
      </c>
      <c r="FF5">
        <v>209.32300000000001</v>
      </c>
      <c r="FG5">
        <v>50.134</v>
      </c>
      <c r="FS5" t="s">
        <v>38</v>
      </c>
      <c r="FT5">
        <v>68</v>
      </c>
      <c r="FU5">
        <v>1.02</v>
      </c>
      <c r="FW5">
        <v>0.23513381740598699</v>
      </c>
      <c r="FX5">
        <v>1.18</v>
      </c>
      <c r="GB5">
        <v>5</v>
      </c>
      <c r="GG5">
        <v>2</v>
      </c>
      <c r="GH5">
        <v>2</v>
      </c>
      <c r="GI5">
        <v>2</v>
      </c>
      <c r="GJ5">
        <v>1</v>
      </c>
      <c r="GN5">
        <v>4</v>
      </c>
      <c r="GS5">
        <v>2</v>
      </c>
      <c r="GV5">
        <v>1</v>
      </c>
      <c r="GW5">
        <v>1</v>
      </c>
      <c r="HC5">
        <v>1</v>
      </c>
      <c r="HD5">
        <v>5</v>
      </c>
      <c r="HG5">
        <v>5</v>
      </c>
      <c r="HH5">
        <v>1</v>
      </c>
      <c r="HK5">
        <v>2</v>
      </c>
      <c r="HP5">
        <v>2</v>
      </c>
      <c r="HQ5">
        <v>1</v>
      </c>
      <c r="HS5">
        <v>1</v>
      </c>
      <c r="HT5">
        <v>3</v>
      </c>
      <c r="HY5">
        <v>5</v>
      </c>
      <c r="HZ5">
        <v>2</v>
      </c>
      <c r="IA5">
        <v>1</v>
      </c>
      <c r="IB5">
        <v>1</v>
      </c>
      <c r="IC5">
        <v>1</v>
      </c>
      <c r="IE5">
        <v>1</v>
      </c>
      <c r="IG5">
        <v>1</v>
      </c>
      <c r="IH5">
        <v>2</v>
      </c>
      <c r="II5">
        <v>1</v>
      </c>
      <c r="IK5">
        <v>4</v>
      </c>
      <c r="IM5">
        <v>1</v>
      </c>
    </row>
    <row r="6" spans="1:249" x14ac:dyDescent="0.35">
      <c r="A6" t="s">
        <v>961</v>
      </c>
      <c r="B6">
        <v>72.251999999999995</v>
      </c>
      <c r="C6" s="8">
        <v>80.454999999999998</v>
      </c>
      <c r="D6" s="8">
        <v>113.761</v>
      </c>
      <c r="E6" s="8"/>
      <c r="F6" s="8">
        <v>75.248999999999995</v>
      </c>
      <c r="H6">
        <v>93.991</v>
      </c>
      <c r="I6">
        <v>61.658000000000001</v>
      </c>
      <c r="J6">
        <v>78.616</v>
      </c>
      <c r="K6">
        <v>53.164000000000001</v>
      </c>
      <c r="M6" s="8">
        <v>48.316000000000003</v>
      </c>
      <c r="N6">
        <v>88.983000000000004</v>
      </c>
      <c r="O6" s="8">
        <v>68.88</v>
      </c>
      <c r="P6" s="2">
        <v>19.565999999999999</v>
      </c>
      <c r="Q6">
        <v>58.776000000000003</v>
      </c>
      <c r="R6" s="2">
        <v>68.805999999999997</v>
      </c>
      <c r="S6">
        <v>27.010999999999999</v>
      </c>
      <c r="T6">
        <v>101.366</v>
      </c>
      <c r="U6">
        <v>69.406999999999996</v>
      </c>
      <c r="V6">
        <v>42.929000000000002</v>
      </c>
      <c r="W6">
        <v>68.317999999999998</v>
      </c>
      <c r="X6" s="2">
        <v>64.774000000000001</v>
      </c>
      <c r="Y6">
        <v>57.597999999999999</v>
      </c>
      <c r="Z6" s="8">
        <v>120.08799999999999</v>
      </c>
      <c r="AA6">
        <v>37.968000000000004</v>
      </c>
      <c r="AB6">
        <v>59.103000000000002</v>
      </c>
      <c r="AD6">
        <v>114.191</v>
      </c>
      <c r="AE6">
        <v>228.446</v>
      </c>
      <c r="AF6" s="2">
        <v>99.748000000000005</v>
      </c>
      <c r="AG6">
        <v>160.74</v>
      </c>
      <c r="AI6">
        <v>121.52500000000001</v>
      </c>
      <c r="AJ6">
        <v>118.47499999999999</v>
      </c>
      <c r="AK6">
        <v>101.58</v>
      </c>
      <c r="AM6">
        <v>132.76</v>
      </c>
      <c r="AN6" s="2">
        <v>41.534999999999997</v>
      </c>
      <c r="AO6">
        <v>156.82900000000001</v>
      </c>
      <c r="AS6" s="8"/>
      <c r="AT6" s="8"/>
      <c r="AV6" s="8"/>
      <c r="AW6" s="8"/>
      <c r="AY6" s="8"/>
      <c r="AZ6" s="8"/>
      <c r="BD6" t="s">
        <v>39</v>
      </c>
      <c r="BE6" s="8">
        <v>156.13300000000001</v>
      </c>
      <c r="BF6">
        <v>2.73</v>
      </c>
      <c r="BK6" t="s">
        <v>961</v>
      </c>
      <c r="BL6">
        <v>81.096000000000004</v>
      </c>
      <c r="BM6">
        <v>53.475000000000001</v>
      </c>
      <c r="BN6">
        <v>76.703000000000003</v>
      </c>
      <c r="BO6">
        <v>73.727000000000004</v>
      </c>
      <c r="BP6">
        <v>81.236999999999995</v>
      </c>
      <c r="BR6">
        <v>35.82</v>
      </c>
      <c r="BS6">
        <v>15.416</v>
      </c>
      <c r="BT6">
        <v>31.545000000000002</v>
      </c>
      <c r="BV6">
        <v>47.194000000000003</v>
      </c>
      <c r="BW6">
        <v>28.367000000000001</v>
      </c>
      <c r="BX6">
        <v>20.763000000000002</v>
      </c>
      <c r="BZ6">
        <v>42.48</v>
      </c>
      <c r="CB6">
        <v>40.844999999999999</v>
      </c>
      <c r="CC6">
        <v>90.528000000000006</v>
      </c>
      <c r="CD6">
        <v>165.58199999999999</v>
      </c>
      <c r="CE6">
        <v>166.14500000000001</v>
      </c>
      <c r="CF6">
        <v>114.26900000000001</v>
      </c>
      <c r="CG6">
        <v>101.80200000000001</v>
      </c>
      <c r="CH6">
        <v>145.16499999999999</v>
      </c>
      <c r="CJ6">
        <v>157.49799999999999</v>
      </c>
      <c r="CK6">
        <v>62.72</v>
      </c>
      <c r="CL6">
        <v>147.47800000000001</v>
      </c>
      <c r="CM6">
        <v>263.13900000000001</v>
      </c>
      <c r="CN6">
        <v>145.89099999999999</v>
      </c>
      <c r="CO6">
        <v>172.483</v>
      </c>
      <c r="CP6">
        <v>46.802999999999997</v>
      </c>
      <c r="CQ6">
        <v>56.73</v>
      </c>
      <c r="CR6">
        <v>65.462000000000003</v>
      </c>
      <c r="DF6" t="s">
        <v>43</v>
      </c>
      <c r="DG6">
        <v>96</v>
      </c>
      <c r="DH6">
        <v>2.19</v>
      </c>
      <c r="DM6" t="s">
        <v>961</v>
      </c>
      <c r="DN6" s="2">
        <v>67.741</v>
      </c>
      <c r="DO6">
        <v>60.722000000000001</v>
      </c>
      <c r="DP6">
        <v>57.91</v>
      </c>
      <c r="DR6">
        <v>59.649000000000001</v>
      </c>
      <c r="DT6">
        <v>203.798</v>
      </c>
      <c r="DV6">
        <v>52.43</v>
      </c>
      <c r="DW6">
        <v>108.16500000000001</v>
      </c>
      <c r="DY6">
        <v>97.66</v>
      </c>
      <c r="DZ6">
        <v>253.423</v>
      </c>
      <c r="EA6">
        <v>132.79499999999999</v>
      </c>
      <c r="EB6">
        <v>125.792</v>
      </c>
      <c r="EC6">
        <v>62.948999999999998</v>
      </c>
      <c r="ED6">
        <v>137.31</v>
      </c>
      <c r="EE6">
        <v>70.433999999999997</v>
      </c>
      <c r="EF6">
        <v>165.923</v>
      </c>
      <c r="EG6">
        <v>99.174999999999997</v>
      </c>
      <c r="EH6">
        <v>191.19800000000001</v>
      </c>
      <c r="EI6">
        <v>188.76400000000001</v>
      </c>
      <c r="EJ6">
        <v>109.164</v>
      </c>
      <c r="EK6">
        <v>109.82</v>
      </c>
      <c r="EL6">
        <v>269.935</v>
      </c>
      <c r="EM6">
        <v>252.08500000000001</v>
      </c>
      <c r="EN6">
        <v>139.30500000000001</v>
      </c>
      <c r="EO6">
        <v>220.25</v>
      </c>
      <c r="EP6">
        <v>230.68199999999999</v>
      </c>
      <c r="ER6">
        <v>207.28200000000001</v>
      </c>
      <c r="ES6">
        <v>113.807</v>
      </c>
      <c r="ET6">
        <v>79.894000000000005</v>
      </c>
      <c r="EU6">
        <v>116.169</v>
      </c>
      <c r="EV6">
        <v>163.59100000000001</v>
      </c>
      <c r="EW6">
        <v>279.41899999999998</v>
      </c>
      <c r="EX6">
        <v>49.101999999999997</v>
      </c>
      <c r="EY6">
        <v>118.602</v>
      </c>
      <c r="EZ6">
        <v>262.904</v>
      </c>
      <c r="FA6">
        <v>233.73099999999999</v>
      </c>
      <c r="FB6">
        <v>154.934</v>
      </c>
      <c r="FC6">
        <v>97.694999999999993</v>
      </c>
      <c r="FD6">
        <v>143.79300000000001</v>
      </c>
      <c r="FE6">
        <v>209.96</v>
      </c>
      <c r="FF6">
        <v>224.89099999999999</v>
      </c>
      <c r="FG6">
        <v>38.6</v>
      </c>
      <c r="FS6" t="s">
        <v>41</v>
      </c>
      <c r="FT6">
        <v>53</v>
      </c>
      <c r="FU6">
        <v>2.76</v>
      </c>
      <c r="FW6">
        <v>0.29411882352705898</v>
      </c>
      <c r="FX6">
        <v>0.433</v>
      </c>
      <c r="GB6">
        <v>10</v>
      </c>
      <c r="GE6">
        <v>2</v>
      </c>
      <c r="GG6">
        <v>2</v>
      </c>
      <c r="GH6">
        <v>7</v>
      </c>
      <c r="GI6">
        <v>4</v>
      </c>
      <c r="GJ6">
        <v>4</v>
      </c>
      <c r="GN6">
        <v>4</v>
      </c>
      <c r="GR6">
        <v>1</v>
      </c>
      <c r="GS6">
        <v>3</v>
      </c>
      <c r="GT6">
        <v>1</v>
      </c>
      <c r="GU6">
        <v>1</v>
      </c>
      <c r="GV6">
        <v>1</v>
      </c>
      <c r="GW6">
        <v>3</v>
      </c>
      <c r="GZ6">
        <v>1</v>
      </c>
      <c r="HB6">
        <v>1</v>
      </c>
      <c r="HC6">
        <v>2</v>
      </c>
      <c r="HD6">
        <v>5</v>
      </c>
      <c r="HG6">
        <v>10</v>
      </c>
      <c r="HH6">
        <v>4</v>
      </c>
      <c r="HK6">
        <v>2</v>
      </c>
      <c r="HP6">
        <v>2</v>
      </c>
      <c r="HQ6">
        <v>2</v>
      </c>
      <c r="HS6">
        <v>3</v>
      </c>
      <c r="HT6">
        <v>3</v>
      </c>
      <c r="HY6">
        <v>10</v>
      </c>
      <c r="HZ6">
        <v>3</v>
      </c>
      <c r="IA6">
        <v>1</v>
      </c>
      <c r="IB6">
        <v>2</v>
      </c>
      <c r="IC6">
        <v>2</v>
      </c>
      <c r="IE6">
        <v>8</v>
      </c>
      <c r="IG6">
        <v>3</v>
      </c>
      <c r="IH6">
        <v>1</v>
      </c>
      <c r="II6">
        <v>2</v>
      </c>
      <c r="IK6">
        <v>8</v>
      </c>
      <c r="IL6">
        <v>2</v>
      </c>
      <c r="IM6">
        <v>4</v>
      </c>
    </row>
    <row r="7" spans="1:249" x14ac:dyDescent="0.35">
      <c r="A7" t="s">
        <v>962</v>
      </c>
      <c r="B7">
        <v>85.616</v>
      </c>
      <c r="C7" s="8">
        <v>78.081999999999994</v>
      </c>
      <c r="D7" s="8">
        <v>55.317</v>
      </c>
      <c r="E7" s="8"/>
      <c r="F7" s="8">
        <v>62.341000000000001</v>
      </c>
      <c r="H7">
        <v>42.87</v>
      </c>
      <c r="I7">
        <v>110.099</v>
      </c>
      <c r="J7">
        <v>53.734000000000002</v>
      </c>
      <c r="K7">
        <v>75.123999999999995</v>
      </c>
      <c r="M7" s="8">
        <v>22.111999999999998</v>
      </c>
      <c r="N7">
        <v>117.053</v>
      </c>
      <c r="O7" s="8">
        <v>140.54599999999999</v>
      </c>
      <c r="P7">
        <v>43.981999999999999</v>
      </c>
      <c r="Q7">
        <v>98.653999999999996</v>
      </c>
      <c r="T7">
        <v>116.03100000000001</v>
      </c>
      <c r="U7">
        <v>233.626</v>
      </c>
      <c r="X7">
        <v>159.90299999999999</v>
      </c>
      <c r="Y7">
        <v>82.784999999999997</v>
      </c>
      <c r="Z7" s="8">
        <v>81.569999999999993</v>
      </c>
      <c r="AA7">
        <v>64.83</v>
      </c>
      <c r="AB7" s="2">
        <v>78.090999999999994</v>
      </c>
      <c r="AC7" s="2">
        <v>77.512</v>
      </c>
      <c r="AD7">
        <v>111.31399999999999</v>
      </c>
      <c r="AE7">
        <v>268.20299999999997</v>
      </c>
      <c r="AF7">
        <v>69.849000000000004</v>
      </c>
      <c r="AG7">
        <v>227.756</v>
      </c>
      <c r="AI7">
        <v>126.592</v>
      </c>
      <c r="AJ7">
        <v>145.02199999999999</v>
      </c>
      <c r="AK7">
        <v>84.694999999999993</v>
      </c>
      <c r="AM7">
        <v>160.58600000000001</v>
      </c>
      <c r="AN7">
        <v>41.923000000000002</v>
      </c>
      <c r="AO7">
        <v>186.40600000000001</v>
      </c>
      <c r="AS7" s="8"/>
      <c r="AV7" s="8"/>
      <c r="AW7" s="8"/>
      <c r="AY7" s="8"/>
      <c r="AZ7" s="8"/>
      <c r="BD7" t="s">
        <v>42</v>
      </c>
      <c r="BE7" s="8">
        <v>67.373000000000005</v>
      </c>
      <c r="BF7">
        <v>1.31</v>
      </c>
      <c r="BK7" t="s">
        <v>962</v>
      </c>
      <c r="BL7">
        <v>109.925</v>
      </c>
      <c r="BN7">
        <v>100.78</v>
      </c>
      <c r="BO7">
        <v>49.841999999999999</v>
      </c>
      <c r="BP7">
        <v>106.05800000000001</v>
      </c>
      <c r="BQ7">
        <v>98.617000000000004</v>
      </c>
      <c r="BR7">
        <v>43.167000000000002</v>
      </c>
      <c r="BS7">
        <v>51.765999999999998</v>
      </c>
      <c r="BT7">
        <v>41.899000000000001</v>
      </c>
      <c r="BV7">
        <v>74.125</v>
      </c>
      <c r="BW7">
        <v>93.881</v>
      </c>
      <c r="BX7">
        <v>20.015000000000001</v>
      </c>
      <c r="BY7">
        <v>114.471</v>
      </c>
      <c r="BZ7">
        <v>59.914999999999999</v>
      </c>
      <c r="CA7">
        <v>67.236000000000004</v>
      </c>
      <c r="CB7">
        <v>59.58</v>
      </c>
      <c r="CD7">
        <v>214.81800000000001</v>
      </c>
      <c r="CE7">
        <v>138.84100000000001</v>
      </c>
      <c r="CF7">
        <v>45.201000000000001</v>
      </c>
      <c r="CG7">
        <v>150.554</v>
      </c>
      <c r="CH7">
        <v>167.34899999999999</v>
      </c>
      <c r="CI7">
        <v>80.941999999999993</v>
      </c>
      <c r="CJ7">
        <v>190.15</v>
      </c>
      <c r="CK7">
        <v>211.97399999999999</v>
      </c>
      <c r="CL7">
        <v>172.053</v>
      </c>
      <c r="CM7">
        <v>305.589</v>
      </c>
      <c r="CN7">
        <v>210.04900000000001</v>
      </c>
      <c r="CO7">
        <v>236.16800000000001</v>
      </c>
      <c r="CP7">
        <v>91.168000000000006</v>
      </c>
      <c r="CQ7" s="2">
        <v>208.71899999999999</v>
      </c>
      <c r="DF7" t="s">
        <v>871</v>
      </c>
      <c r="DG7">
        <v>13</v>
      </c>
      <c r="DH7">
        <v>1.49</v>
      </c>
      <c r="DM7" t="s">
        <v>962</v>
      </c>
      <c r="DN7">
        <v>51.777999999999999</v>
      </c>
      <c r="DO7">
        <v>38.929000000000002</v>
      </c>
      <c r="DP7">
        <v>82.361999999999995</v>
      </c>
      <c r="DR7">
        <v>39.191000000000003</v>
      </c>
      <c r="DS7">
        <v>275.65100000000001</v>
      </c>
      <c r="DT7">
        <v>282.15699999999998</v>
      </c>
      <c r="DW7">
        <v>77.489000000000004</v>
      </c>
      <c r="DY7">
        <v>216.946</v>
      </c>
      <c r="DZ7">
        <v>263.06099999999998</v>
      </c>
      <c r="EA7">
        <v>148.07499999999999</v>
      </c>
      <c r="EB7">
        <v>247.37700000000001</v>
      </c>
      <c r="EC7">
        <v>78.783000000000001</v>
      </c>
      <c r="ED7">
        <v>50.648000000000003</v>
      </c>
      <c r="EE7">
        <v>116.821</v>
      </c>
      <c r="EF7">
        <v>225.643</v>
      </c>
      <c r="EG7">
        <v>204.279</v>
      </c>
      <c r="EH7">
        <v>250.14099999999999</v>
      </c>
      <c r="EI7">
        <v>245.60900000000001</v>
      </c>
      <c r="EJ7">
        <v>246.27699999999999</v>
      </c>
      <c r="EK7">
        <v>188.405</v>
      </c>
      <c r="EL7">
        <v>326.94499999999999</v>
      </c>
      <c r="EM7">
        <v>295.76900000000001</v>
      </c>
      <c r="EN7">
        <v>143.066</v>
      </c>
      <c r="EO7">
        <v>226.78200000000001</v>
      </c>
      <c r="EP7">
        <v>260.08600000000001</v>
      </c>
      <c r="ER7">
        <v>247.59200000000001</v>
      </c>
      <c r="ES7">
        <v>235.04</v>
      </c>
      <c r="ET7">
        <v>132.35300000000001</v>
      </c>
      <c r="EU7">
        <v>180.53700000000001</v>
      </c>
      <c r="EV7">
        <v>203.06399999999999</v>
      </c>
      <c r="EW7">
        <v>208.73699999999999</v>
      </c>
      <c r="EX7">
        <v>112.58199999999999</v>
      </c>
      <c r="EY7">
        <v>227.70400000000001</v>
      </c>
      <c r="EZ7">
        <v>280.25200000000001</v>
      </c>
      <c r="FA7">
        <v>290.28800000000001</v>
      </c>
      <c r="FB7">
        <v>173.571</v>
      </c>
      <c r="FC7">
        <v>138.74100000000001</v>
      </c>
      <c r="FD7">
        <v>146.149</v>
      </c>
      <c r="FE7">
        <v>241.34299999999999</v>
      </c>
      <c r="FF7">
        <v>272.93099999999998</v>
      </c>
      <c r="FG7">
        <v>84.075000000000003</v>
      </c>
      <c r="FS7" t="s">
        <v>44</v>
      </c>
      <c r="FT7">
        <v>170</v>
      </c>
      <c r="FU7">
        <v>1.99</v>
      </c>
      <c r="FW7">
        <v>0.263722298165041</v>
      </c>
      <c r="FX7">
        <v>0.40799999999999997</v>
      </c>
      <c r="GB7">
        <v>15</v>
      </c>
      <c r="GE7">
        <v>3</v>
      </c>
      <c r="GG7">
        <v>2</v>
      </c>
      <c r="GH7">
        <v>9</v>
      </c>
      <c r="GI7">
        <v>4</v>
      </c>
      <c r="GJ7">
        <v>3</v>
      </c>
      <c r="GN7">
        <v>9</v>
      </c>
      <c r="GQ7">
        <v>4</v>
      </c>
      <c r="GR7">
        <v>4</v>
      </c>
      <c r="GS7">
        <v>6</v>
      </c>
      <c r="GT7">
        <v>3</v>
      </c>
      <c r="GU7">
        <v>2</v>
      </c>
      <c r="GV7">
        <v>1</v>
      </c>
      <c r="GW7">
        <v>3</v>
      </c>
      <c r="GX7">
        <v>1</v>
      </c>
      <c r="GZ7">
        <v>2</v>
      </c>
      <c r="HA7">
        <v>2</v>
      </c>
      <c r="HB7">
        <v>6</v>
      </c>
      <c r="HC7">
        <v>3</v>
      </c>
      <c r="HD7">
        <v>5</v>
      </c>
      <c r="HG7">
        <v>15</v>
      </c>
      <c r="HH7">
        <v>4</v>
      </c>
      <c r="HI7">
        <v>3</v>
      </c>
      <c r="HJ7">
        <v>2</v>
      </c>
      <c r="HK7">
        <v>4</v>
      </c>
      <c r="HL7">
        <v>2</v>
      </c>
      <c r="HM7">
        <v>2</v>
      </c>
      <c r="HN7">
        <v>1</v>
      </c>
      <c r="HO7">
        <v>3</v>
      </c>
      <c r="HP7">
        <v>2</v>
      </c>
      <c r="HQ7">
        <v>4</v>
      </c>
      <c r="HR7">
        <v>3</v>
      </c>
      <c r="HS7">
        <v>6</v>
      </c>
      <c r="HT7">
        <v>3</v>
      </c>
      <c r="HU7">
        <v>2</v>
      </c>
      <c r="HV7">
        <v>4</v>
      </c>
      <c r="HY7">
        <v>15</v>
      </c>
      <c r="HZ7">
        <v>3</v>
      </c>
      <c r="IA7">
        <v>2</v>
      </c>
      <c r="IB7">
        <v>3</v>
      </c>
      <c r="IC7">
        <v>3</v>
      </c>
      <c r="IE7">
        <v>8</v>
      </c>
      <c r="IF7">
        <v>2</v>
      </c>
      <c r="IG7">
        <v>5</v>
      </c>
      <c r="IH7">
        <v>1</v>
      </c>
      <c r="II7">
        <v>4</v>
      </c>
      <c r="IJ7">
        <v>2</v>
      </c>
      <c r="IK7">
        <v>8</v>
      </c>
      <c r="IL7">
        <v>6</v>
      </c>
      <c r="IM7">
        <v>5</v>
      </c>
    </row>
    <row r="8" spans="1:249" x14ac:dyDescent="0.35">
      <c r="A8" t="s">
        <v>963</v>
      </c>
      <c r="B8">
        <v>71.87</v>
      </c>
      <c r="C8" s="8"/>
      <c r="D8" s="8">
        <v>62.786999999999999</v>
      </c>
      <c r="E8" s="8"/>
      <c r="F8" s="8">
        <v>26.484000000000002</v>
      </c>
      <c r="I8">
        <v>292.73200000000003</v>
      </c>
      <c r="J8">
        <v>172.99700000000001</v>
      </c>
      <c r="M8" s="8">
        <v>154.208</v>
      </c>
      <c r="O8" s="8">
        <v>239.18299999999999</v>
      </c>
      <c r="P8">
        <v>207.25</v>
      </c>
      <c r="Q8">
        <v>121.19799999999999</v>
      </c>
      <c r="R8">
        <v>195.417</v>
      </c>
      <c r="S8">
        <v>232.244</v>
      </c>
      <c r="T8">
        <v>170.39599999999999</v>
      </c>
      <c r="U8">
        <v>356.69</v>
      </c>
      <c r="V8">
        <v>111.288</v>
      </c>
      <c r="W8">
        <v>222.643</v>
      </c>
      <c r="X8">
        <v>308.73599999999999</v>
      </c>
      <c r="Y8">
        <v>233.27099999999999</v>
      </c>
      <c r="Z8" s="8">
        <v>306.25200000000001</v>
      </c>
      <c r="AA8">
        <v>212.60499999999999</v>
      </c>
      <c r="AB8">
        <v>211.738</v>
      </c>
      <c r="AC8">
        <v>220.87200000000001</v>
      </c>
      <c r="AD8">
        <v>234.785</v>
      </c>
      <c r="AE8">
        <v>324.14</v>
      </c>
      <c r="AF8">
        <v>278.63200000000001</v>
      </c>
      <c r="AG8">
        <v>322.82100000000003</v>
      </c>
      <c r="AI8">
        <v>165.05</v>
      </c>
      <c r="AJ8">
        <v>167.13499999999999</v>
      </c>
      <c r="AK8">
        <v>198.49799999999999</v>
      </c>
      <c r="AM8">
        <v>194.803</v>
      </c>
      <c r="AN8">
        <v>142.751</v>
      </c>
      <c r="AO8">
        <v>180.33699999999999</v>
      </c>
      <c r="AQ8" s="8"/>
      <c r="AS8" s="8"/>
      <c r="AV8" s="8"/>
      <c r="AW8" s="8"/>
      <c r="AY8" s="8"/>
      <c r="AZ8" s="8"/>
      <c r="BD8" t="s">
        <v>45</v>
      </c>
      <c r="BE8">
        <v>37.549999999999997</v>
      </c>
      <c r="BF8">
        <v>1.29</v>
      </c>
      <c r="BK8" t="s">
        <v>963</v>
      </c>
      <c r="BL8">
        <v>276.72300000000001</v>
      </c>
      <c r="BM8">
        <v>170.55699999999999</v>
      </c>
      <c r="BN8">
        <v>260.714</v>
      </c>
      <c r="BO8">
        <v>154.05000000000001</v>
      </c>
      <c r="BP8">
        <v>178.99700000000001</v>
      </c>
      <c r="BQ8">
        <v>172.03700000000001</v>
      </c>
      <c r="BR8">
        <v>181.68799999999999</v>
      </c>
      <c r="BS8">
        <v>140.13200000000001</v>
      </c>
      <c r="BT8">
        <v>108.47199999999999</v>
      </c>
      <c r="BV8">
        <v>178.08</v>
      </c>
      <c r="BW8">
        <v>199.614</v>
      </c>
      <c r="BY8">
        <v>190.83699999999999</v>
      </c>
      <c r="BZ8">
        <v>201.977</v>
      </c>
      <c r="CA8">
        <v>203.84700000000001</v>
      </c>
      <c r="CB8">
        <v>276.60700000000003</v>
      </c>
      <c r="CC8">
        <v>317.548</v>
      </c>
      <c r="CD8">
        <v>300.51900000000001</v>
      </c>
      <c r="CE8">
        <v>308.57100000000003</v>
      </c>
      <c r="CF8">
        <v>319.10300000000001</v>
      </c>
      <c r="CG8">
        <v>172.79599999999999</v>
      </c>
      <c r="CH8">
        <v>210.06399999999999</v>
      </c>
      <c r="CI8">
        <v>212.20400000000001</v>
      </c>
      <c r="CJ8">
        <v>98.444999999999993</v>
      </c>
      <c r="CK8">
        <v>348.02199999999999</v>
      </c>
      <c r="CL8">
        <v>31.28</v>
      </c>
      <c r="CM8">
        <v>81.188000000000002</v>
      </c>
      <c r="CN8">
        <v>222.23400000000001</v>
      </c>
      <c r="CO8">
        <v>299.17599999999999</v>
      </c>
      <c r="CP8">
        <v>276.73500000000001</v>
      </c>
      <c r="CQ8">
        <v>278.45499999999998</v>
      </c>
      <c r="CR8">
        <v>278.584</v>
      </c>
      <c r="DF8" t="s">
        <v>870</v>
      </c>
      <c r="DG8">
        <v>13</v>
      </c>
      <c r="DH8">
        <v>1.49</v>
      </c>
      <c r="DM8" t="s">
        <v>963</v>
      </c>
      <c r="DN8">
        <v>118.491</v>
      </c>
      <c r="DO8">
        <v>203.73699999999999</v>
      </c>
      <c r="DP8" s="2">
        <v>200.679</v>
      </c>
      <c r="DR8">
        <v>154.88499999999999</v>
      </c>
      <c r="DS8">
        <v>294.11399999999998</v>
      </c>
      <c r="DT8">
        <v>376.88600000000002</v>
      </c>
      <c r="DV8">
        <v>233.52</v>
      </c>
      <c r="DW8">
        <v>202.392</v>
      </c>
      <c r="DX8">
        <v>226.78700000000001</v>
      </c>
      <c r="DY8">
        <v>332.99799999999999</v>
      </c>
      <c r="DZ8">
        <v>317.71499999999997</v>
      </c>
      <c r="EB8">
        <v>267.16000000000003</v>
      </c>
      <c r="EC8">
        <v>172.411</v>
      </c>
      <c r="ED8">
        <v>86.102999999999994</v>
      </c>
      <c r="EE8">
        <v>206.48</v>
      </c>
      <c r="EF8">
        <v>30.513999999999999</v>
      </c>
      <c r="EG8">
        <v>315.43099999999998</v>
      </c>
      <c r="EH8">
        <v>291.05599999999998</v>
      </c>
      <c r="EI8">
        <v>135.755</v>
      </c>
      <c r="EJ8">
        <v>276.41000000000003</v>
      </c>
      <c r="EK8">
        <v>215.83</v>
      </c>
      <c r="EL8">
        <v>371.84899999999999</v>
      </c>
      <c r="EM8">
        <v>314.52199999999999</v>
      </c>
      <c r="EN8">
        <v>181.12700000000001</v>
      </c>
      <c r="EO8">
        <v>73.888000000000005</v>
      </c>
      <c r="EP8">
        <v>82.8</v>
      </c>
      <c r="ER8">
        <v>285.40800000000002</v>
      </c>
      <c r="ES8">
        <v>241.37899999999999</v>
      </c>
      <c r="ET8">
        <v>380.59300000000002</v>
      </c>
      <c r="EU8">
        <v>268.084</v>
      </c>
      <c r="EV8">
        <v>247.52</v>
      </c>
      <c r="EW8">
        <v>394.82</v>
      </c>
      <c r="EX8">
        <v>274.59899999999999</v>
      </c>
      <c r="EY8">
        <v>402.47199999999998</v>
      </c>
      <c r="EZ8">
        <v>354.52699999999999</v>
      </c>
      <c r="FA8">
        <v>342.09899999999999</v>
      </c>
      <c r="FB8">
        <v>196.34299999999999</v>
      </c>
      <c r="FC8">
        <v>171.45099999999999</v>
      </c>
      <c r="FD8">
        <v>249.47900000000001</v>
      </c>
      <c r="FE8">
        <v>248.952</v>
      </c>
      <c r="FF8">
        <v>294.22699999999998</v>
      </c>
      <c r="FG8">
        <v>204.84399999999999</v>
      </c>
      <c r="FS8" t="s">
        <v>53</v>
      </c>
      <c r="FT8">
        <v>165</v>
      </c>
      <c r="FU8">
        <v>1.6</v>
      </c>
      <c r="FW8">
        <v>0.335737165718132</v>
      </c>
      <c r="FX8">
        <v>0.48</v>
      </c>
      <c r="GB8">
        <v>20</v>
      </c>
      <c r="GE8">
        <v>4</v>
      </c>
      <c r="GG8">
        <v>2</v>
      </c>
      <c r="GH8">
        <v>14</v>
      </c>
      <c r="GI8">
        <v>7</v>
      </c>
      <c r="GJ8">
        <v>3</v>
      </c>
      <c r="GK8">
        <v>2</v>
      </c>
      <c r="GN8">
        <v>7</v>
      </c>
      <c r="GO8">
        <v>2</v>
      </c>
      <c r="GQ8">
        <v>5</v>
      </c>
      <c r="GR8">
        <v>5</v>
      </c>
      <c r="GS8">
        <v>6</v>
      </c>
      <c r="GT8">
        <v>11</v>
      </c>
      <c r="GU8">
        <v>3</v>
      </c>
      <c r="GV8">
        <v>1</v>
      </c>
      <c r="GW8">
        <v>5</v>
      </c>
      <c r="GX8">
        <v>4</v>
      </c>
      <c r="GY8">
        <v>3</v>
      </c>
      <c r="GZ8">
        <v>4</v>
      </c>
      <c r="HA8">
        <v>4</v>
      </c>
      <c r="HB8">
        <v>7</v>
      </c>
      <c r="HC8">
        <v>6</v>
      </c>
      <c r="HD8">
        <v>12</v>
      </c>
      <c r="HG8">
        <v>20</v>
      </c>
      <c r="HH8">
        <v>4</v>
      </c>
      <c r="HI8">
        <v>3</v>
      </c>
      <c r="HJ8">
        <v>3</v>
      </c>
      <c r="HK8">
        <v>4</v>
      </c>
      <c r="HL8">
        <v>4</v>
      </c>
      <c r="HM8">
        <v>2</v>
      </c>
      <c r="HN8">
        <v>4</v>
      </c>
      <c r="HO8">
        <v>8</v>
      </c>
      <c r="HP8">
        <v>6</v>
      </c>
      <c r="HQ8">
        <v>4</v>
      </c>
      <c r="HR8">
        <v>4</v>
      </c>
      <c r="HS8">
        <v>7</v>
      </c>
      <c r="HT8">
        <v>3</v>
      </c>
      <c r="HU8">
        <v>4</v>
      </c>
      <c r="HV8">
        <v>4</v>
      </c>
      <c r="HY8">
        <v>20</v>
      </c>
      <c r="HZ8">
        <v>3</v>
      </c>
      <c r="IA8">
        <v>2</v>
      </c>
      <c r="IB8">
        <v>6</v>
      </c>
      <c r="IC8">
        <v>3</v>
      </c>
      <c r="IE8">
        <v>8</v>
      </c>
      <c r="IF8">
        <v>2</v>
      </c>
      <c r="IG8">
        <v>5</v>
      </c>
      <c r="IH8">
        <v>1</v>
      </c>
      <c r="II8">
        <v>7</v>
      </c>
      <c r="IJ8">
        <v>4</v>
      </c>
      <c r="IK8">
        <v>8</v>
      </c>
      <c r="IL8">
        <v>6</v>
      </c>
      <c r="IM8">
        <v>6</v>
      </c>
    </row>
    <row r="9" spans="1:249" x14ac:dyDescent="0.35">
      <c r="A9" t="s">
        <v>964</v>
      </c>
      <c r="B9">
        <v>120.64</v>
      </c>
      <c r="C9" s="8">
        <v>93.906000000000006</v>
      </c>
      <c r="D9" s="8">
        <v>71.361999999999995</v>
      </c>
      <c r="E9" s="8"/>
      <c r="F9" s="8">
        <v>82.090999999999994</v>
      </c>
      <c r="I9">
        <v>219.92699999999999</v>
      </c>
      <c r="J9" s="2">
        <v>108.25</v>
      </c>
      <c r="K9">
        <v>126.155</v>
      </c>
      <c r="M9" s="8">
        <v>122.364</v>
      </c>
      <c r="N9">
        <v>193.392</v>
      </c>
      <c r="O9" s="8">
        <v>142.40199999999999</v>
      </c>
      <c r="P9">
        <v>115.381</v>
      </c>
      <c r="Q9">
        <v>167.30799999999999</v>
      </c>
      <c r="R9">
        <v>130.00700000000001</v>
      </c>
      <c r="S9" s="2">
        <v>145.67599999999999</v>
      </c>
      <c r="T9" s="2">
        <v>161.98500000000001</v>
      </c>
      <c r="U9">
        <v>266.00799999999998</v>
      </c>
      <c r="W9">
        <v>137.91200000000001</v>
      </c>
      <c r="X9">
        <v>204.06100000000001</v>
      </c>
      <c r="Y9" s="2">
        <v>126.717</v>
      </c>
      <c r="Z9" s="8">
        <v>154.178</v>
      </c>
      <c r="AA9">
        <v>95.430999999999997</v>
      </c>
      <c r="AC9" s="8">
        <v>157.90899999999999</v>
      </c>
      <c r="AD9">
        <v>171.99100000000001</v>
      </c>
      <c r="AE9">
        <v>317.67</v>
      </c>
      <c r="AF9">
        <v>126.65600000000001</v>
      </c>
      <c r="AG9">
        <v>36.722000000000001</v>
      </c>
      <c r="AI9">
        <v>208.51300000000001</v>
      </c>
      <c r="AJ9">
        <v>264.08</v>
      </c>
      <c r="AK9">
        <v>174.77500000000001</v>
      </c>
      <c r="AM9">
        <v>208.44300000000001</v>
      </c>
      <c r="AO9">
        <v>248.42400000000001</v>
      </c>
      <c r="AQ9" s="8"/>
      <c r="AZ9" s="8"/>
      <c r="BD9" t="s">
        <v>48</v>
      </c>
      <c r="BE9" s="8">
        <v>136.024</v>
      </c>
      <c r="BF9">
        <v>2.5099999999999998</v>
      </c>
      <c r="BK9" t="s">
        <v>964</v>
      </c>
      <c r="BL9">
        <v>163.36199999999999</v>
      </c>
      <c r="BM9">
        <v>95.736999999999995</v>
      </c>
      <c r="BN9">
        <v>146.15</v>
      </c>
      <c r="BO9">
        <v>114.637</v>
      </c>
      <c r="BR9">
        <v>72.962999999999994</v>
      </c>
      <c r="BS9">
        <v>57.186</v>
      </c>
      <c r="BT9">
        <v>54.49</v>
      </c>
      <c r="BV9">
        <v>105.16800000000001</v>
      </c>
      <c r="BW9" s="2">
        <v>119.60899999999999</v>
      </c>
      <c r="BX9">
        <v>81.36</v>
      </c>
      <c r="BY9" s="2">
        <v>137.24</v>
      </c>
      <c r="BZ9">
        <v>86.762</v>
      </c>
      <c r="CA9" s="2">
        <v>129.785</v>
      </c>
      <c r="CB9">
        <v>186.773</v>
      </c>
      <c r="CC9">
        <v>309.53100000000001</v>
      </c>
      <c r="CD9">
        <v>39.923000000000002</v>
      </c>
      <c r="CE9">
        <v>233.34899999999999</v>
      </c>
      <c r="CF9">
        <v>199.17699999999999</v>
      </c>
      <c r="CG9">
        <v>206.58199999999999</v>
      </c>
      <c r="CH9">
        <v>73.834000000000003</v>
      </c>
      <c r="CI9">
        <v>109.934</v>
      </c>
      <c r="CJ9">
        <v>123.56</v>
      </c>
      <c r="CK9">
        <v>241.07900000000001</v>
      </c>
      <c r="CL9">
        <v>90.751000000000005</v>
      </c>
      <c r="CM9">
        <v>95.998999999999995</v>
      </c>
      <c r="CN9">
        <v>291.16800000000001</v>
      </c>
      <c r="CO9">
        <v>360.62599999999998</v>
      </c>
      <c r="CP9">
        <v>165.738</v>
      </c>
      <c r="CQ9">
        <v>231.58199999999999</v>
      </c>
      <c r="CR9">
        <v>173.31899999999999</v>
      </c>
      <c r="DF9" t="s">
        <v>49</v>
      </c>
      <c r="DG9">
        <v>20</v>
      </c>
      <c r="DH9">
        <v>2.61</v>
      </c>
      <c r="DM9" t="s">
        <v>964</v>
      </c>
      <c r="DO9">
        <v>110.119</v>
      </c>
      <c r="DP9">
        <v>195.292</v>
      </c>
      <c r="DS9">
        <v>251.64</v>
      </c>
      <c r="DW9">
        <v>99.655000000000001</v>
      </c>
      <c r="DX9">
        <v>161.941</v>
      </c>
      <c r="DY9">
        <v>231.40600000000001</v>
      </c>
      <c r="EB9">
        <v>41.142000000000003</v>
      </c>
      <c r="EC9">
        <v>113.22799999999999</v>
      </c>
      <c r="ED9">
        <v>40.159999999999997</v>
      </c>
      <c r="EE9">
        <v>134.964</v>
      </c>
      <c r="EF9">
        <v>63.383000000000003</v>
      </c>
      <c r="EG9">
        <v>265.45499999999998</v>
      </c>
      <c r="EH9">
        <v>331.423</v>
      </c>
      <c r="EI9">
        <v>174.40799999999999</v>
      </c>
      <c r="EJ9">
        <v>317.166</v>
      </c>
      <c r="EK9">
        <v>282.387</v>
      </c>
      <c r="EL9">
        <v>52.594999999999999</v>
      </c>
      <c r="EM9">
        <v>150.26499999999999</v>
      </c>
      <c r="EN9">
        <v>283.60899999999998</v>
      </c>
      <c r="EO9">
        <v>119.791</v>
      </c>
      <c r="EP9">
        <v>112.697</v>
      </c>
      <c r="ER9">
        <v>50.317999999999998</v>
      </c>
      <c r="ES9">
        <v>260.85000000000002</v>
      </c>
      <c r="ET9">
        <v>188.55199999999999</v>
      </c>
      <c r="EU9">
        <v>226.02</v>
      </c>
      <c r="EV9">
        <v>297.06299999999999</v>
      </c>
      <c r="EW9">
        <v>254.07900000000001</v>
      </c>
      <c r="EX9">
        <v>221.93799999999999</v>
      </c>
      <c r="EY9">
        <v>398.84100000000001</v>
      </c>
      <c r="EZ9">
        <v>76.373999999999995</v>
      </c>
      <c r="FA9">
        <v>394.38799999999998</v>
      </c>
      <c r="FB9">
        <v>37.915999999999997</v>
      </c>
      <c r="FC9">
        <v>229.60599999999999</v>
      </c>
      <c r="FD9">
        <v>45.863999999999997</v>
      </c>
      <c r="FE9">
        <v>277.71300000000002</v>
      </c>
      <c r="FF9">
        <v>335.23099999999999</v>
      </c>
      <c r="FG9">
        <v>127.31699999999999</v>
      </c>
      <c r="FS9" t="s">
        <v>965</v>
      </c>
      <c r="FT9">
        <v>193</v>
      </c>
      <c r="FU9">
        <v>2.44</v>
      </c>
      <c r="FW9">
        <v>0.23369660366403</v>
      </c>
      <c r="FX9">
        <v>0.56399999999999995</v>
      </c>
      <c r="GB9">
        <v>25</v>
      </c>
      <c r="GE9">
        <v>6</v>
      </c>
      <c r="GG9">
        <v>2</v>
      </c>
      <c r="GH9">
        <v>17</v>
      </c>
      <c r="GI9">
        <v>10</v>
      </c>
      <c r="GJ9">
        <v>3</v>
      </c>
      <c r="GK9">
        <v>5</v>
      </c>
      <c r="GN9">
        <v>7</v>
      </c>
      <c r="GO9">
        <v>1</v>
      </c>
      <c r="GQ9">
        <v>9</v>
      </c>
      <c r="GR9">
        <v>7</v>
      </c>
      <c r="GS9">
        <v>9</v>
      </c>
      <c r="GT9">
        <v>9</v>
      </c>
      <c r="GU9">
        <v>4</v>
      </c>
      <c r="GV9">
        <v>1</v>
      </c>
      <c r="GW9">
        <v>6</v>
      </c>
      <c r="GX9">
        <v>5</v>
      </c>
      <c r="GY9">
        <v>7</v>
      </c>
      <c r="GZ9">
        <v>5</v>
      </c>
      <c r="HA9">
        <v>6</v>
      </c>
      <c r="HB9">
        <v>7</v>
      </c>
      <c r="HC9">
        <v>9</v>
      </c>
      <c r="HD9">
        <v>16</v>
      </c>
      <c r="HG9">
        <v>25</v>
      </c>
      <c r="HH9">
        <v>6</v>
      </c>
      <c r="HI9">
        <v>4</v>
      </c>
      <c r="HJ9">
        <v>4</v>
      </c>
      <c r="HK9">
        <v>7</v>
      </c>
      <c r="HL9">
        <v>6</v>
      </c>
      <c r="HM9">
        <v>5</v>
      </c>
      <c r="HN9">
        <v>4</v>
      </c>
      <c r="HO9">
        <v>9</v>
      </c>
      <c r="HP9">
        <v>6</v>
      </c>
      <c r="HQ9">
        <v>6</v>
      </c>
      <c r="HR9">
        <v>5</v>
      </c>
      <c r="HS9">
        <v>6</v>
      </c>
      <c r="HT9">
        <v>5</v>
      </c>
      <c r="HU9">
        <v>4</v>
      </c>
      <c r="HV9">
        <v>5</v>
      </c>
      <c r="HY9">
        <v>25</v>
      </c>
      <c r="HZ9">
        <v>6</v>
      </c>
      <c r="IA9">
        <v>3</v>
      </c>
      <c r="IB9">
        <v>6</v>
      </c>
      <c r="IC9">
        <v>5</v>
      </c>
      <c r="ID9">
        <v>3</v>
      </c>
      <c r="IE9">
        <v>9</v>
      </c>
      <c r="IF9">
        <v>2</v>
      </c>
      <c r="IG9">
        <v>7</v>
      </c>
      <c r="IH9">
        <v>1</v>
      </c>
      <c r="II9">
        <v>10</v>
      </c>
      <c r="IJ9">
        <v>6</v>
      </c>
      <c r="IK9">
        <v>9</v>
      </c>
      <c r="IL9">
        <v>6</v>
      </c>
      <c r="IM9">
        <v>9</v>
      </c>
    </row>
    <row r="10" spans="1:249" x14ac:dyDescent="0.35">
      <c r="A10" t="s">
        <v>966</v>
      </c>
      <c r="B10">
        <v>159.70699999999999</v>
      </c>
      <c r="C10" s="8">
        <v>143.446</v>
      </c>
      <c r="D10" s="8"/>
      <c r="E10" s="8"/>
      <c r="F10" s="8">
        <v>91.596999999999994</v>
      </c>
      <c r="H10">
        <v>163.12200000000001</v>
      </c>
      <c r="I10" s="2">
        <v>262.00299999999999</v>
      </c>
      <c r="J10">
        <v>164.90199999999999</v>
      </c>
      <c r="K10">
        <v>179.715</v>
      </c>
      <c r="M10" s="8">
        <v>143.27699999999999</v>
      </c>
      <c r="N10">
        <v>255.67</v>
      </c>
      <c r="O10" s="8">
        <v>214.41200000000001</v>
      </c>
      <c r="P10">
        <v>184.41</v>
      </c>
      <c r="Q10">
        <v>208.83</v>
      </c>
      <c r="R10">
        <v>147.08699999999999</v>
      </c>
      <c r="S10">
        <v>171.18700000000001</v>
      </c>
      <c r="T10">
        <v>202.47300000000001</v>
      </c>
      <c r="V10">
        <v>141.24</v>
      </c>
      <c r="W10">
        <v>176.34899999999999</v>
      </c>
      <c r="X10">
        <v>311.23599999999999</v>
      </c>
      <c r="Y10">
        <v>140.38300000000001</v>
      </c>
      <c r="Z10" s="8">
        <v>211.845</v>
      </c>
      <c r="AA10" s="2">
        <v>149.36600000000001</v>
      </c>
      <c r="AB10">
        <v>217.691</v>
      </c>
      <c r="AD10">
        <v>207.892</v>
      </c>
      <c r="AF10">
        <v>170.48</v>
      </c>
      <c r="AG10">
        <v>123.238</v>
      </c>
      <c r="AI10">
        <v>240.369</v>
      </c>
      <c r="AJ10">
        <v>29.692</v>
      </c>
      <c r="AK10">
        <v>57.396000000000001</v>
      </c>
      <c r="AM10">
        <v>71.539000000000001</v>
      </c>
      <c r="AN10">
        <v>105.34099999999999</v>
      </c>
      <c r="AO10">
        <v>255.035</v>
      </c>
      <c r="AQ10" s="8"/>
      <c r="BD10" t="s">
        <v>51</v>
      </c>
      <c r="BE10" s="8">
        <v>158.352</v>
      </c>
      <c r="BF10">
        <v>1.62</v>
      </c>
      <c r="BK10" t="s">
        <v>966</v>
      </c>
      <c r="BL10">
        <v>244.33600000000001</v>
      </c>
      <c r="BM10">
        <v>145.88999999999999</v>
      </c>
      <c r="BN10">
        <v>159.911</v>
      </c>
      <c r="BO10">
        <v>147.851</v>
      </c>
      <c r="BP10">
        <v>171.69399999999999</v>
      </c>
      <c r="BQ10">
        <v>109.44799999999999</v>
      </c>
      <c r="BR10">
        <v>154.26300000000001</v>
      </c>
      <c r="BS10">
        <v>102.03700000000001</v>
      </c>
      <c r="BT10">
        <v>146.202</v>
      </c>
      <c r="BV10">
        <v>117.93600000000001</v>
      </c>
      <c r="BW10">
        <v>152.75299999999999</v>
      </c>
      <c r="BX10">
        <v>120.36799999999999</v>
      </c>
      <c r="BY10">
        <v>164.095</v>
      </c>
      <c r="BZ10">
        <v>136.40700000000001</v>
      </c>
      <c r="CA10">
        <v>261.00400000000002</v>
      </c>
      <c r="CB10">
        <v>232.839</v>
      </c>
      <c r="CD10">
        <v>98.206999999999994</v>
      </c>
      <c r="CE10">
        <v>244.43100000000001</v>
      </c>
      <c r="CF10">
        <v>251.77699999999999</v>
      </c>
      <c r="CG10">
        <v>50.682000000000002</v>
      </c>
      <c r="CH10">
        <v>132.952</v>
      </c>
      <c r="CI10">
        <v>202.92500000000001</v>
      </c>
      <c r="CJ10">
        <v>137.292</v>
      </c>
      <c r="CK10">
        <v>264.101</v>
      </c>
      <c r="CL10">
        <v>113.00700000000001</v>
      </c>
      <c r="CM10">
        <v>133.62100000000001</v>
      </c>
      <c r="CN10">
        <v>293.27</v>
      </c>
      <c r="CO10">
        <v>35.975999999999999</v>
      </c>
      <c r="CP10">
        <v>188.37</v>
      </c>
      <c r="CQ10">
        <v>300.548</v>
      </c>
      <c r="CR10">
        <v>230.44800000000001</v>
      </c>
      <c r="DF10" t="s">
        <v>52</v>
      </c>
      <c r="DG10">
        <v>120</v>
      </c>
      <c r="DH10" s="9">
        <v>2.86</v>
      </c>
      <c r="DM10" t="s">
        <v>966</v>
      </c>
      <c r="DN10">
        <v>160.58799999999999</v>
      </c>
      <c r="DO10">
        <v>179.489</v>
      </c>
      <c r="DP10">
        <v>143.30600000000001</v>
      </c>
      <c r="DR10">
        <v>135.96700000000001</v>
      </c>
      <c r="DS10">
        <v>270.90800000000002</v>
      </c>
      <c r="DW10">
        <v>137.38900000000001</v>
      </c>
      <c r="DX10">
        <v>197.47300000000001</v>
      </c>
      <c r="DY10">
        <v>250.81299999999999</v>
      </c>
      <c r="EA10">
        <v>307.13600000000002</v>
      </c>
      <c r="EB10">
        <v>55.768999999999998</v>
      </c>
      <c r="EC10">
        <v>171.334</v>
      </c>
      <c r="EE10">
        <v>177.80600000000001</v>
      </c>
      <c r="EF10">
        <v>116.23699999999999</v>
      </c>
      <c r="EG10">
        <v>292.78300000000002</v>
      </c>
      <c r="EH10">
        <v>398.01499999999999</v>
      </c>
      <c r="EI10">
        <v>221.81100000000001</v>
      </c>
      <c r="EJ10">
        <v>360.96600000000001</v>
      </c>
      <c r="EK10">
        <v>307.685</v>
      </c>
      <c r="EL10">
        <v>69.685000000000002</v>
      </c>
      <c r="EM10">
        <v>181.30199999999999</v>
      </c>
      <c r="EN10">
        <v>310.50099999999998</v>
      </c>
      <c r="EO10">
        <v>123.089</v>
      </c>
      <c r="EP10">
        <v>139.59299999999999</v>
      </c>
      <c r="ER10">
        <v>122.982</v>
      </c>
      <c r="ES10">
        <v>35.585999999999999</v>
      </c>
      <c r="ET10">
        <v>245.11799999999999</v>
      </c>
      <c r="EU10">
        <v>284.303</v>
      </c>
      <c r="EV10">
        <v>34.554000000000002</v>
      </c>
      <c r="EW10">
        <v>335.42399999999998</v>
      </c>
      <c r="EX10">
        <v>233.59299999999999</v>
      </c>
      <c r="EY10">
        <v>417.262</v>
      </c>
      <c r="EZ10">
        <v>91.539000000000001</v>
      </c>
      <c r="FA10">
        <v>87.233999999999995</v>
      </c>
      <c r="FB10">
        <v>126.69</v>
      </c>
      <c r="FC10">
        <v>263.43400000000003</v>
      </c>
      <c r="FD10">
        <v>104.464</v>
      </c>
      <c r="FE10">
        <v>66.7</v>
      </c>
      <c r="FF10">
        <v>334.61599999999999</v>
      </c>
      <c r="FG10">
        <v>154.78899999999999</v>
      </c>
      <c r="FS10" t="s">
        <v>58</v>
      </c>
      <c r="FT10">
        <v>148</v>
      </c>
      <c r="FU10">
        <v>3.6</v>
      </c>
      <c r="FW10">
        <v>0.25260732677114001</v>
      </c>
      <c r="FX10">
        <v>1.0900000000000001</v>
      </c>
      <c r="GB10">
        <v>30</v>
      </c>
      <c r="GD10">
        <v>3</v>
      </c>
      <c r="GE10">
        <v>6</v>
      </c>
      <c r="GG10">
        <v>2</v>
      </c>
      <c r="GH10">
        <v>19</v>
      </c>
      <c r="GI10">
        <v>10</v>
      </c>
      <c r="GJ10">
        <v>3</v>
      </c>
      <c r="GK10">
        <v>8</v>
      </c>
      <c r="GN10">
        <v>7</v>
      </c>
      <c r="GO10">
        <v>1</v>
      </c>
      <c r="GQ10">
        <v>11</v>
      </c>
      <c r="GR10">
        <v>10</v>
      </c>
      <c r="GS10">
        <v>8</v>
      </c>
      <c r="GT10">
        <v>9</v>
      </c>
      <c r="GU10">
        <v>5</v>
      </c>
      <c r="GV10">
        <v>1</v>
      </c>
      <c r="GW10">
        <v>6</v>
      </c>
      <c r="GX10">
        <v>14</v>
      </c>
      <c r="GY10">
        <v>5</v>
      </c>
      <c r="GZ10">
        <v>8</v>
      </c>
      <c r="HA10">
        <v>9</v>
      </c>
      <c r="HB10">
        <v>8</v>
      </c>
      <c r="HC10">
        <v>9</v>
      </c>
      <c r="HD10">
        <v>16</v>
      </c>
      <c r="HG10">
        <v>30</v>
      </c>
      <c r="HH10">
        <v>8</v>
      </c>
      <c r="HI10">
        <v>4</v>
      </c>
      <c r="HJ10">
        <v>7</v>
      </c>
      <c r="HK10">
        <v>7</v>
      </c>
      <c r="HL10">
        <v>7</v>
      </c>
      <c r="HM10">
        <v>5</v>
      </c>
      <c r="HN10">
        <v>7</v>
      </c>
      <c r="HO10">
        <v>12</v>
      </c>
      <c r="HP10">
        <v>6</v>
      </c>
      <c r="HQ10">
        <v>6</v>
      </c>
      <c r="HR10">
        <v>6</v>
      </c>
      <c r="HS10">
        <v>8</v>
      </c>
      <c r="HT10">
        <v>5</v>
      </c>
      <c r="HU10">
        <v>4</v>
      </c>
      <c r="HV10">
        <v>10</v>
      </c>
      <c r="HY10">
        <v>30</v>
      </c>
      <c r="HZ10">
        <v>9</v>
      </c>
      <c r="IA10">
        <v>4</v>
      </c>
      <c r="IB10">
        <v>5</v>
      </c>
      <c r="IC10">
        <v>4</v>
      </c>
      <c r="ID10">
        <v>4</v>
      </c>
      <c r="IE10">
        <v>10</v>
      </c>
      <c r="IF10">
        <v>2</v>
      </c>
      <c r="IG10">
        <v>11</v>
      </c>
      <c r="IH10">
        <v>1</v>
      </c>
      <c r="II10">
        <v>13</v>
      </c>
      <c r="IJ10">
        <v>9</v>
      </c>
      <c r="IK10">
        <v>12</v>
      </c>
      <c r="IL10">
        <v>6</v>
      </c>
      <c r="IM10">
        <v>8</v>
      </c>
    </row>
    <row r="11" spans="1:249" ht="13.15" x14ac:dyDescent="0.4">
      <c r="A11" t="s">
        <v>967</v>
      </c>
      <c r="B11">
        <v>78.962000000000003</v>
      </c>
      <c r="C11" s="8">
        <v>84.84</v>
      </c>
      <c r="D11" s="10">
        <v>67.373000000000005</v>
      </c>
      <c r="E11" s="8"/>
      <c r="F11" s="8">
        <v>102.117</v>
      </c>
      <c r="I11">
        <v>105.49299999999999</v>
      </c>
      <c r="J11">
        <v>121.075</v>
      </c>
      <c r="K11">
        <v>110.49</v>
      </c>
      <c r="M11" s="8">
        <v>134.048</v>
      </c>
      <c r="N11">
        <v>190.78299999999999</v>
      </c>
      <c r="O11">
        <v>98.644999999999996</v>
      </c>
      <c r="P11">
        <v>120.93300000000001</v>
      </c>
      <c r="Q11">
        <v>108.892</v>
      </c>
      <c r="R11">
        <v>114.861</v>
      </c>
      <c r="U11">
        <v>194.42699999999999</v>
      </c>
      <c r="V11">
        <v>91.278000000000006</v>
      </c>
      <c r="W11">
        <v>149.97300000000001</v>
      </c>
      <c r="X11">
        <v>212.357</v>
      </c>
      <c r="Y11">
        <v>222.077</v>
      </c>
      <c r="Z11" s="10">
        <v>261.69499999999999</v>
      </c>
      <c r="AA11">
        <v>266.03500000000003</v>
      </c>
      <c r="AB11">
        <v>161.45400000000001</v>
      </c>
      <c r="AC11" s="8">
        <v>151.566</v>
      </c>
      <c r="AD11">
        <v>143.34899999999999</v>
      </c>
      <c r="AE11">
        <v>39.911000000000001</v>
      </c>
      <c r="AF11">
        <v>233.27699999999999</v>
      </c>
      <c r="AG11">
        <v>187.59399999999999</v>
      </c>
      <c r="AI11">
        <v>40.561</v>
      </c>
      <c r="AJ11">
        <v>106.184</v>
      </c>
      <c r="AK11">
        <v>75.754000000000005</v>
      </c>
      <c r="AM11">
        <v>77.277000000000001</v>
      </c>
      <c r="AN11">
        <v>162.07</v>
      </c>
      <c r="AO11">
        <v>22.170999999999999</v>
      </c>
      <c r="BD11" t="s">
        <v>54</v>
      </c>
      <c r="BE11">
        <v>84.046999999999997</v>
      </c>
      <c r="BF11">
        <v>2.61</v>
      </c>
      <c r="BK11" t="s">
        <v>967</v>
      </c>
      <c r="BL11">
        <v>162.06200000000001</v>
      </c>
      <c r="BM11">
        <v>87.847999999999999</v>
      </c>
      <c r="BN11">
        <v>196.27799999999999</v>
      </c>
      <c r="BO11">
        <v>81.396000000000001</v>
      </c>
      <c r="BP11">
        <v>158.53800000000001</v>
      </c>
      <c r="BQ11">
        <v>143.28399999999999</v>
      </c>
      <c r="BR11">
        <v>252.042</v>
      </c>
      <c r="BS11" s="2">
        <v>85.912999999999997</v>
      </c>
      <c r="BT11">
        <v>69.929000000000002</v>
      </c>
      <c r="BW11">
        <v>103.943</v>
      </c>
      <c r="BX11">
        <v>77.686000000000007</v>
      </c>
      <c r="BZ11">
        <v>213.94200000000001</v>
      </c>
      <c r="CA11">
        <v>140.01300000000001</v>
      </c>
      <c r="CB11">
        <v>137.03100000000001</v>
      </c>
      <c r="CC11">
        <v>277.22199999999998</v>
      </c>
      <c r="CD11">
        <v>151.03</v>
      </c>
      <c r="CE11">
        <v>281.39</v>
      </c>
      <c r="CF11">
        <v>193.03700000000001</v>
      </c>
      <c r="CG11">
        <v>58.933999999999997</v>
      </c>
      <c r="CH11">
        <v>148.09</v>
      </c>
      <c r="CI11">
        <v>199.02099999999999</v>
      </c>
      <c r="CJ11">
        <v>28.498999999999999</v>
      </c>
      <c r="CL11">
        <v>66.525000000000006</v>
      </c>
      <c r="CM11">
        <v>14.670999999999999</v>
      </c>
      <c r="CN11">
        <v>74.203999999999994</v>
      </c>
      <c r="CO11">
        <v>74.733000000000004</v>
      </c>
      <c r="CP11">
        <v>238.80099999999999</v>
      </c>
      <c r="CQ11">
        <v>67.149000000000001</v>
      </c>
      <c r="CR11">
        <v>149.06800000000001</v>
      </c>
      <c r="DF11" t="s">
        <v>55</v>
      </c>
      <c r="DG11">
        <v>65</v>
      </c>
      <c r="DH11">
        <v>1.57</v>
      </c>
      <c r="DM11" t="s">
        <v>967</v>
      </c>
      <c r="DO11">
        <v>116.254</v>
      </c>
      <c r="DP11">
        <v>80.834000000000003</v>
      </c>
      <c r="DQ11">
        <v>36.453000000000003</v>
      </c>
      <c r="DR11">
        <v>185.63200000000001</v>
      </c>
      <c r="DT11">
        <v>179.00700000000001</v>
      </c>
      <c r="DV11">
        <v>290.95999999999998</v>
      </c>
      <c r="DW11">
        <v>81.902000000000001</v>
      </c>
      <c r="DX11">
        <v>200.85900000000001</v>
      </c>
      <c r="DY11">
        <v>387.95800000000003</v>
      </c>
      <c r="DZ11">
        <v>56.576999999999998</v>
      </c>
      <c r="EB11">
        <v>175.41399999999999</v>
      </c>
      <c r="EC11">
        <v>191.756</v>
      </c>
      <c r="EF11">
        <v>47.753</v>
      </c>
      <c r="EH11">
        <v>127.453</v>
      </c>
      <c r="EI11">
        <v>38.524000000000001</v>
      </c>
      <c r="EJ11">
        <v>56.399000000000001</v>
      </c>
      <c r="EK11">
        <v>76.697999999999993</v>
      </c>
      <c r="EL11">
        <v>120.122</v>
      </c>
      <c r="EM11">
        <v>225.518</v>
      </c>
      <c r="EN11">
        <v>35.119999999999997</v>
      </c>
      <c r="EO11">
        <v>50.954000000000001</v>
      </c>
      <c r="EP11">
        <v>37.095999999999997</v>
      </c>
      <c r="ER11">
        <v>159.06100000000001</v>
      </c>
      <c r="ES11">
        <v>55.374000000000002</v>
      </c>
      <c r="ET11">
        <v>402.70499999999998</v>
      </c>
      <c r="EU11" s="2">
        <v>166.309</v>
      </c>
      <c r="EV11">
        <v>151.71100000000001</v>
      </c>
      <c r="EW11">
        <v>387.82799999999997</v>
      </c>
      <c r="EX11">
        <v>117.14400000000001</v>
      </c>
      <c r="EY11">
        <v>47.22</v>
      </c>
      <c r="EZ11">
        <v>111.342</v>
      </c>
      <c r="FA11">
        <v>184.51</v>
      </c>
      <c r="FB11">
        <v>146.666</v>
      </c>
      <c r="FC11">
        <v>85.503</v>
      </c>
      <c r="FD11">
        <v>111.55500000000001</v>
      </c>
      <c r="FE11">
        <v>109.52500000000001</v>
      </c>
      <c r="FF11">
        <v>119.218</v>
      </c>
      <c r="FG11">
        <v>148.666</v>
      </c>
      <c r="FS11" t="s">
        <v>361</v>
      </c>
      <c r="FT11">
        <v>88</v>
      </c>
      <c r="FU11" s="8">
        <v>1.53</v>
      </c>
      <c r="FW11">
        <v>0.296442137990655</v>
      </c>
      <c r="FX11" s="1">
        <f>AVERAGE(Supplementary_Fig5!FX3:FX10)</f>
        <v>0.71349999999999991</v>
      </c>
      <c r="GB11">
        <v>35</v>
      </c>
      <c r="GD11">
        <v>6</v>
      </c>
      <c r="GE11">
        <v>6</v>
      </c>
      <c r="GG11">
        <v>2</v>
      </c>
      <c r="GH11">
        <v>20</v>
      </c>
      <c r="GI11">
        <v>14</v>
      </c>
      <c r="GJ11">
        <v>3</v>
      </c>
      <c r="GK11">
        <v>11</v>
      </c>
      <c r="GN11">
        <v>11</v>
      </c>
      <c r="GO11">
        <v>1</v>
      </c>
      <c r="GQ11">
        <v>14</v>
      </c>
      <c r="GR11">
        <v>14</v>
      </c>
      <c r="GS11">
        <v>8</v>
      </c>
      <c r="GT11">
        <v>11</v>
      </c>
      <c r="GU11">
        <v>6</v>
      </c>
      <c r="GV11">
        <v>1</v>
      </c>
      <c r="GW11">
        <v>7</v>
      </c>
      <c r="GX11">
        <v>12</v>
      </c>
      <c r="GY11">
        <v>8</v>
      </c>
      <c r="GZ11">
        <v>10</v>
      </c>
      <c r="HA11">
        <v>10</v>
      </c>
      <c r="HB11">
        <v>10</v>
      </c>
      <c r="HC11">
        <v>10</v>
      </c>
      <c r="HD11">
        <v>17</v>
      </c>
      <c r="HG11">
        <v>35</v>
      </c>
      <c r="HH11">
        <v>9</v>
      </c>
      <c r="HI11">
        <v>6</v>
      </c>
      <c r="HJ11">
        <v>7</v>
      </c>
      <c r="HK11">
        <v>6</v>
      </c>
      <c r="HL11">
        <v>9</v>
      </c>
      <c r="HM11">
        <v>5</v>
      </c>
      <c r="HN11">
        <v>7</v>
      </c>
      <c r="HO11">
        <v>15</v>
      </c>
      <c r="HP11">
        <v>6</v>
      </c>
      <c r="HQ11">
        <v>13</v>
      </c>
      <c r="HR11">
        <v>6</v>
      </c>
      <c r="HS11">
        <v>10</v>
      </c>
      <c r="HT11">
        <v>5</v>
      </c>
      <c r="HU11">
        <v>6</v>
      </c>
      <c r="HV11">
        <v>11</v>
      </c>
      <c r="HY11">
        <v>35</v>
      </c>
      <c r="HZ11">
        <v>12</v>
      </c>
      <c r="IA11">
        <v>4</v>
      </c>
      <c r="IB11">
        <v>7</v>
      </c>
      <c r="IC11">
        <v>6</v>
      </c>
      <c r="ID11">
        <v>8</v>
      </c>
      <c r="IE11">
        <v>12</v>
      </c>
      <c r="IF11">
        <v>6</v>
      </c>
      <c r="IG11">
        <v>21</v>
      </c>
      <c r="IH11">
        <v>1</v>
      </c>
      <c r="II11">
        <v>11</v>
      </c>
      <c r="IJ11">
        <v>9</v>
      </c>
      <c r="IK11">
        <v>12</v>
      </c>
      <c r="IL11">
        <v>6</v>
      </c>
      <c r="IM11">
        <v>11</v>
      </c>
    </row>
    <row r="12" spans="1:249" ht="13.15" x14ac:dyDescent="0.4">
      <c r="A12" t="s">
        <v>968</v>
      </c>
      <c r="B12" s="2">
        <v>52.087000000000003</v>
      </c>
      <c r="C12" s="8">
        <v>84.034000000000006</v>
      </c>
      <c r="D12" s="8">
        <v>53.966999999999999</v>
      </c>
      <c r="E12" s="8"/>
      <c r="F12" s="8">
        <v>75.953000000000003</v>
      </c>
      <c r="I12">
        <v>67.757999999999996</v>
      </c>
      <c r="J12">
        <v>82.366</v>
      </c>
      <c r="K12">
        <v>69.686000000000007</v>
      </c>
      <c r="M12">
        <v>66.599000000000004</v>
      </c>
      <c r="N12">
        <v>60.613</v>
      </c>
      <c r="O12">
        <v>88.497</v>
      </c>
      <c r="P12">
        <v>74.882999999999996</v>
      </c>
      <c r="Q12">
        <v>90.332999999999998</v>
      </c>
      <c r="R12">
        <v>113.01900000000001</v>
      </c>
      <c r="S12">
        <v>114.51</v>
      </c>
      <c r="U12">
        <v>149.714</v>
      </c>
      <c r="V12">
        <v>80.087999999999994</v>
      </c>
      <c r="W12">
        <v>103.255</v>
      </c>
      <c r="X12">
        <v>93.820999999999998</v>
      </c>
      <c r="Y12">
        <v>132.374</v>
      </c>
      <c r="Z12" s="8">
        <v>143.60900000000001</v>
      </c>
      <c r="AA12">
        <v>217.08500000000001</v>
      </c>
      <c r="AB12">
        <v>82.724000000000004</v>
      </c>
      <c r="AD12">
        <v>90.543999999999997</v>
      </c>
      <c r="AE12">
        <v>131.85300000000001</v>
      </c>
      <c r="AF12">
        <v>142.66900000000001</v>
      </c>
      <c r="AG12">
        <v>282.26799999999997</v>
      </c>
      <c r="AI12">
        <v>110.709</v>
      </c>
      <c r="AJ12">
        <v>123.724</v>
      </c>
      <c r="AK12">
        <v>100.327</v>
      </c>
      <c r="AM12">
        <v>107.19499999999999</v>
      </c>
      <c r="AN12">
        <v>110.858</v>
      </c>
      <c r="AO12">
        <v>41.411999999999999</v>
      </c>
      <c r="AP12">
        <v>78.087000000000003</v>
      </c>
      <c r="BD12">
        <v>180122</v>
      </c>
      <c r="BE12">
        <v>134.78</v>
      </c>
      <c r="BF12">
        <v>2.83</v>
      </c>
      <c r="BK12" t="s">
        <v>968</v>
      </c>
      <c r="BL12">
        <v>78.194999999999993</v>
      </c>
      <c r="BM12">
        <v>37.610999999999997</v>
      </c>
      <c r="BN12">
        <v>115.51300000000001</v>
      </c>
      <c r="BO12">
        <v>32.636000000000003</v>
      </c>
      <c r="BP12">
        <v>47.210999999999999</v>
      </c>
      <c r="BR12">
        <v>164.88300000000001</v>
      </c>
      <c r="BS12">
        <v>34.960999999999999</v>
      </c>
      <c r="BT12">
        <v>38.164000000000001</v>
      </c>
      <c r="BW12">
        <v>82.394000000000005</v>
      </c>
      <c r="BX12">
        <v>37.482999999999997</v>
      </c>
      <c r="BZ12">
        <v>153.649</v>
      </c>
      <c r="CB12">
        <v>54.71</v>
      </c>
      <c r="CC12">
        <v>76.957999999999998</v>
      </c>
      <c r="CD12">
        <v>235.357</v>
      </c>
      <c r="CE12">
        <v>230.477</v>
      </c>
      <c r="CF12">
        <v>71.89</v>
      </c>
      <c r="CG12">
        <v>105.687</v>
      </c>
      <c r="CH12">
        <v>195.61699999999999</v>
      </c>
      <c r="CJ12">
        <v>50.484000000000002</v>
      </c>
      <c r="CL12">
        <v>83.864999999999995</v>
      </c>
      <c r="CM12">
        <v>52.267000000000003</v>
      </c>
      <c r="CN12">
        <v>131.595</v>
      </c>
      <c r="CO12">
        <v>129.369</v>
      </c>
      <c r="CP12">
        <v>219.61</v>
      </c>
      <c r="CQ12">
        <v>37.674999999999997</v>
      </c>
      <c r="CR12" s="2">
        <v>69.516000000000005</v>
      </c>
      <c r="DF12" t="s">
        <v>57</v>
      </c>
      <c r="DG12">
        <v>137</v>
      </c>
      <c r="DH12">
        <v>1.97</v>
      </c>
      <c r="DM12" t="s">
        <v>968</v>
      </c>
      <c r="DN12">
        <v>159.779</v>
      </c>
      <c r="DO12">
        <v>17.32</v>
      </c>
      <c r="DP12">
        <v>45.819000000000003</v>
      </c>
      <c r="DR12">
        <v>173.50299999999999</v>
      </c>
      <c r="DT12">
        <v>193.31700000000001</v>
      </c>
      <c r="DU12">
        <v>146.72800000000001</v>
      </c>
      <c r="DV12">
        <v>252.09</v>
      </c>
      <c r="DW12">
        <v>55.512999999999998</v>
      </c>
      <c r="DY12">
        <v>303.51799999999997</v>
      </c>
      <c r="DZ12">
        <v>154.47900000000001</v>
      </c>
      <c r="EB12">
        <v>197.41</v>
      </c>
      <c r="EC12">
        <v>81.414000000000001</v>
      </c>
      <c r="EE12">
        <v>41.771999999999998</v>
      </c>
      <c r="EF12">
        <v>108.417</v>
      </c>
      <c r="EG12">
        <v>122.056</v>
      </c>
      <c r="EH12">
        <v>120.479</v>
      </c>
      <c r="EI12">
        <v>96.494</v>
      </c>
      <c r="EJ12">
        <v>69.176000000000002</v>
      </c>
      <c r="EK12">
        <v>129.964</v>
      </c>
      <c r="EL12">
        <v>166.51599999999999</v>
      </c>
      <c r="EM12">
        <v>244.828</v>
      </c>
      <c r="EN12">
        <v>95.635000000000005</v>
      </c>
      <c r="EO12">
        <v>60.561999999999998</v>
      </c>
      <c r="EP12">
        <v>56.9</v>
      </c>
      <c r="ER12">
        <v>199.768</v>
      </c>
      <c r="ES12">
        <v>170.87</v>
      </c>
      <c r="ET12">
        <v>321.685</v>
      </c>
      <c r="EU12">
        <v>22.170999999999999</v>
      </c>
      <c r="EV12">
        <v>185.79300000000001</v>
      </c>
      <c r="EW12">
        <v>161.94300000000001</v>
      </c>
      <c r="EX12">
        <v>94.555000000000007</v>
      </c>
      <c r="EY12">
        <v>100.065</v>
      </c>
      <c r="EZ12">
        <v>182.398</v>
      </c>
      <c r="FA12">
        <v>240.869</v>
      </c>
      <c r="FB12">
        <v>169.51400000000001</v>
      </c>
      <c r="FC12">
        <v>84.753</v>
      </c>
      <c r="FD12">
        <v>210.245</v>
      </c>
      <c r="FE12">
        <v>145.672</v>
      </c>
      <c r="FF12">
        <v>134.84700000000001</v>
      </c>
      <c r="FG12">
        <v>114.596</v>
      </c>
      <c r="FI12" s="1" t="s">
        <v>969</v>
      </c>
      <c r="FJ12" t="s">
        <v>970</v>
      </c>
      <c r="FK12" t="s">
        <v>8</v>
      </c>
      <c r="FL12" t="s">
        <v>971</v>
      </c>
      <c r="FS12" t="s">
        <v>365</v>
      </c>
      <c r="FT12">
        <v>166</v>
      </c>
      <c r="FU12" s="8">
        <v>3.72</v>
      </c>
      <c r="FW12" s="1">
        <f>AVERAGE(Supplementary_Fig5!FW3:FW11)</f>
        <v>0.27553207416483372</v>
      </c>
      <c r="FX12" s="1">
        <f>STDEV(Supplementary_Fig5!FX3:FX10)</f>
        <v>0.30553466018019759</v>
      </c>
      <c r="GB12">
        <v>40</v>
      </c>
      <c r="GD12">
        <v>6</v>
      </c>
      <c r="GE12">
        <v>9</v>
      </c>
      <c r="GG12">
        <v>2</v>
      </c>
      <c r="GH12">
        <v>22</v>
      </c>
      <c r="GI12">
        <v>12</v>
      </c>
      <c r="GJ12">
        <v>3</v>
      </c>
      <c r="GK12">
        <v>13</v>
      </c>
      <c r="GN12">
        <v>9</v>
      </c>
      <c r="GO12">
        <v>1</v>
      </c>
      <c r="GQ12">
        <v>13</v>
      </c>
      <c r="GR12">
        <v>14</v>
      </c>
      <c r="GS12">
        <v>9</v>
      </c>
      <c r="GT12">
        <v>12</v>
      </c>
      <c r="GU12">
        <v>6</v>
      </c>
      <c r="GV12">
        <v>1</v>
      </c>
      <c r="GW12">
        <v>7</v>
      </c>
      <c r="GX12">
        <v>14</v>
      </c>
      <c r="GY12">
        <v>9</v>
      </c>
      <c r="GZ12">
        <v>11</v>
      </c>
      <c r="HA12">
        <v>15</v>
      </c>
      <c r="HB12">
        <v>14</v>
      </c>
      <c r="HC12">
        <v>10</v>
      </c>
      <c r="HD12">
        <v>21</v>
      </c>
      <c r="HG12">
        <v>40</v>
      </c>
      <c r="HH12">
        <v>10</v>
      </c>
      <c r="HI12">
        <v>6</v>
      </c>
      <c r="HJ12">
        <v>10</v>
      </c>
      <c r="HK12">
        <v>8</v>
      </c>
      <c r="HL12">
        <v>10</v>
      </c>
      <c r="HM12">
        <v>7</v>
      </c>
      <c r="HN12">
        <v>8</v>
      </c>
      <c r="HO12">
        <v>16</v>
      </c>
      <c r="HP12">
        <v>6</v>
      </c>
      <c r="HQ12">
        <v>15</v>
      </c>
      <c r="HR12">
        <v>6</v>
      </c>
      <c r="HS12">
        <v>12</v>
      </c>
      <c r="HT12">
        <v>6</v>
      </c>
      <c r="HU12">
        <v>6</v>
      </c>
      <c r="HV12">
        <v>11</v>
      </c>
      <c r="HY12">
        <v>40</v>
      </c>
      <c r="HZ12">
        <v>12</v>
      </c>
      <c r="IA12">
        <v>4</v>
      </c>
      <c r="IB12">
        <v>7</v>
      </c>
      <c r="IC12">
        <v>10</v>
      </c>
      <c r="ID12">
        <v>8</v>
      </c>
      <c r="IE12">
        <v>14</v>
      </c>
      <c r="IF12">
        <v>10</v>
      </c>
      <c r="IG12">
        <v>20</v>
      </c>
      <c r="IH12">
        <v>1</v>
      </c>
      <c r="II12">
        <v>11</v>
      </c>
      <c r="IJ12">
        <v>12</v>
      </c>
      <c r="IK12">
        <v>19</v>
      </c>
      <c r="IL12">
        <v>6</v>
      </c>
      <c r="IM12">
        <v>9</v>
      </c>
    </row>
    <row r="13" spans="1:249" ht="13.15" x14ac:dyDescent="0.4">
      <c r="A13" t="s">
        <v>972</v>
      </c>
      <c r="B13">
        <v>95.102000000000004</v>
      </c>
      <c r="C13" s="8">
        <v>63.786999999999999</v>
      </c>
      <c r="D13" s="8">
        <v>103.821</v>
      </c>
      <c r="E13" s="8"/>
      <c r="F13" s="8">
        <v>80.545000000000002</v>
      </c>
      <c r="I13">
        <v>78.909000000000006</v>
      </c>
      <c r="J13">
        <v>51.534999999999997</v>
      </c>
      <c r="K13">
        <v>47.39</v>
      </c>
      <c r="L13" s="10">
        <v>132.87799999999999</v>
      </c>
      <c r="M13">
        <v>46.064</v>
      </c>
      <c r="N13" s="2">
        <v>24.411999999999999</v>
      </c>
      <c r="O13">
        <v>71.435000000000002</v>
      </c>
      <c r="P13">
        <v>45.859000000000002</v>
      </c>
      <c r="Q13">
        <v>66.900999999999996</v>
      </c>
      <c r="U13">
        <v>39.909999999999997</v>
      </c>
      <c r="X13">
        <v>41.792999999999999</v>
      </c>
      <c r="Y13">
        <v>116.733</v>
      </c>
      <c r="Z13" s="8">
        <v>188.17400000000001</v>
      </c>
      <c r="AA13">
        <v>177.92599999999999</v>
      </c>
      <c r="AB13">
        <v>70.796999999999997</v>
      </c>
      <c r="AC13" s="8">
        <v>48.837000000000003</v>
      </c>
      <c r="AD13">
        <v>96.402000000000001</v>
      </c>
      <c r="AE13">
        <v>162.511</v>
      </c>
      <c r="AF13">
        <v>178.22200000000001</v>
      </c>
      <c r="AG13">
        <v>107.02500000000001</v>
      </c>
      <c r="AI13">
        <v>104.352</v>
      </c>
      <c r="AJ13">
        <v>153.87700000000001</v>
      </c>
      <c r="AK13">
        <v>193.79400000000001</v>
      </c>
      <c r="AM13">
        <v>143.02099999999999</v>
      </c>
      <c r="AN13">
        <v>95.917000000000002</v>
      </c>
      <c r="AO13">
        <v>74.582999999999998</v>
      </c>
      <c r="AP13">
        <v>84.403000000000006</v>
      </c>
      <c r="BD13" t="s">
        <v>59</v>
      </c>
      <c r="BE13">
        <v>262.00299999999999</v>
      </c>
      <c r="BF13">
        <v>1.9</v>
      </c>
      <c r="BK13" t="s">
        <v>972</v>
      </c>
      <c r="BL13">
        <v>66.599999999999994</v>
      </c>
      <c r="BN13">
        <v>87.531999999999996</v>
      </c>
      <c r="BO13">
        <v>63.017000000000003</v>
      </c>
      <c r="BP13">
        <v>17.274000000000001</v>
      </c>
      <c r="BQ13">
        <v>49.81</v>
      </c>
      <c r="BR13">
        <v>129.96700000000001</v>
      </c>
      <c r="BS13">
        <v>42.56</v>
      </c>
      <c r="BT13">
        <v>46.067999999999998</v>
      </c>
      <c r="BW13">
        <v>41.091999999999999</v>
      </c>
      <c r="BX13">
        <v>47.81</v>
      </c>
      <c r="BY13">
        <v>47.814</v>
      </c>
      <c r="BZ13">
        <v>93.43</v>
      </c>
      <c r="CA13">
        <v>22.170999999999999</v>
      </c>
      <c r="CB13">
        <v>37.246000000000002</v>
      </c>
      <c r="CD13">
        <v>62.746000000000002</v>
      </c>
      <c r="CE13">
        <v>266.15499999999997</v>
      </c>
      <c r="CF13">
        <v>137.696</v>
      </c>
      <c r="CG13">
        <v>128.71</v>
      </c>
      <c r="CH13">
        <v>68.584999999999994</v>
      </c>
      <c r="CI13">
        <v>78.510999999999996</v>
      </c>
      <c r="CJ13">
        <v>48.631999999999998</v>
      </c>
      <c r="CL13">
        <v>28.04</v>
      </c>
      <c r="CM13">
        <v>42.314999999999998</v>
      </c>
      <c r="CN13">
        <v>199.12799999999999</v>
      </c>
      <c r="CO13">
        <v>205.47399999999999</v>
      </c>
      <c r="CP13">
        <v>174.35900000000001</v>
      </c>
      <c r="CQ13">
        <v>119.468</v>
      </c>
      <c r="DF13" t="s">
        <v>66</v>
      </c>
      <c r="DG13">
        <v>133</v>
      </c>
      <c r="DH13">
        <v>1.77</v>
      </c>
      <c r="DM13" t="s">
        <v>972</v>
      </c>
      <c r="DN13">
        <v>39.691000000000003</v>
      </c>
      <c r="DO13">
        <v>58.337000000000003</v>
      </c>
      <c r="DP13">
        <v>10.247</v>
      </c>
      <c r="DQ13">
        <v>95.608000000000004</v>
      </c>
      <c r="DR13">
        <v>77.521000000000001</v>
      </c>
      <c r="DT13">
        <v>272.60500000000002</v>
      </c>
      <c r="DU13">
        <v>307.34699999999998</v>
      </c>
      <c r="DW13">
        <v>92.272999999999996</v>
      </c>
      <c r="DY13">
        <v>169.83199999999999</v>
      </c>
      <c r="DZ13">
        <v>154.05699999999999</v>
      </c>
      <c r="EB13">
        <v>17.405000000000001</v>
      </c>
      <c r="EC13">
        <v>67.765000000000001</v>
      </c>
      <c r="EE13">
        <v>106.349</v>
      </c>
      <c r="EF13">
        <v>57.646000000000001</v>
      </c>
      <c r="EG13">
        <v>17.928000000000001</v>
      </c>
      <c r="EH13">
        <v>190.03100000000001</v>
      </c>
      <c r="EI13">
        <v>68.600999999999999</v>
      </c>
      <c r="EJ13">
        <v>198.98699999999999</v>
      </c>
      <c r="EK13">
        <v>193.571</v>
      </c>
      <c r="EL13">
        <v>28.446999999999999</v>
      </c>
      <c r="EM13">
        <v>35.225999999999999</v>
      </c>
      <c r="EN13">
        <v>127.38800000000001</v>
      </c>
      <c r="EO13">
        <v>27.742999999999999</v>
      </c>
      <c r="EP13">
        <v>33.185000000000002</v>
      </c>
      <c r="ER13">
        <v>87.18</v>
      </c>
      <c r="ES13">
        <v>180.065</v>
      </c>
      <c r="ET13">
        <v>270.45600000000002</v>
      </c>
      <c r="EU13">
        <v>47.334000000000003</v>
      </c>
      <c r="EV13">
        <v>227.69900000000001</v>
      </c>
      <c r="EW13">
        <v>230.381</v>
      </c>
      <c r="EX13">
        <v>35.838000000000001</v>
      </c>
      <c r="EY13">
        <v>207.65100000000001</v>
      </c>
      <c r="EZ13">
        <v>22.913</v>
      </c>
      <c r="FA13">
        <v>296.202</v>
      </c>
      <c r="FB13">
        <v>95.192999999999998</v>
      </c>
      <c r="FC13">
        <v>121.309</v>
      </c>
      <c r="FD13">
        <v>65.802999999999997</v>
      </c>
      <c r="FE13">
        <v>152.857</v>
      </c>
      <c r="FF13">
        <v>183.44900000000001</v>
      </c>
      <c r="FG13">
        <v>56.927</v>
      </c>
      <c r="FJ13">
        <v>82</v>
      </c>
      <c r="FK13">
        <v>1</v>
      </c>
      <c r="FL13">
        <f>Supplementary_Fig5!FK13*100/Supplementary_Fig5!FJ13</f>
        <v>1.2195121951219512</v>
      </c>
      <c r="FS13" t="s">
        <v>369</v>
      </c>
      <c r="FT13">
        <v>159</v>
      </c>
      <c r="FU13" s="8">
        <v>2.35</v>
      </c>
      <c r="FW13" s="1">
        <f>STDEV(Supplementary_Fig5!FW3:FW11)</f>
        <v>5.2836481243164819E-2</v>
      </c>
      <c r="FX13">
        <f>Supplementary_Fig5!FX12/SQRT(8)</f>
        <v>0.10802281505047256</v>
      </c>
      <c r="GB13">
        <v>45</v>
      </c>
      <c r="GD13">
        <v>5</v>
      </c>
      <c r="GE13">
        <v>10</v>
      </c>
      <c r="GG13">
        <v>2</v>
      </c>
      <c r="GH13">
        <v>19</v>
      </c>
      <c r="GI13">
        <v>13</v>
      </c>
      <c r="GJ13">
        <v>3</v>
      </c>
      <c r="GK13">
        <v>14</v>
      </c>
      <c r="GN13">
        <v>10</v>
      </c>
      <c r="GO13">
        <v>1</v>
      </c>
      <c r="GQ13">
        <v>15</v>
      </c>
      <c r="GR13">
        <v>17</v>
      </c>
      <c r="GS13">
        <v>9</v>
      </c>
      <c r="GT13">
        <v>11</v>
      </c>
      <c r="GU13">
        <v>6</v>
      </c>
      <c r="GV13">
        <v>1</v>
      </c>
      <c r="GW13">
        <v>7</v>
      </c>
      <c r="GX13">
        <v>15</v>
      </c>
      <c r="GY13">
        <v>11</v>
      </c>
      <c r="GZ13">
        <v>14</v>
      </c>
      <c r="HA13">
        <v>14</v>
      </c>
      <c r="HB13">
        <v>15</v>
      </c>
      <c r="HC13">
        <v>12</v>
      </c>
      <c r="HD13">
        <v>20</v>
      </c>
      <c r="HG13">
        <v>45</v>
      </c>
      <c r="HH13">
        <v>9</v>
      </c>
      <c r="HI13">
        <v>7</v>
      </c>
      <c r="HJ13">
        <v>14</v>
      </c>
      <c r="HK13">
        <v>6</v>
      </c>
      <c r="HL13">
        <v>11</v>
      </c>
      <c r="HM13">
        <v>10</v>
      </c>
      <c r="HN13">
        <v>9</v>
      </c>
      <c r="HO13">
        <v>18</v>
      </c>
      <c r="HP13">
        <v>9</v>
      </c>
      <c r="HQ13">
        <v>13</v>
      </c>
      <c r="HR13">
        <v>7</v>
      </c>
      <c r="HS13">
        <v>12</v>
      </c>
      <c r="HT13">
        <v>7</v>
      </c>
      <c r="HU13">
        <v>7</v>
      </c>
      <c r="HV13">
        <v>10</v>
      </c>
      <c r="HY13">
        <v>45</v>
      </c>
      <c r="HZ13">
        <v>21</v>
      </c>
      <c r="IA13">
        <v>5</v>
      </c>
      <c r="IB13">
        <v>10</v>
      </c>
      <c r="IC13">
        <v>12</v>
      </c>
      <c r="ID13">
        <v>11</v>
      </c>
      <c r="IE13">
        <v>12</v>
      </c>
      <c r="IF13">
        <v>15</v>
      </c>
      <c r="IG13">
        <v>17</v>
      </c>
      <c r="IH13">
        <v>2</v>
      </c>
      <c r="II13">
        <v>11</v>
      </c>
      <c r="IJ13">
        <v>13</v>
      </c>
      <c r="IK13">
        <v>19</v>
      </c>
      <c r="IL13">
        <v>8</v>
      </c>
      <c r="IM13">
        <v>11</v>
      </c>
      <c r="IN13">
        <v>2</v>
      </c>
    </row>
    <row r="14" spans="1:249" ht="13.15" x14ac:dyDescent="0.4">
      <c r="A14" t="s">
        <v>973</v>
      </c>
      <c r="B14">
        <v>61.331000000000003</v>
      </c>
      <c r="C14" s="8"/>
      <c r="D14" s="8">
        <v>50.402999999999999</v>
      </c>
      <c r="E14" s="8"/>
      <c r="F14" s="8">
        <v>28.484000000000002</v>
      </c>
      <c r="I14">
        <v>237.376</v>
      </c>
      <c r="J14">
        <v>119.913</v>
      </c>
      <c r="L14" s="10">
        <v>188.107</v>
      </c>
      <c r="M14">
        <v>97.744</v>
      </c>
      <c r="O14">
        <v>211.886</v>
      </c>
      <c r="P14">
        <v>129.273</v>
      </c>
      <c r="Q14">
        <v>78.567999999999998</v>
      </c>
      <c r="R14">
        <v>142.64599999999999</v>
      </c>
      <c r="S14">
        <v>97.814999999999998</v>
      </c>
      <c r="U14">
        <v>146.88</v>
      </c>
      <c r="V14">
        <v>60.182000000000002</v>
      </c>
      <c r="W14">
        <v>81.271000000000001</v>
      </c>
      <c r="X14">
        <v>159.559</v>
      </c>
      <c r="Y14">
        <v>64.113</v>
      </c>
      <c r="Z14" s="8">
        <v>42.645000000000003</v>
      </c>
      <c r="AA14">
        <v>48.055999999999997</v>
      </c>
      <c r="AB14">
        <v>78.634</v>
      </c>
      <c r="AC14" s="8">
        <v>104.321</v>
      </c>
      <c r="AD14">
        <v>49.207999999999998</v>
      </c>
      <c r="AE14">
        <v>219.32400000000001</v>
      </c>
      <c r="AF14">
        <v>40.524999999999999</v>
      </c>
      <c r="AG14">
        <v>174.126</v>
      </c>
      <c r="AI14">
        <v>145.673</v>
      </c>
      <c r="AJ14">
        <v>243.28899999999999</v>
      </c>
      <c r="AK14">
        <v>181.292</v>
      </c>
      <c r="AM14">
        <v>152.97200000000001</v>
      </c>
      <c r="AN14">
        <v>32.042999999999999</v>
      </c>
      <c r="AO14">
        <v>70.007000000000005</v>
      </c>
      <c r="AP14">
        <v>38.347000000000001</v>
      </c>
      <c r="AR14" s="1" t="s">
        <v>969</v>
      </c>
      <c r="AS14" t="s">
        <v>970</v>
      </c>
      <c r="AT14" t="s">
        <v>8</v>
      </c>
      <c r="AU14" t="s">
        <v>971</v>
      </c>
      <c r="AW14" s="43" t="s">
        <v>974</v>
      </c>
      <c r="AX14" s="43"/>
      <c r="AY14" s="43"/>
      <c r="BD14" t="s">
        <v>62</v>
      </c>
      <c r="BE14">
        <v>34.948</v>
      </c>
      <c r="BF14">
        <v>1.21</v>
      </c>
      <c r="BK14" t="s">
        <v>973</v>
      </c>
      <c r="BL14">
        <v>121.831</v>
      </c>
      <c r="BM14" s="2">
        <v>84.103999999999999</v>
      </c>
      <c r="BN14">
        <v>74.984999999999999</v>
      </c>
      <c r="BO14">
        <v>55.222999999999999</v>
      </c>
      <c r="BP14">
        <v>85.477999999999994</v>
      </c>
      <c r="BQ14">
        <v>23.59</v>
      </c>
      <c r="BR14">
        <v>22.503</v>
      </c>
      <c r="BS14">
        <v>96.486000000000004</v>
      </c>
      <c r="BT14">
        <v>87.373000000000005</v>
      </c>
      <c r="BW14">
        <v>125.67</v>
      </c>
      <c r="BY14">
        <v>114.996</v>
      </c>
      <c r="BZ14">
        <v>54.603999999999999</v>
      </c>
      <c r="CA14">
        <v>124.64100000000001</v>
      </c>
      <c r="CB14">
        <v>184.87799999999999</v>
      </c>
      <c r="CC14">
        <v>158.828</v>
      </c>
      <c r="CD14">
        <v>117.03100000000001</v>
      </c>
      <c r="CE14">
        <v>84.787000000000006</v>
      </c>
      <c r="CF14">
        <v>142.708</v>
      </c>
      <c r="CG14">
        <v>166.50800000000001</v>
      </c>
      <c r="CH14">
        <v>86.141999999999996</v>
      </c>
      <c r="CI14">
        <v>56.643999999999998</v>
      </c>
      <c r="CN14">
        <v>210.60300000000001</v>
      </c>
      <c r="CO14">
        <v>259.88</v>
      </c>
      <c r="CP14">
        <v>30.280999999999999</v>
      </c>
      <c r="CQ14">
        <v>190.31299999999999</v>
      </c>
      <c r="CR14">
        <v>157.65199999999999</v>
      </c>
      <c r="DF14" t="s">
        <v>872</v>
      </c>
      <c r="DG14">
        <v>71</v>
      </c>
      <c r="DH14">
        <v>2.0299999999999998</v>
      </c>
      <c r="DM14" t="s">
        <v>973</v>
      </c>
      <c r="DN14">
        <v>27.427</v>
      </c>
      <c r="DO14">
        <v>140.44900000000001</v>
      </c>
      <c r="DP14">
        <v>123.84699999999999</v>
      </c>
      <c r="DQ14">
        <v>131.607</v>
      </c>
      <c r="DR14">
        <v>40.981999999999999</v>
      </c>
      <c r="DT14">
        <v>368.03300000000002</v>
      </c>
      <c r="DV14">
        <v>83.09</v>
      </c>
      <c r="DW14">
        <v>227.893</v>
      </c>
      <c r="DX14">
        <v>28.63</v>
      </c>
      <c r="DY14">
        <v>53.908999999999999</v>
      </c>
      <c r="DZ14">
        <v>212.58199999999999</v>
      </c>
      <c r="EB14">
        <v>132.185</v>
      </c>
      <c r="EC14">
        <v>48.965000000000003</v>
      </c>
      <c r="EE14">
        <v>194.08500000000001</v>
      </c>
      <c r="EG14">
        <v>98.269000000000005</v>
      </c>
      <c r="EH14">
        <v>219.53399999999999</v>
      </c>
      <c r="EJ14">
        <v>230.83500000000001</v>
      </c>
      <c r="EK14">
        <v>219.63</v>
      </c>
      <c r="EL14">
        <v>68.846999999999994</v>
      </c>
      <c r="EM14">
        <v>82.289000000000001</v>
      </c>
      <c r="EN14">
        <v>146.858</v>
      </c>
      <c r="ER14">
        <v>109.61799999999999</v>
      </c>
      <c r="ES14">
        <v>200.012</v>
      </c>
      <c r="ET14">
        <v>37.991999999999997</v>
      </c>
      <c r="EU14">
        <v>140.55799999999999</v>
      </c>
      <c r="EV14">
        <v>273.01900000000001</v>
      </c>
      <c r="EW14">
        <v>46.220999999999997</v>
      </c>
      <c r="EX14">
        <v>139.126</v>
      </c>
      <c r="EY14">
        <v>384.67599999999999</v>
      </c>
      <c r="EZ14">
        <v>35.286999999999999</v>
      </c>
      <c r="FA14">
        <v>347.64499999999998</v>
      </c>
      <c r="FB14">
        <v>113.526</v>
      </c>
      <c r="FC14">
        <v>152.392</v>
      </c>
      <c r="FD14">
        <v>69.778000000000006</v>
      </c>
      <c r="FE14">
        <v>180.036</v>
      </c>
      <c r="FF14">
        <v>202.941</v>
      </c>
      <c r="FG14">
        <v>84.486000000000004</v>
      </c>
      <c r="FI14" s="1" t="s">
        <v>975</v>
      </c>
      <c r="FJ14" t="s">
        <v>976</v>
      </c>
      <c r="FK14" t="s">
        <v>8</v>
      </c>
      <c r="FL14" t="s">
        <v>971</v>
      </c>
      <c r="FS14" t="s">
        <v>373</v>
      </c>
      <c r="FT14">
        <v>62</v>
      </c>
      <c r="FU14">
        <v>1.94</v>
      </c>
      <c r="FW14" s="1">
        <f>Supplementary_Fig5!FW13/SQRT(9)</f>
        <v>1.7612160414388272E-2</v>
      </c>
      <c r="GB14">
        <v>50</v>
      </c>
      <c r="GD14">
        <v>4</v>
      </c>
      <c r="GE14">
        <v>10</v>
      </c>
      <c r="GG14">
        <v>2</v>
      </c>
      <c r="GH14">
        <v>18</v>
      </c>
      <c r="GI14">
        <v>14</v>
      </c>
      <c r="GJ14">
        <v>3</v>
      </c>
      <c r="GK14">
        <v>15</v>
      </c>
      <c r="GN14">
        <v>14</v>
      </c>
      <c r="GO14">
        <v>1</v>
      </c>
      <c r="GQ14">
        <v>21</v>
      </c>
      <c r="GR14">
        <v>18</v>
      </c>
      <c r="GS14">
        <v>12</v>
      </c>
      <c r="GT14">
        <v>13</v>
      </c>
      <c r="GU14">
        <v>8</v>
      </c>
      <c r="GV14">
        <v>2</v>
      </c>
      <c r="GW14">
        <v>6</v>
      </c>
      <c r="GX14">
        <v>14</v>
      </c>
      <c r="GY14">
        <v>11</v>
      </c>
      <c r="GZ14">
        <v>15</v>
      </c>
      <c r="HA14">
        <v>15</v>
      </c>
      <c r="HB14">
        <v>14</v>
      </c>
      <c r="HC14">
        <v>13</v>
      </c>
      <c r="HD14">
        <v>24</v>
      </c>
      <c r="HG14">
        <v>50</v>
      </c>
      <c r="HH14">
        <v>9</v>
      </c>
      <c r="HI14">
        <v>7</v>
      </c>
      <c r="HJ14">
        <v>15</v>
      </c>
      <c r="HK14">
        <v>5</v>
      </c>
      <c r="HL14">
        <v>13</v>
      </c>
      <c r="HM14">
        <v>9</v>
      </c>
      <c r="HN14">
        <v>10</v>
      </c>
      <c r="HO14">
        <v>18</v>
      </c>
      <c r="HP14">
        <v>10</v>
      </c>
      <c r="HQ14">
        <v>15</v>
      </c>
      <c r="HR14">
        <v>7</v>
      </c>
      <c r="HS14">
        <v>12</v>
      </c>
      <c r="HT14">
        <v>7</v>
      </c>
      <c r="HU14">
        <v>7</v>
      </c>
      <c r="HV14">
        <v>11</v>
      </c>
      <c r="HY14">
        <v>50</v>
      </c>
      <c r="HZ14">
        <v>18</v>
      </c>
      <c r="IA14">
        <v>5</v>
      </c>
      <c r="IB14">
        <v>9</v>
      </c>
      <c r="IC14">
        <v>11</v>
      </c>
      <c r="ID14">
        <v>12</v>
      </c>
      <c r="IE14">
        <v>14</v>
      </c>
      <c r="IF14">
        <v>17</v>
      </c>
      <c r="IG14">
        <v>18</v>
      </c>
      <c r="IH14">
        <v>4</v>
      </c>
      <c r="II14">
        <v>10</v>
      </c>
      <c r="IJ14">
        <v>17</v>
      </c>
      <c r="IK14">
        <v>22</v>
      </c>
      <c r="IL14">
        <v>8</v>
      </c>
      <c r="IM14">
        <v>11</v>
      </c>
      <c r="IN14">
        <v>2</v>
      </c>
    </row>
    <row r="15" spans="1:249" x14ac:dyDescent="0.35">
      <c r="A15" t="s">
        <v>977</v>
      </c>
      <c r="B15">
        <v>126.27500000000001</v>
      </c>
      <c r="C15" s="8">
        <v>77.168000000000006</v>
      </c>
      <c r="D15" s="8">
        <v>112.617</v>
      </c>
      <c r="E15" s="8"/>
      <c r="F15" s="8">
        <v>102.643</v>
      </c>
      <c r="I15">
        <v>175.01400000000001</v>
      </c>
      <c r="J15">
        <v>53.451000000000001</v>
      </c>
      <c r="K15">
        <v>98.451999999999998</v>
      </c>
      <c r="M15">
        <v>75.058999999999997</v>
      </c>
      <c r="N15">
        <v>59.521999999999998</v>
      </c>
      <c r="O15">
        <v>112.303</v>
      </c>
      <c r="P15">
        <v>37.29</v>
      </c>
      <c r="Q15">
        <v>127.003</v>
      </c>
      <c r="R15">
        <v>76.989999999999995</v>
      </c>
      <c r="S15">
        <v>41.366</v>
      </c>
      <c r="U15">
        <v>60.308999999999997</v>
      </c>
      <c r="W15">
        <v>78.298000000000002</v>
      </c>
      <c r="X15">
        <v>52.351999999999997</v>
      </c>
      <c r="Y15">
        <v>69.025999999999996</v>
      </c>
      <c r="Z15" s="8">
        <v>119.56699999999999</v>
      </c>
      <c r="AA15">
        <v>150.77199999999999</v>
      </c>
      <c r="AC15" s="8">
        <v>56.052999999999997</v>
      </c>
      <c r="AD15" s="2">
        <v>56.383000000000003</v>
      </c>
      <c r="AE15">
        <v>211.31700000000001</v>
      </c>
      <c r="AF15">
        <v>117.107</v>
      </c>
      <c r="AG15">
        <v>268.36200000000002</v>
      </c>
      <c r="AI15">
        <v>186.61799999999999</v>
      </c>
      <c r="AJ15">
        <v>101.789</v>
      </c>
      <c r="AK15">
        <v>76.137</v>
      </c>
      <c r="AM15">
        <v>41.027999999999999</v>
      </c>
      <c r="AO15">
        <v>138.30199999999999</v>
      </c>
      <c r="AP15">
        <v>70.55</v>
      </c>
      <c r="AS15">
        <f>AQ40</f>
        <v>335</v>
      </c>
      <c r="AT15">
        <v>16</v>
      </c>
      <c r="AU15">
        <f>Supplementary_Fig5!AT15*100/Supplementary_Fig5!AS15</f>
        <v>4.7761194029850742</v>
      </c>
      <c r="AW15" t="s">
        <v>978</v>
      </c>
      <c r="AX15" t="s">
        <v>8</v>
      </c>
      <c r="AY15" t="s">
        <v>971</v>
      </c>
      <c r="BD15" t="s">
        <v>65</v>
      </c>
      <c r="BE15">
        <v>243.27</v>
      </c>
      <c r="BF15">
        <v>2.38</v>
      </c>
      <c r="BK15" t="s">
        <v>977</v>
      </c>
      <c r="BL15">
        <v>25.722999999999999</v>
      </c>
      <c r="BM15">
        <v>35.113</v>
      </c>
      <c r="BN15">
        <v>63.106999999999999</v>
      </c>
      <c r="BO15">
        <v>39.642000000000003</v>
      </c>
      <c r="BR15">
        <v>100.422</v>
      </c>
      <c r="BS15">
        <v>21.582999999999998</v>
      </c>
      <c r="BT15">
        <v>51.173999999999999</v>
      </c>
      <c r="BW15">
        <v>45.472999999999999</v>
      </c>
      <c r="BX15">
        <v>28.809000000000001</v>
      </c>
      <c r="BY15">
        <v>66.813000000000002</v>
      </c>
      <c r="BZ15">
        <v>65.912999999999997</v>
      </c>
      <c r="CA15">
        <v>46.97</v>
      </c>
      <c r="CB15">
        <v>97.222999999999999</v>
      </c>
      <c r="CC15">
        <v>148.739</v>
      </c>
      <c r="CD15">
        <v>199.09299999999999</v>
      </c>
      <c r="CE15">
        <v>181.517</v>
      </c>
      <c r="CF15">
        <v>30.567</v>
      </c>
      <c r="CG15">
        <v>36.826000000000001</v>
      </c>
      <c r="CH15">
        <v>131.29400000000001</v>
      </c>
      <c r="CI15" s="2">
        <v>48.238</v>
      </c>
      <c r="CN15">
        <v>280.52300000000002</v>
      </c>
      <c r="CO15">
        <v>42.848999999999997</v>
      </c>
      <c r="CP15" s="2">
        <v>98.747</v>
      </c>
      <c r="CQ15">
        <v>144.798</v>
      </c>
      <c r="CR15">
        <v>49.179000000000002</v>
      </c>
      <c r="DF15" t="s">
        <v>75</v>
      </c>
      <c r="DG15">
        <v>48</v>
      </c>
      <c r="DH15">
        <v>0.89</v>
      </c>
      <c r="DM15" t="s">
        <v>977</v>
      </c>
      <c r="DO15">
        <v>40.293999999999997</v>
      </c>
      <c r="DP15">
        <v>72.340999999999994</v>
      </c>
      <c r="DQ15">
        <v>143.56100000000001</v>
      </c>
      <c r="DW15">
        <v>140.143</v>
      </c>
      <c r="DX15">
        <v>81.369</v>
      </c>
      <c r="DY15">
        <v>153.94</v>
      </c>
      <c r="EB15">
        <v>154.99299999999999</v>
      </c>
      <c r="EC15">
        <v>84.638000000000005</v>
      </c>
      <c r="EE15">
        <v>132.65799999999999</v>
      </c>
      <c r="EG15">
        <v>46.393000000000001</v>
      </c>
      <c r="EH15">
        <v>257.38799999999998</v>
      </c>
      <c r="EJ15">
        <v>271.00099999999998</v>
      </c>
      <c r="EK15">
        <v>285.91500000000002</v>
      </c>
      <c r="EL15">
        <v>114.361</v>
      </c>
      <c r="EM15">
        <v>96.373000000000005</v>
      </c>
      <c r="EN15">
        <v>260</v>
      </c>
      <c r="ER15">
        <v>158.94200000000001</v>
      </c>
      <c r="ES15">
        <v>23.62</v>
      </c>
      <c r="ET15">
        <v>211.43600000000001</v>
      </c>
      <c r="EU15">
        <v>94.814999999999998</v>
      </c>
      <c r="EV15">
        <v>118.57</v>
      </c>
      <c r="EW15">
        <v>189.00899999999999</v>
      </c>
      <c r="EX15">
        <v>85.459000000000003</v>
      </c>
      <c r="EY15">
        <v>380.35599999999999</v>
      </c>
      <c r="EZ15">
        <v>109.419</v>
      </c>
      <c r="FA15">
        <v>97.094999999999999</v>
      </c>
      <c r="FB15">
        <v>135.38200000000001</v>
      </c>
      <c r="FC15">
        <v>213.92400000000001</v>
      </c>
      <c r="FD15">
        <v>173.64099999999999</v>
      </c>
      <c r="FE15">
        <v>66.83</v>
      </c>
      <c r="FF15">
        <v>242.74799999999999</v>
      </c>
      <c r="FG15">
        <v>53.201000000000001</v>
      </c>
      <c r="FJ15">
        <v>1321</v>
      </c>
      <c r="FK15">
        <v>15</v>
      </c>
      <c r="FL15">
        <f>Supplementary_Fig5!FK15*100/Supplementary_Fig5!FJ15</f>
        <v>1.1355034065102196</v>
      </c>
      <c r="FS15" t="s">
        <v>377</v>
      </c>
      <c r="FT15">
        <v>254</v>
      </c>
      <c r="FU15">
        <v>4.92</v>
      </c>
      <c r="GB15">
        <v>55</v>
      </c>
      <c r="GD15">
        <v>5</v>
      </c>
      <c r="GE15">
        <v>10</v>
      </c>
      <c r="GG15">
        <v>2</v>
      </c>
      <c r="GH15">
        <v>16</v>
      </c>
      <c r="GI15">
        <v>16</v>
      </c>
      <c r="GJ15">
        <v>3</v>
      </c>
      <c r="GK15">
        <v>19</v>
      </c>
      <c r="GN15">
        <v>16</v>
      </c>
      <c r="GO15">
        <v>3</v>
      </c>
      <c r="GQ15">
        <v>17</v>
      </c>
      <c r="GR15">
        <v>26</v>
      </c>
      <c r="GS15">
        <v>14</v>
      </c>
      <c r="GT15">
        <v>14</v>
      </c>
      <c r="GU15">
        <v>11</v>
      </c>
      <c r="GV15">
        <v>2</v>
      </c>
      <c r="GW15">
        <v>7</v>
      </c>
      <c r="GX15">
        <v>17</v>
      </c>
      <c r="GY15">
        <v>12</v>
      </c>
      <c r="GZ15">
        <v>17</v>
      </c>
      <c r="HA15">
        <v>15</v>
      </c>
      <c r="HB15">
        <v>14</v>
      </c>
      <c r="HC15">
        <v>14</v>
      </c>
      <c r="HD15">
        <v>21</v>
      </c>
      <c r="HG15">
        <v>55</v>
      </c>
      <c r="HH15">
        <v>9</v>
      </c>
      <c r="HI15">
        <v>10</v>
      </c>
      <c r="HJ15">
        <v>15</v>
      </c>
      <c r="HK15">
        <v>5</v>
      </c>
      <c r="HL15">
        <v>14</v>
      </c>
      <c r="HM15">
        <v>14</v>
      </c>
      <c r="HN15">
        <v>12</v>
      </c>
      <c r="HO15">
        <v>17</v>
      </c>
      <c r="HP15">
        <v>10</v>
      </c>
      <c r="HQ15">
        <v>15</v>
      </c>
      <c r="HR15">
        <v>13</v>
      </c>
      <c r="HS15">
        <v>13</v>
      </c>
      <c r="HT15">
        <v>6</v>
      </c>
      <c r="HU15">
        <v>7</v>
      </c>
      <c r="HV15">
        <v>13</v>
      </c>
      <c r="HY15">
        <v>55</v>
      </c>
      <c r="HZ15">
        <v>22</v>
      </c>
      <c r="IA15">
        <v>5</v>
      </c>
      <c r="IB15">
        <v>8</v>
      </c>
      <c r="IC15">
        <v>12</v>
      </c>
      <c r="ID15">
        <v>17</v>
      </c>
      <c r="IE15">
        <v>11</v>
      </c>
      <c r="IF15">
        <v>18</v>
      </c>
      <c r="IG15">
        <v>16</v>
      </c>
      <c r="IH15">
        <v>4</v>
      </c>
      <c r="II15">
        <v>10</v>
      </c>
      <c r="IJ15">
        <v>16</v>
      </c>
      <c r="IK15">
        <v>22</v>
      </c>
      <c r="IL15">
        <v>7</v>
      </c>
      <c r="IM15">
        <v>13</v>
      </c>
      <c r="IN15">
        <v>2</v>
      </c>
    </row>
    <row r="16" spans="1:249" ht="13.15" x14ac:dyDescent="0.4">
      <c r="A16" t="s">
        <v>979</v>
      </c>
      <c r="B16">
        <v>155.04</v>
      </c>
      <c r="C16" s="8">
        <v>119.566</v>
      </c>
      <c r="D16" s="8"/>
      <c r="E16" s="8"/>
      <c r="F16" s="8">
        <v>85.207999999999998</v>
      </c>
      <c r="I16">
        <v>210.56399999999999</v>
      </c>
      <c r="J16" s="2">
        <v>130.773</v>
      </c>
      <c r="K16">
        <v>147.13999999999999</v>
      </c>
      <c r="M16">
        <v>93.488</v>
      </c>
      <c r="N16">
        <v>123.41800000000001</v>
      </c>
      <c r="O16">
        <v>185.26599999999999</v>
      </c>
      <c r="P16">
        <v>110.54900000000001</v>
      </c>
      <c r="Q16" s="2">
        <v>168.17400000000001</v>
      </c>
      <c r="R16" s="2">
        <v>96.674000000000007</v>
      </c>
      <c r="S16">
        <v>45.506</v>
      </c>
      <c r="V16">
        <v>95.46</v>
      </c>
      <c r="W16">
        <v>67.691000000000003</v>
      </c>
      <c r="X16">
        <v>158.72200000000001</v>
      </c>
      <c r="Y16">
        <v>50.664000000000001</v>
      </c>
      <c r="Z16" s="8">
        <v>55.295999999999999</v>
      </c>
      <c r="AA16">
        <v>93.227999999999994</v>
      </c>
      <c r="AB16">
        <v>84.44</v>
      </c>
      <c r="AD16">
        <v>36.959000000000003</v>
      </c>
      <c r="AF16">
        <v>85.64</v>
      </c>
      <c r="AG16">
        <v>68.867999999999995</v>
      </c>
      <c r="AI16">
        <v>210.994</v>
      </c>
      <c r="AJ16">
        <v>107.759</v>
      </c>
      <c r="AK16">
        <v>49.457999999999998</v>
      </c>
      <c r="AM16">
        <v>62.481000000000002</v>
      </c>
      <c r="AN16">
        <v>33.552</v>
      </c>
      <c r="AO16">
        <v>148.922</v>
      </c>
      <c r="AP16">
        <v>49.616999999999997</v>
      </c>
      <c r="AR16" s="1" t="s">
        <v>975</v>
      </c>
      <c r="AS16" t="s">
        <v>976</v>
      </c>
      <c r="AT16" t="s">
        <v>8</v>
      </c>
      <c r="AU16" t="s">
        <v>971</v>
      </c>
      <c r="AW16">
        <f>AS15+AS17</f>
        <v>1423</v>
      </c>
      <c r="AX16">
        <f>AT15+AT17</f>
        <v>59</v>
      </c>
      <c r="AY16">
        <f>Supplementary_Fig5!AX16*100/Supplementary_Fig5!AW16</f>
        <v>4.1461700632466618</v>
      </c>
      <c r="BD16" t="s">
        <v>68</v>
      </c>
      <c r="BE16">
        <v>111.217</v>
      </c>
      <c r="BF16">
        <v>1.47</v>
      </c>
      <c r="BK16" t="s">
        <v>979</v>
      </c>
      <c r="BL16">
        <v>99.673000000000002</v>
      </c>
      <c r="BM16">
        <v>63.207999999999998</v>
      </c>
      <c r="BN16">
        <v>62.317999999999998</v>
      </c>
      <c r="BO16">
        <v>66.516999999999996</v>
      </c>
      <c r="BP16">
        <v>74.578999999999994</v>
      </c>
      <c r="BQ16">
        <v>41.460999999999999</v>
      </c>
      <c r="BR16">
        <v>38.820999999999998</v>
      </c>
      <c r="BS16">
        <v>58.216000000000001</v>
      </c>
      <c r="BT16">
        <v>130.73400000000001</v>
      </c>
      <c r="BW16">
        <v>85.272000000000006</v>
      </c>
      <c r="BX16">
        <v>66.197999999999993</v>
      </c>
      <c r="BY16">
        <v>84.486999999999995</v>
      </c>
      <c r="BZ16">
        <v>23.91</v>
      </c>
      <c r="CA16">
        <v>180.578</v>
      </c>
      <c r="CB16">
        <v>141.35499999999999</v>
      </c>
      <c r="CD16">
        <v>55.029000000000003</v>
      </c>
      <c r="CE16">
        <v>150.17699999999999</v>
      </c>
      <c r="CF16">
        <v>72.444000000000003</v>
      </c>
      <c r="CG16">
        <v>66.518000000000001</v>
      </c>
      <c r="CH16">
        <v>31.550999999999998</v>
      </c>
      <c r="CI16">
        <v>55.683</v>
      </c>
      <c r="CN16">
        <v>284.815</v>
      </c>
      <c r="CO16">
        <v>103.152</v>
      </c>
      <c r="CP16">
        <v>81.451999999999998</v>
      </c>
      <c r="CQ16">
        <v>213.27500000000001</v>
      </c>
      <c r="CR16">
        <v>109.727</v>
      </c>
      <c r="DF16" t="s">
        <v>78</v>
      </c>
      <c r="DG16">
        <v>211</v>
      </c>
      <c r="DH16">
        <v>1.92</v>
      </c>
      <c r="DM16" t="s">
        <v>979</v>
      </c>
      <c r="DN16">
        <v>70.057000000000002</v>
      </c>
      <c r="DO16">
        <v>114.15</v>
      </c>
      <c r="DP16">
        <v>127.08199999999999</v>
      </c>
      <c r="DQ16">
        <v>200.58699999999999</v>
      </c>
      <c r="DR16">
        <v>23.126999999999999</v>
      </c>
      <c r="DU16">
        <v>80.091999999999999</v>
      </c>
      <c r="DW16">
        <v>170.47300000000001</v>
      </c>
      <c r="DX16">
        <v>52.226999999999997</v>
      </c>
      <c r="DY16">
        <v>136.65</v>
      </c>
      <c r="EB16">
        <v>123.042</v>
      </c>
      <c r="EC16">
        <v>84.46</v>
      </c>
      <c r="EE16">
        <v>169.02199999999999</v>
      </c>
      <c r="EG16">
        <v>78.286000000000001</v>
      </c>
      <c r="EH16">
        <v>324.29700000000003</v>
      </c>
      <c r="EJ16">
        <v>312.065</v>
      </c>
      <c r="EK16">
        <v>314.07299999999998</v>
      </c>
      <c r="EL16">
        <v>58.030999999999999</v>
      </c>
      <c r="EM16">
        <v>49.97</v>
      </c>
      <c r="EN16">
        <v>289.84100000000001</v>
      </c>
      <c r="ER16">
        <v>67.209000000000003</v>
      </c>
      <c r="ES16">
        <v>139.042</v>
      </c>
      <c r="ET16">
        <v>159.90100000000001</v>
      </c>
      <c r="EU16">
        <v>153.946</v>
      </c>
      <c r="EV16">
        <v>151.339</v>
      </c>
      <c r="EW16">
        <v>113.372</v>
      </c>
      <c r="EX16">
        <v>96.784999999999997</v>
      </c>
      <c r="EY16">
        <v>398.57799999999997</v>
      </c>
      <c r="EZ16">
        <v>22.879000000000001</v>
      </c>
      <c r="FA16">
        <v>152.851</v>
      </c>
      <c r="FB16">
        <v>25.646000000000001</v>
      </c>
      <c r="FC16">
        <v>243.58600000000001</v>
      </c>
      <c r="FD16">
        <v>17.3</v>
      </c>
      <c r="FE16">
        <v>80.831000000000003</v>
      </c>
      <c r="FF16">
        <v>244.34100000000001</v>
      </c>
      <c r="FG16">
        <v>37.963000000000001</v>
      </c>
      <c r="FI16" s="1" t="s">
        <v>980</v>
      </c>
      <c r="FJ16" t="s">
        <v>981</v>
      </c>
      <c r="FK16" t="s">
        <v>8</v>
      </c>
      <c r="FL16" t="s">
        <v>971</v>
      </c>
      <c r="FN16" s="43" t="s">
        <v>974</v>
      </c>
      <c r="FO16" s="43"/>
      <c r="FP16" s="43"/>
      <c r="FS16" t="s">
        <v>410</v>
      </c>
      <c r="FT16">
        <v>163</v>
      </c>
      <c r="FU16">
        <v>1.56</v>
      </c>
      <c r="GB16">
        <v>60</v>
      </c>
      <c r="GD16">
        <v>4</v>
      </c>
      <c r="GE16">
        <v>10</v>
      </c>
      <c r="GG16">
        <v>2</v>
      </c>
      <c r="GH16">
        <v>16</v>
      </c>
      <c r="GI16">
        <v>16</v>
      </c>
      <c r="GJ16">
        <v>3</v>
      </c>
      <c r="GK16">
        <v>21</v>
      </c>
      <c r="GN16">
        <v>16</v>
      </c>
      <c r="GO16">
        <v>3</v>
      </c>
      <c r="GQ16">
        <v>19</v>
      </c>
      <c r="GR16">
        <v>25</v>
      </c>
      <c r="GS16">
        <v>14</v>
      </c>
      <c r="GT16">
        <v>15</v>
      </c>
      <c r="GU16">
        <v>14</v>
      </c>
      <c r="GV16">
        <v>1</v>
      </c>
      <c r="GW16">
        <v>7</v>
      </c>
      <c r="GX16">
        <v>17</v>
      </c>
      <c r="GY16">
        <v>13</v>
      </c>
      <c r="GZ16">
        <v>18</v>
      </c>
      <c r="HA16">
        <v>14</v>
      </c>
      <c r="HB16">
        <v>14</v>
      </c>
      <c r="HC16">
        <v>16</v>
      </c>
      <c r="HD16">
        <v>21</v>
      </c>
      <c r="HG16">
        <v>60</v>
      </c>
      <c r="HH16">
        <v>9</v>
      </c>
      <c r="HI16">
        <v>13</v>
      </c>
      <c r="HJ16">
        <v>15</v>
      </c>
      <c r="HK16">
        <v>6</v>
      </c>
      <c r="HL16">
        <v>18</v>
      </c>
      <c r="HM16">
        <v>18</v>
      </c>
      <c r="HN16">
        <v>14</v>
      </c>
      <c r="HO16">
        <v>18</v>
      </c>
      <c r="HP16">
        <v>13</v>
      </c>
      <c r="HQ16">
        <v>14</v>
      </c>
      <c r="HR16">
        <v>12</v>
      </c>
      <c r="HS16">
        <v>14</v>
      </c>
      <c r="HT16">
        <v>11</v>
      </c>
      <c r="HU16">
        <v>10</v>
      </c>
      <c r="HV16">
        <v>13</v>
      </c>
      <c r="HY16">
        <v>60</v>
      </c>
      <c r="HZ16">
        <v>24</v>
      </c>
      <c r="IA16">
        <v>5</v>
      </c>
      <c r="IB16">
        <v>7</v>
      </c>
      <c r="IC16">
        <v>15</v>
      </c>
      <c r="ID16">
        <v>15</v>
      </c>
      <c r="IE16">
        <v>11</v>
      </c>
      <c r="IF16">
        <v>20</v>
      </c>
      <c r="IG16">
        <v>21</v>
      </c>
      <c r="IH16">
        <v>6</v>
      </c>
      <c r="II16">
        <v>11</v>
      </c>
      <c r="IJ16">
        <v>16</v>
      </c>
      <c r="IK16">
        <v>19</v>
      </c>
      <c r="IL16">
        <v>7</v>
      </c>
      <c r="IM16">
        <v>13</v>
      </c>
      <c r="IN16">
        <v>2</v>
      </c>
    </row>
    <row r="17" spans="1:249" ht="13.15" x14ac:dyDescent="0.4">
      <c r="A17" t="s">
        <v>982</v>
      </c>
      <c r="B17">
        <v>32.709000000000003</v>
      </c>
      <c r="C17" s="8">
        <v>24.081</v>
      </c>
      <c r="D17" s="8">
        <v>70.843999999999994</v>
      </c>
      <c r="E17" s="8"/>
      <c r="F17" s="8">
        <v>35.549999999999997</v>
      </c>
      <c r="G17">
        <v>30.584</v>
      </c>
      <c r="I17">
        <v>40.417000000000002</v>
      </c>
      <c r="J17">
        <v>52.061999999999998</v>
      </c>
      <c r="K17">
        <v>51.33</v>
      </c>
      <c r="M17">
        <v>76.277000000000001</v>
      </c>
      <c r="N17">
        <v>146.84200000000001</v>
      </c>
      <c r="O17" s="2">
        <v>36.277000000000001</v>
      </c>
      <c r="P17">
        <v>53.582000000000001</v>
      </c>
      <c r="Q17">
        <v>20.957999999999998</v>
      </c>
      <c r="R17">
        <v>27.212</v>
      </c>
      <c r="T17">
        <v>49.021999999999998</v>
      </c>
      <c r="U17">
        <v>55.8</v>
      </c>
      <c r="V17" s="2">
        <v>32.048000000000002</v>
      </c>
      <c r="W17">
        <v>53.408999999999999</v>
      </c>
      <c r="X17">
        <v>123.72199999999999</v>
      </c>
      <c r="Y17">
        <v>92.537000000000006</v>
      </c>
      <c r="Z17">
        <v>116.827</v>
      </c>
      <c r="AA17">
        <v>51.911000000000001</v>
      </c>
      <c r="AB17">
        <v>95.879000000000005</v>
      </c>
      <c r="AD17">
        <v>57.712000000000003</v>
      </c>
      <c r="AE17">
        <v>97.685000000000002</v>
      </c>
      <c r="AF17">
        <v>99.13</v>
      </c>
      <c r="AG17">
        <v>162.64599999999999</v>
      </c>
      <c r="AI17">
        <v>77.549000000000007</v>
      </c>
      <c r="AJ17">
        <v>141.15600000000001</v>
      </c>
      <c r="AK17">
        <v>164.523</v>
      </c>
      <c r="AM17">
        <v>82.983000000000004</v>
      </c>
      <c r="AN17">
        <v>54.03</v>
      </c>
      <c r="AO17">
        <v>23.079000000000001</v>
      </c>
      <c r="AS17">
        <f>AQ41</f>
        <v>1088</v>
      </c>
      <c r="AT17">
        <v>43</v>
      </c>
      <c r="AU17">
        <f>Supplementary_Fig5!AT17*100/Supplementary_Fig5!AS17</f>
        <v>3.9522058823529411</v>
      </c>
      <c r="BD17" t="s">
        <v>71</v>
      </c>
      <c r="BE17">
        <v>108.25</v>
      </c>
      <c r="BF17">
        <v>1.25</v>
      </c>
      <c r="BK17" t="s">
        <v>982</v>
      </c>
      <c r="BL17">
        <v>85.504999999999995</v>
      </c>
      <c r="BM17">
        <v>54.317999999999998</v>
      </c>
      <c r="BN17">
        <v>82.448999999999998</v>
      </c>
      <c r="BO17">
        <v>49.435000000000002</v>
      </c>
      <c r="BP17">
        <v>119.467</v>
      </c>
      <c r="BR17">
        <v>89.951999999999998</v>
      </c>
      <c r="BS17">
        <v>53.085000000000001</v>
      </c>
      <c r="BT17">
        <v>34.008000000000003</v>
      </c>
      <c r="BV17">
        <v>50.585999999999999</v>
      </c>
      <c r="BW17">
        <v>22.027999999999999</v>
      </c>
      <c r="BX17">
        <v>43.966999999999999</v>
      </c>
      <c r="BZ17">
        <v>62.738999999999997</v>
      </c>
      <c r="CB17">
        <v>83.617999999999995</v>
      </c>
      <c r="CC17">
        <v>204.41</v>
      </c>
      <c r="CD17">
        <v>138.17400000000001</v>
      </c>
      <c r="CE17">
        <v>54.872999999999998</v>
      </c>
      <c r="CF17">
        <v>123.31399999999999</v>
      </c>
      <c r="CG17">
        <v>79.777000000000001</v>
      </c>
      <c r="CH17">
        <v>66.599999999999994</v>
      </c>
      <c r="CK17">
        <v>77.605000000000004</v>
      </c>
      <c r="CN17">
        <v>56.771999999999998</v>
      </c>
      <c r="CO17">
        <v>172.649</v>
      </c>
      <c r="CP17">
        <v>28.346</v>
      </c>
      <c r="CQ17">
        <v>34.136000000000003</v>
      </c>
      <c r="CR17">
        <v>84.313000000000002</v>
      </c>
      <c r="CU17" s="1" t="s">
        <v>969</v>
      </c>
      <c r="CV17" t="s">
        <v>970</v>
      </c>
      <c r="CW17" t="s">
        <v>8</v>
      </c>
      <c r="CX17" t="s">
        <v>971</v>
      </c>
      <c r="CY17" s="22"/>
      <c r="CZ17" s="22"/>
      <c r="DA17" s="22"/>
      <c r="DB17" s="22"/>
      <c r="DF17" t="s">
        <v>80</v>
      </c>
      <c r="DG17">
        <v>99</v>
      </c>
      <c r="DH17">
        <v>3.34</v>
      </c>
      <c r="DM17" t="s">
        <v>982</v>
      </c>
      <c r="DO17">
        <v>104.717</v>
      </c>
      <c r="DP17">
        <v>39.814</v>
      </c>
      <c r="DR17">
        <v>16.413</v>
      </c>
      <c r="DT17">
        <v>36.036000000000001</v>
      </c>
      <c r="DV17">
        <v>47.95</v>
      </c>
      <c r="DW17">
        <v>35.606999999999999</v>
      </c>
      <c r="DY17">
        <v>87.278999999999996</v>
      </c>
      <c r="DZ17">
        <v>102.89100000000001</v>
      </c>
      <c r="EB17">
        <v>146.26</v>
      </c>
      <c r="EC17">
        <v>121.05200000000001</v>
      </c>
      <c r="EH17">
        <v>61.027999999999999</v>
      </c>
      <c r="EJ17">
        <v>50.031999999999996</v>
      </c>
      <c r="EK17">
        <v>59.485999999999997</v>
      </c>
      <c r="EL17">
        <v>107.36</v>
      </c>
      <c r="EM17">
        <v>63.643999999999998</v>
      </c>
      <c r="EN17">
        <v>71.391000000000005</v>
      </c>
      <c r="ER17">
        <v>77.489999999999995</v>
      </c>
      <c r="ES17">
        <v>146.39599999999999</v>
      </c>
      <c r="ET17" s="2">
        <v>87.521000000000001</v>
      </c>
      <c r="EU17">
        <v>146.60900000000001</v>
      </c>
      <c r="EV17">
        <v>196.86699999999999</v>
      </c>
      <c r="EW17">
        <v>229.77</v>
      </c>
      <c r="EX17">
        <v>26.518999999999998</v>
      </c>
      <c r="EY17">
        <v>56.691000000000003</v>
      </c>
      <c r="EZ17">
        <v>92.974999999999994</v>
      </c>
      <c r="FA17">
        <v>208.15799999999999</v>
      </c>
      <c r="FB17">
        <v>42.036000000000001</v>
      </c>
      <c r="FC17">
        <v>37.872999999999998</v>
      </c>
      <c r="FD17">
        <v>107.705</v>
      </c>
      <c r="FE17">
        <v>88.537999999999997</v>
      </c>
      <c r="FF17">
        <v>30.167999999999999</v>
      </c>
      <c r="FG17">
        <v>38.674999999999997</v>
      </c>
      <c r="FJ17">
        <v>369</v>
      </c>
      <c r="FK17">
        <v>2</v>
      </c>
      <c r="FL17">
        <f>Supplementary_Fig5!FK17*100/Supplementary_Fig5!FJ17</f>
        <v>0.54200542005420049</v>
      </c>
      <c r="FN17" t="s">
        <v>981</v>
      </c>
      <c r="FO17" t="s">
        <v>8</v>
      </c>
      <c r="FP17" t="s">
        <v>971</v>
      </c>
      <c r="FS17" t="s">
        <v>424</v>
      </c>
      <c r="FT17">
        <v>55.4</v>
      </c>
      <c r="FU17">
        <v>2.27</v>
      </c>
      <c r="GB17">
        <v>65</v>
      </c>
      <c r="GD17">
        <v>4</v>
      </c>
      <c r="GE17">
        <v>9</v>
      </c>
      <c r="GG17">
        <v>2</v>
      </c>
      <c r="GH17">
        <v>23</v>
      </c>
      <c r="GI17">
        <v>18</v>
      </c>
      <c r="GJ17">
        <v>3</v>
      </c>
      <c r="GK17">
        <v>22</v>
      </c>
      <c r="GN17">
        <v>17</v>
      </c>
      <c r="GO17">
        <v>3</v>
      </c>
      <c r="GQ17">
        <v>22</v>
      </c>
      <c r="GR17">
        <v>29</v>
      </c>
      <c r="GS17">
        <v>15</v>
      </c>
      <c r="GT17">
        <v>18</v>
      </c>
      <c r="GU17">
        <v>17</v>
      </c>
      <c r="GV17">
        <v>1</v>
      </c>
      <c r="GW17">
        <v>7</v>
      </c>
      <c r="GX17">
        <v>15</v>
      </c>
      <c r="GY17">
        <v>13</v>
      </c>
      <c r="GZ17">
        <v>17</v>
      </c>
      <c r="HA17">
        <v>12</v>
      </c>
      <c r="HB17">
        <v>14</v>
      </c>
      <c r="HC17">
        <v>19</v>
      </c>
      <c r="HD17">
        <v>23</v>
      </c>
      <c r="HG17">
        <v>65</v>
      </c>
      <c r="HH17">
        <v>9</v>
      </c>
      <c r="HI17">
        <v>13</v>
      </c>
      <c r="HJ17">
        <v>17</v>
      </c>
      <c r="HK17">
        <v>7</v>
      </c>
      <c r="HL17">
        <v>18</v>
      </c>
      <c r="HM17">
        <v>20</v>
      </c>
      <c r="HN17">
        <v>15</v>
      </c>
      <c r="HO17">
        <v>18</v>
      </c>
      <c r="HP17">
        <v>13</v>
      </c>
      <c r="HQ17">
        <v>15</v>
      </c>
      <c r="HR17">
        <v>13</v>
      </c>
      <c r="HS17">
        <v>16</v>
      </c>
      <c r="HT17">
        <v>13</v>
      </c>
      <c r="HU17">
        <v>14</v>
      </c>
      <c r="HV17">
        <v>12</v>
      </c>
      <c r="HY17">
        <v>65</v>
      </c>
      <c r="HZ17">
        <v>26</v>
      </c>
      <c r="IA17">
        <v>5</v>
      </c>
      <c r="IB17">
        <v>7</v>
      </c>
      <c r="IC17">
        <v>15</v>
      </c>
      <c r="ID17">
        <v>17</v>
      </c>
      <c r="IE17">
        <v>11</v>
      </c>
      <c r="IF17">
        <v>23</v>
      </c>
      <c r="IG17">
        <v>22</v>
      </c>
      <c r="IH17">
        <v>7</v>
      </c>
      <c r="II17">
        <v>12</v>
      </c>
      <c r="IJ17">
        <v>17</v>
      </c>
      <c r="IK17">
        <v>20</v>
      </c>
      <c r="IL17">
        <v>7</v>
      </c>
      <c r="IM17">
        <v>14</v>
      </c>
      <c r="IN17">
        <v>2</v>
      </c>
    </row>
    <row r="18" spans="1:249" ht="13.15" x14ac:dyDescent="0.4">
      <c r="A18" t="s">
        <v>983</v>
      </c>
      <c r="B18">
        <v>170.94900000000001</v>
      </c>
      <c r="C18" s="8">
        <v>146.96299999999999</v>
      </c>
      <c r="D18" s="8">
        <v>144.25899999999999</v>
      </c>
      <c r="E18" s="8">
        <v>261.92200000000003</v>
      </c>
      <c r="F18" s="8">
        <v>140.572</v>
      </c>
      <c r="G18">
        <v>170.54599999999999</v>
      </c>
      <c r="I18">
        <v>178.935</v>
      </c>
      <c r="J18">
        <v>135.11099999999999</v>
      </c>
      <c r="K18">
        <v>153.624</v>
      </c>
      <c r="M18">
        <v>105.53400000000001</v>
      </c>
      <c r="N18">
        <v>171.75200000000001</v>
      </c>
      <c r="O18">
        <v>166.86500000000001</v>
      </c>
      <c r="P18">
        <v>101.056</v>
      </c>
      <c r="Q18">
        <v>171.358</v>
      </c>
      <c r="T18">
        <v>69.634</v>
      </c>
      <c r="U18">
        <v>209.43100000000001</v>
      </c>
      <c r="X18" s="2">
        <v>233.44300000000001</v>
      </c>
      <c r="Y18">
        <v>132.149</v>
      </c>
      <c r="Z18" s="8">
        <v>81.436999999999998</v>
      </c>
      <c r="AA18">
        <v>104.48099999999999</v>
      </c>
      <c r="AB18" s="2">
        <v>118.328</v>
      </c>
      <c r="AC18" s="2">
        <v>122.819</v>
      </c>
      <c r="AD18">
        <v>64.807000000000002</v>
      </c>
      <c r="AE18">
        <v>145.70099999999999</v>
      </c>
      <c r="AF18">
        <v>100.066</v>
      </c>
      <c r="AG18">
        <v>95.933000000000007</v>
      </c>
      <c r="AI18">
        <v>89.965999999999994</v>
      </c>
      <c r="AJ18">
        <v>228.52699999999999</v>
      </c>
      <c r="AK18">
        <v>137.874</v>
      </c>
      <c r="AM18">
        <v>103.325</v>
      </c>
      <c r="AN18">
        <v>113.629</v>
      </c>
      <c r="AO18">
        <v>52.744999999999997</v>
      </c>
      <c r="AR18" s="1" t="s">
        <v>980</v>
      </c>
      <c r="AS18" t="s">
        <v>981</v>
      </c>
      <c r="AT18" t="s">
        <v>8</v>
      </c>
      <c r="AU18" t="s">
        <v>971</v>
      </c>
      <c r="BD18" t="s">
        <v>74</v>
      </c>
      <c r="BE18">
        <v>130.773</v>
      </c>
      <c r="BF18">
        <v>1.02</v>
      </c>
      <c r="BK18" t="s">
        <v>983</v>
      </c>
      <c r="BL18">
        <v>131.077</v>
      </c>
      <c r="BN18">
        <v>119.315</v>
      </c>
      <c r="BO18">
        <v>57.158999999999999</v>
      </c>
      <c r="BP18">
        <v>167.85900000000001</v>
      </c>
      <c r="BQ18">
        <v>93.769000000000005</v>
      </c>
      <c r="BR18">
        <v>134.09700000000001</v>
      </c>
      <c r="BS18">
        <v>79.825000000000003</v>
      </c>
      <c r="BT18">
        <v>62.564</v>
      </c>
      <c r="BV18">
        <v>84.23</v>
      </c>
      <c r="BW18">
        <v>128.94900000000001</v>
      </c>
      <c r="BX18">
        <v>39.01</v>
      </c>
      <c r="BZ18">
        <v>128.78</v>
      </c>
      <c r="CA18">
        <v>122.60899999999999</v>
      </c>
      <c r="CB18">
        <v>105.617</v>
      </c>
      <c r="CD18">
        <v>85.411000000000001</v>
      </c>
      <c r="CE18">
        <v>34.795000000000002</v>
      </c>
      <c r="CF18">
        <v>63.548000000000002</v>
      </c>
      <c r="CG18">
        <v>131.64599999999999</v>
      </c>
      <c r="CH18">
        <v>48.485999999999997</v>
      </c>
      <c r="CI18">
        <v>121.88500000000001</v>
      </c>
      <c r="CK18">
        <v>239.654</v>
      </c>
      <c r="CN18">
        <v>124.00700000000001</v>
      </c>
      <c r="CO18">
        <v>228.874</v>
      </c>
      <c r="CP18">
        <v>76.12</v>
      </c>
      <c r="CQ18">
        <v>185.155</v>
      </c>
      <c r="CV18">
        <v>39</v>
      </c>
      <c r="CW18">
        <f>CS7</f>
        <v>0</v>
      </c>
      <c r="CX18">
        <f>CW18*100/CV18</f>
        <v>0</v>
      </c>
      <c r="CY18" s="22"/>
      <c r="CZ18" s="22"/>
      <c r="DA18" s="22"/>
      <c r="DB18" s="22"/>
      <c r="DF18" t="s">
        <v>873</v>
      </c>
      <c r="DG18">
        <v>122</v>
      </c>
      <c r="DH18">
        <v>3.45</v>
      </c>
      <c r="DM18" t="s">
        <v>983</v>
      </c>
      <c r="DO18">
        <v>74.838999999999999</v>
      </c>
      <c r="DP18">
        <v>86.012</v>
      </c>
      <c r="DQ18">
        <v>123.51600000000001</v>
      </c>
      <c r="DR18">
        <v>109.52</v>
      </c>
      <c r="DS18">
        <v>222.91200000000001</v>
      </c>
      <c r="DT18">
        <v>93.036000000000001</v>
      </c>
      <c r="DW18">
        <v>169.33099999999999</v>
      </c>
      <c r="DY18">
        <v>219.477</v>
      </c>
      <c r="DZ18">
        <v>103.586</v>
      </c>
      <c r="EB18">
        <v>31.878</v>
      </c>
      <c r="EC18">
        <v>133.69800000000001</v>
      </c>
      <c r="EH18">
        <v>81.087999999999994</v>
      </c>
      <c r="EJ18">
        <v>177.696</v>
      </c>
      <c r="EK18">
        <v>119.127</v>
      </c>
      <c r="EL18">
        <v>49.243000000000002</v>
      </c>
      <c r="EM18">
        <v>38.609000000000002</v>
      </c>
      <c r="EN18">
        <v>93.46</v>
      </c>
      <c r="ER18">
        <v>74.27</v>
      </c>
      <c r="ES18">
        <v>165.399</v>
      </c>
      <c r="ET18">
        <v>146.029</v>
      </c>
      <c r="EU18">
        <v>210.054</v>
      </c>
      <c r="EV18">
        <v>237.84899999999999</v>
      </c>
      <c r="EW18" s="2">
        <v>162.74299999999999</v>
      </c>
      <c r="EX18">
        <v>91.71</v>
      </c>
      <c r="EY18">
        <v>167.84100000000001</v>
      </c>
      <c r="EZ18">
        <v>74.563999999999993</v>
      </c>
      <c r="FA18">
        <v>262.77600000000001</v>
      </c>
      <c r="FB18">
        <v>22.943000000000001</v>
      </c>
      <c r="FC18">
        <v>74.683999999999997</v>
      </c>
      <c r="FD18">
        <v>104.28400000000001</v>
      </c>
      <c r="FE18">
        <v>121.14700000000001</v>
      </c>
      <c r="FF18">
        <v>69.998999999999995</v>
      </c>
      <c r="FG18">
        <v>106.134</v>
      </c>
      <c r="FN18" s="22">
        <f>FJ13+FJ15</f>
        <v>1403</v>
      </c>
      <c r="FO18" s="22">
        <f>Supplementary_Fig5!FK15+Supplementary_Fig5!FK13</f>
        <v>16</v>
      </c>
      <c r="FP18" s="22">
        <f>Supplementary_Fig5!FO18*100/Supplementary_Fig5!FN18</f>
        <v>1.1404133998574484</v>
      </c>
      <c r="FS18" t="s">
        <v>420</v>
      </c>
      <c r="FT18">
        <v>55.4</v>
      </c>
      <c r="FU18">
        <v>3.37</v>
      </c>
      <c r="GB18">
        <v>70</v>
      </c>
      <c r="GC18">
        <v>2</v>
      </c>
      <c r="GD18">
        <v>3</v>
      </c>
      <c r="GE18">
        <v>9</v>
      </c>
      <c r="GG18">
        <v>1</v>
      </c>
      <c r="GH18">
        <v>21</v>
      </c>
      <c r="GI18">
        <v>18</v>
      </c>
      <c r="GJ18">
        <v>3</v>
      </c>
      <c r="GK18">
        <v>23</v>
      </c>
      <c r="GN18">
        <v>21</v>
      </c>
      <c r="GO18">
        <v>5</v>
      </c>
      <c r="GQ18">
        <v>23</v>
      </c>
      <c r="GR18">
        <v>31</v>
      </c>
      <c r="GS18">
        <v>15</v>
      </c>
      <c r="GT18">
        <v>21</v>
      </c>
      <c r="GU18">
        <v>17</v>
      </c>
      <c r="GV18">
        <v>1</v>
      </c>
      <c r="GW18">
        <v>6</v>
      </c>
      <c r="GX18">
        <v>18</v>
      </c>
      <c r="GY18">
        <v>12</v>
      </c>
      <c r="GZ18">
        <v>18</v>
      </c>
      <c r="HA18">
        <v>12</v>
      </c>
      <c r="HB18">
        <v>14</v>
      </c>
      <c r="HC18">
        <v>18</v>
      </c>
      <c r="HD18">
        <v>22</v>
      </c>
      <c r="HG18">
        <v>70</v>
      </c>
      <c r="HH18">
        <v>9</v>
      </c>
      <c r="HI18">
        <v>15</v>
      </c>
      <c r="HJ18">
        <v>18</v>
      </c>
      <c r="HK18">
        <v>7</v>
      </c>
      <c r="HL18">
        <v>22</v>
      </c>
      <c r="HM18">
        <v>23</v>
      </c>
      <c r="HN18">
        <v>17</v>
      </c>
      <c r="HO18">
        <v>18</v>
      </c>
      <c r="HP18">
        <v>12</v>
      </c>
      <c r="HQ18">
        <v>14</v>
      </c>
      <c r="HR18">
        <v>13</v>
      </c>
      <c r="HS18">
        <v>17</v>
      </c>
      <c r="HT18">
        <v>14</v>
      </c>
      <c r="HU18">
        <v>11</v>
      </c>
      <c r="HV18">
        <v>13</v>
      </c>
      <c r="HY18">
        <v>70</v>
      </c>
      <c r="HZ18">
        <v>27</v>
      </c>
      <c r="IA18">
        <v>6</v>
      </c>
      <c r="IB18">
        <v>6</v>
      </c>
      <c r="IC18">
        <v>18</v>
      </c>
      <c r="ID18">
        <v>17</v>
      </c>
      <c r="IE18">
        <v>12</v>
      </c>
      <c r="IF18">
        <v>24</v>
      </c>
      <c r="IG18">
        <v>21</v>
      </c>
      <c r="IH18">
        <v>9</v>
      </c>
      <c r="II18">
        <v>12</v>
      </c>
      <c r="IJ18">
        <v>19</v>
      </c>
      <c r="IK18">
        <v>22</v>
      </c>
      <c r="IL18">
        <v>9</v>
      </c>
      <c r="IM18">
        <v>19</v>
      </c>
      <c r="IN18">
        <v>2</v>
      </c>
    </row>
    <row r="19" spans="1:249" ht="13.15" x14ac:dyDescent="0.4">
      <c r="A19" t="s">
        <v>984</v>
      </c>
      <c r="B19">
        <v>142.76400000000001</v>
      </c>
      <c r="C19" s="8"/>
      <c r="D19" s="8">
        <v>114.69</v>
      </c>
      <c r="E19" s="8"/>
      <c r="F19" s="8">
        <v>113.095</v>
      </c>
      <c r="G19">
        <v>192.47900000000001</v>
      </c>
      <c r="I19">
        <v>341.21199999999999</v>
      </c>
      <c r="J19">
        <v>240.279</v>
      </c>
      <c r="M19">
        <v>235.36</v>
      </c>
      <c r="O19" s="8">
        <v>307.13499999999999</v>
      </c>
      <c r="P19">
        <v>246.16200000000001</v>
      </c>
      <c r="Q19">
        <v>187.352</v>
      </c>
      <c r="R19">
        <v>251.749</v>
      </c>
      <c r="T19">
        <v>115.79300000000001</v>
      </c>
      <c r="U19">
        <v>341.17700000000002</v>
      </c>
      <c r="V19">
        <v>152.697</v>
      </c>
      <c r="W19">
        <v>223.60499999999999</v>
      </c>
      <c r="X19">
        <v>353.209</v>
      </c>
      <c r="Y19">
        <v>274.19600000000003</v>
      </c>
      <c r="Z19">
        <v>303.959</v>
      </c>
      <c r="AA19">
        <v>242.94200000000001</v>
      </c>
      <c r="AB19">
        <v>237.61</v>
      </c>
      <c r="AC19" s="8">
        <v>251.56299999999999</v>
      </c>
      <c r="AD19">
        <v>180.666</v>
      </c>
      <c r="AE19">
        <v>194.69300000000001</v>
      </c>
      <c r="AF19">
        <v>268.37400000000002</v>
      </c>
      <c r="AI19">
        <v>122.098</v>
      </c>
      <c r="AJ19">
        <v>53.784999999999997</v>
      </c>
      <c r="AK19">
        <v>76.350999999999999</v>
      </c>
      <c r="AM19">
        <v>32.912999999999997</v>
      </c>
      <c r="AN19">
        <v>186.57599999999999</v>
      </c>
      <c r="AO19">
        <v>53.215000000000003</v>
      </c>
      <c r="AS19">
        <f>AQ42</f>
        <v>271</v>
      </c>
      <c r="AT19">
        <v>7</v>
      </c>
      <c r="AU19">
        <f>Supplementary_Fig5!AT19*100/Supplementary_Fig5!AS19</f>
        <v>2.5830258302583027</v>
      </c>
      <c r="BD19" t="s">
        <v>81</v>
      </c>
      <c r="BE19">
        <v>257.04399999999998</v>
      </c>
      <c r="BF19">
        <v>2.2400000000000002</v>
      </c>
      <c r="BK19" t="s">
        <v>984</v>
      </c>
      <c r="BL19">
        <v>283.80599999999998</v>
      </c>
      <c r="BM19" s="2">
        <v>170.589</v>
      </c>
      <c r="BN19">
        <v>271.43200000000002</v>
      </c>
      <c r="BO19">
        <v>136.43299999999999</v>
      </c>
      <c r="BP19">
        <v>243.25800000000001</v>
      </c>
      <c r="BQ19">
        <v>164.32300000000001</v>
      </c>
      <c r="BR19">
        <v>267.38900000000001</v>
      </c>
      <c r="BS19">
        <v>179.48400000000001</v>
      </c>
      <c r="BT19">
        <v>127.622</v>
      </c>
      <c r="BV19">
        <v>181.54900000000001</v>
      </c>
      <c r="BW19">
        <v>228.42599999999999</v>
      </c>
      <c r="BZ19">
        <v>266.61700000000002</v>
      </c>
      <c r="CA19">
        <v>248.828</v>
      </c>
      <c r="CB19">
        <v>315.55700000000002</v>
      </c>
      <c r="CC19">
        <v>429.30200000000002</v>
      </c>
      <c r="CE19">
        <v>199.607</v>
      </c>
      <c r="CF19">
        <v>326.13600000000002</v>
      </c>
      <c r="CG19">
        <v>52.457999999999998</v>
      </c>
      <c r="CI19">
        <v>254.565</v>
      </c>
      <c r="CK19">
        <v>369.89299999999997</v>
      </c>
      <c r="CN19">
        <v>137.61699999999999</v>
      </c>
      <c r="CO19">
        <v>64.686000000000007</v>
      </c>
      <c r="CP19">
        <v>255.684</v>
      </c>
      <c r="CQ19">
        <v>252.113</v>
      </c>
      <c r="CR19">
        <v>299.84500000000003</v>
      </c>
      <c r="CU19" s="1" t="s">
        <v>975</v>
      </c>
      <c r="CV19" t="s">
        <v>976</v>
      </c>
      <c r="CW19" t="s">
        <v>8</v>
      </c>
      <c r="CX19" t="s">
        <v>971</v>
      </c>
      <c r="CY19" s="22"/>
      <c r="CZ19" s="22"/>
      <c r="DA19" s="22"/>
      <c r="DB19" s="22"/>
      <c r="DF19" t="s">
        <v>82</v>
      </c>
      <c r="DG19">
        <v>209</v>
      </c>
      <c r="DH19">
        <v>2.35</v>
      </c>
      <c r="DM19" t="s">
        <v>984</v>
      </c>
      <c r="DO19">
        <v>246.541</v>
      </c>
      <c r="DP19">
        <v>201.709</v>
      </c>
      <c r="DQ19">
        <v>162.93799999999999</v>
      </c>
      <c r="DR19">
        <v>227.16300000000001</v>
      </c>
      <c r="DS19">
        <v>240.19399999999999</v>
      </c>
      <c r="DT19">
        <v>192.45</v>
      </c>
      <c r="DV19">
        <v>229</v>
      </c>
      <c r="DW19">
        <v>302.15199999999999</v>
      </c>
      <c r="DX19">
        <v>196.286</v>
      </c>
      <c r="DY19">
        <v>340.04300000000001</v>
      </c>
      <c r="DZ19">
        <v>158.15899999999999</v>
      </c>
      <c r="EC19">
        <v>228.38399999999999</v>
      </c>
      <c r="EH19">
        <v>136.53200000000001</v>
      </c>
      <c r="EJ19">
        <v>200.83199999999999</v>
      </c>
      <c r="EK19">
        <v>146.709</v>
      </c>
      <c r="EN19">
        <v>119.009</v>
      </c>
      <c r="ES19">
        <v>123.703</v>
      </c>
      <c r="ET19">
        <v>389.35700000000003</v>
      </c>
      <c r="EU19">
        <v>296.791</v>
      </c>
      <c r="EV19">
        <v>48.241</v>
      </c>
      <c r="EW19">
        <v>340.85199999999998</v>
      </c>
      <c r="EX19" s="2">
        <v>253.65199999999999</v>
      </c>
      <c r="EY19">
        <v>343.83699999999999</v>
      </c>
      <c r="FA19">
        <v>56.220999999999997</v>
      </c>
      <c r="FC19">
        <v>111.413</v>
      </c>
      <c r="FE19">
        <v>64.927000000000007</v>
      </c>
      <c r="FF19">
        <v>92.531999999999996</v>
      </c>
      <c r="FG19">
        <v>228.38399999999999</v>
      </c>
      <c r="FN19" s="22"/>
      <c r="FO19" s="22"/>
      <c r="FP19" s="22"/>
      <c r="GB19">
        <v>75</v>
      </c>
      <c r="GC19">
        <v>2</v>
      </c>
      <c r="GD19">
        <v>5</v>
      </c>
      <c r="GE19">
        <v>7</v>
      </c>
      <c r="GG19">
        <v>1</v>
      </c>
      <c r="GH19">
        <v>20</v>
      </c>
      <c r="GI19">
        <v>18</v>
      </c>
      <c r="GJ19">
        <v>3</v>
      </c>
      <c r="GK19">
        <v>25</v>
      </c>
      <c r="GN19">
        <v>18</v>
      </c>
      <c r="GO19">
        <v>5</v>
      </c>
      <c r="GQ19">
        <v>24</v>
      </c>
      <c r="GR19">
        <v>33</v>
      </c>
      <c r="GS19">
        <v>16</v>
      </c>
      <c r="GT19">
        <v>18</v>
      </c>
      <c r="GU19">
        <v>16</v>
      </c>
      <c r="GV19">
        <v>1</v>
      </c>
      <c r="GW19">
        <v>7</v>
      </c>
      <c r="GX19">
        <v>18</v>
      </c>
      <c r="GY19">
        <v>15</v>
      </c>
      <c r="GZ19">
        <v>16</v>
      </c>
      <c r="HA19">
        <v>11</v>
      </c>
      <c r="HB19">
        <v>12</v>
      </c>
      <c r="HC19">
        <v>23</v>
      </c>
      <c r="HD19">
        <v>20</v>
      </c>
      <c r="HG19">
        <v>75</v>
      </c>
      <c r="HH19">
        <v>9</v>
      </c>
      <c r="HI19">
        <v>17</v>
      </c>
      <c r="HJ19">
        <v>18</v>
      </c>
      <c r="HK19">
        <v>7</v>
      </c>
      <c r="HL19">
        <v>23</v>
      </c>
      <c r="HM19">
        <v>24</v>
      </c>
      <c r="HN19">
        <v>17</v>
      </c>
      <c r="HO19">
        <v>18</v>
      </c>
      <c r="HP19">
        <v>12</v>
      </c>
      <c r="HQ19">
        <v>12</v>
      </c>
      <c r="HR19">
        <v>17</v>
      </c>
      <c r="HS19">
        <v>17</v>
      </c>
      <c r="HT19">
        <v>12</v>
      </c>
      <c r="HU19">
        <v>16</v>
      </c>
      <c r="HV19">
        <v>12</v>
      </c>
      <c r="HY19">
        <v>75</v>
      </c>
      <c r="HZ19">
        <v>27</v>
      </c>
      <c r="IA19">
        <v>6</v>
      </c>
      <c r="IB19">
        <v>7</v>
      </c>
      <c r="IC19">
        <v>16</v>
      </c>
      <c r="ID19">
        <v>18</v>
      </c>
      <c r="IE19">
        <v>12</v>
      </c>
      <c r="IF19">
        <v>29</v>
      </c>
      <c r="IG19">
        <v>20</v>
      </c>
      <c r="IH19">
        <v>9</v>
      </c>
      <c r="II19">
        <v>12</v>
      </c>
      <c r="IJ19">
        <v>20</v>
      </c>
      <c r="IK19">
        <v>20</v>
      </c>
      <c r="IL19">
        <v>9</v>
      </c>
      <c r="IM19">
        <v>17</v>
      </c>
      <c r="IN19">
        <v>4</v>
      </c>
    </row>
    <row r="20" spans="1:249" x14ac:dyDescent="0.35">
      <c r="A20" t="s">
        <v>985</v>
      </c>
      <c r="B20">
        <v>204.02</v>
      </c>
      <c r="C20" s="8">
        <v>162.184</v>
      </c>
      <c r="D20" s="8">
        <v>160.16</v>
      </c>
      <c r="E20" s="8">
        <v>268.65600000000001</v>
      </c>
      <c r="F20" s="8">
        <v>158.33199999999999</v>
      </c>
      <c r="G20">
        <v>225.892</v>
      </c>
      <c r="I20">
        <v>280.20999999999998</v>
      </c>
      <c r="J20">
        <v>174.376</v>
      </c>
      <c r="K20">
        <v>204.20400000000001</v>
      </c>
      <c r="M20">
        <v>210.62899999999999</v>
      </c>
      <c r="N20">
        <v>249.60599999999999</v>
      </c>
      <c r="O20" s="8">
        <v>210.541</v>
      </c>
      <c r="P20">
        <v>158.941</v>
      </c>
      <c r="Q20">
        <v>235.20099999999999</v>
      </c>
      <c r="R20">
        <v>190.62700000000001</v>
      </c>
      <c r="T20">
        <v>120.32299999999999</v>
      </c>
      <c r="U20">
        <v>249.11500000000001</v>
      </c>
      <c r="W20">
        <v>147.64500000000001</v>
      </c>
      <c r="X20">
        <v>266.75099999999998</v>
      </c>
      <c r="Y20">
        <v>169.351</v>
      </c>
      <c r="Z20" s="2">
        <v>152.685</v>
      </c>
      <c r="AA20">
        <v>135.83799999999999</v>
      </c>
      <c r="AC20">
        <v>199.41900000000001</v>
      </c>
      <c r="AD20">
        <v>123.167</v>
      </c>
      <c r="AE20">
        <v>190.66</v>
      </c>
      <c r="AF20">
        <v>139.142</v>
      </c>
      <c r="AI20">
        <v>170.815</v>
      </c>
      <c r="AJ20">
        <v>49.445999999999998</v>
      </c>
      <c r="AK20">
        <v>121.45</v>
      </c>
      <c r="AM20">
        <v>67.313000000000002</v>
      </c>
      <c r="AO20">
        <v>120.72199999999999</v>
      </c>
      <c r="BD20" t="s">
        <v>89</v>
      </c>
      <c r="BE20">
        <v>133</v>
      </c>
      <c r="BF20">
        <v>2.37</v>
      </c>
      <c r="BK20" t="s">
        <v>985</v>
      </c>
      <c r="BL20">
        <v>173.511</v>
      </c>
      <c r="BM20">
        <v>102.399</v>
      </c>
      <c r="BN20">
        <v>170.88399999999999</v>
      </c>
      <c r="BO20">
        <v>106.324</v>
      </c>
      <c r="BR20">
        <v>160.16800000000001</v>
      </c>
      <c r="BS20">
        <v>92.900999999999996</v>
      </c>
      <c r="BT20">
        <v>74.313000000000002</v>
      </c>
      <c r="BV20">
        <v>106.753</v>
      </c>
      <c r="BW20">
        <v>147.078</v>
      </c>
      <c r="BX20">
        <v>104.14700000000001</v>
      </c>
      <c r="BZ20">
        <v>152.82300000000001</v>
      </c>
      <c r="CA20">
        <v>183.089</v>
      </c>
      <c r="CB20">
        <v>228.75</v>
      </c>
      <c r="CC20">
        <v>422.48599999999999</v>
      </c>
      <c r="CE20">
        <v>127.995</v>
      </c>
      <c r="CF20">
        <v>210.38800000000001</v>
      </c>
      <c r="CG20">
        <v>77.781000000000006</v>
      </c>
      <c r="CI20">
        <v>151.857</v>
      </c>
      <c r="CK20">
        <v>267.93799999999999</v>
      </c>
      <c r="CN20">
        <v>203.773</v>
      </c>
      <c r="CO20">
        <v>132.441</v>
      </c>
      <c r="CP20">
        <v>144.06399999999999</v>
      </c>
      <c r="CQ20">
        <v>211.08799999999999</v>
      </c>
      <c r="CR20">
        <v>198.22800000000001</v>
      </c>
      <c r="CV20">
        <v>1094</v>
      </c>
      <c r="CW20">
        <v>17</v>
      </c>
      <c r="CX20">
        <f>CW20*100/CV20</f>
        <v>1.5539305301645339</v>
      </c>
      <c r="CY20" s="22"/>
      <c r="CZ20" s="22"/>
      <c r="DA20" s="22"/>
      <c r="DB20" s="22"/>
      <c r="DM20" t="s">
        <v>985</v>
      </c>
      <c r="DO20">
        <v>156.233</v>
      </c>
      <c r="DP20">
        <v>151.88999999999999</v>
      </c>
      <c r="DQ20">
        <v>172.827</v>
      </c>
      <c r="DS20">
        <v>201.90199999999999</v>
      </c>
      <c r="DW20">
        <v>222.22499999999999</v>
      </c>
      <c r="DX20">
        <v>130.98500000000001</v>
      </c>
      <c r="DY20">
        <v>239.99700000000001</v>
      </c>
      <c r="EC20">
        <v>175.614</v>
      </c>
      <c r="EH20">
        <v>169.81</v>
      </c>
      <c r="EJ20">
        <v>246.95599999999999</v>
      </c>
      <c r="EK20">
        <v>210.285</v>
      </c>
      <c r="EN20">
        <v>229.04</v>
      </c>
      <c r="ES20">
        <v>129.73599999999999</v>
      </c>
      <c r="ET20">
        <v>197.18600000000001</v>
      </c>
      <c r="EU20">
        <v>255.63399999999999</v>
      </c>
      <c r="EV20">
        <v>88.299000000000007</v>
      </c>
      <c r="EW20">
        <v>206.143</v>
      </c>
      <c r="EX20">
        <v>201.428</v>
      </c>
      <c r="EY20">
        <v>341.06799999999998</v>
      </c>
      <c r="FA20">
        <v>111.143</v>
      </c>
      <c r="FC20">
        <v>155.78</v>
      </c>
      <c r="FE20">
        <v>59.28</v>
      </c>
      <c r="FF20">
        <v>129.916</v>
      </c>
      <c r="FG20">
        <v>154.63</v>
      </c>
      <c r="FJ20" t="s">
        <v>986</v>
      </c>
      <c r="FN20" s="22"/>
      <c r="FO20" s="22"/>
      <c r="FP20" s="22"/>
      <c r="GB20">
        <v>80</v>
      </c>
      <c r="GC20">
        <v>6</v>
      </c>
      <c r="GD20">
        <v>7</v>
      </c>
      <c r="GE20">
        <v>7</v>
      </c>
      <c r="GG20">
        <v>1</v>
      </c>
      <c r="GH20">
        <v>19</v>
      </c>
      <c r="GI20">
        <v>19</v>
      </c>
      <c r="GJ20">
        <v>2</v>
      </c>
      <c r="GK20">
        <v>23</v>
      </c>
      <c r="GN20">
        <v>21</v>
      </c>
      <c r="GO20">
        <v>5</v>
      </c>
      <c r="GQ20">
        <v>26</v>
      </c>
      <c r="GR20">
        <v>44</v>
      </c>
      <c r="GS20">
        <v>17</v>
      </c>
      <c r="GT20">
        <v>21</v>
      </c>
      <c r="GU20">
        <v>21</v>
      </c>
      <c r="GV20">
        <v>1</v>
      </c>
      <c r="GW20">
        <v>7</v>
      </c>
      <c r="GX20">
        <v>22</v>
      </c>
      <c r="GY20">
        <v>16</v>
      </c>
      <c r="GZ20">
        <v>20</v>
      </c>
      <c r="HA20">
        <v>10</v>
      </c>
      <c r="HB20">
        <v>12</v>
      </c>
      <c r="HC20">
        <v>26</v>
      </c>
      <c r="HD20">
        <v>19</v>
      </c>
      <c r="HG20">
        <v>80</v>
      </c>
      <c r="HH20">
        <v>8</v>
      </c>
      <c r="HI20">
        <v>17</v>
      </c>
      <c r="HJ20">
        <v>18</v>
      </c>
      <c r="HK20">
        <v>7</v>
      </c>
      <c r="HL20">
        <v>24</v>
      </c>
      <c r="HM20">
        <v>25</v>
      </c>
      <c r="HN20">
        <v>17</v>
      </c>
      <c r="HO20">
        <v>18</v>
      </c>
      <c r="HP20">
        <v>12</v>
      </c>
      <c r="HQ20">
        <v>11</v>
      </c>
      <c r="HR20">
        <v>18</v>
      </c>
      <c r="HS20">
        <v>17</v>
      </c>
      <c r="HT20">
        <v>10</v>
      </c>
      <c r="HU20">
        <v>14</v>
      </c>
      <c r="HV20">
        <v>11</v>
      </c>
      <c r="HY20">
        <v>80</v>
      </c>
      <c r="HZ20">
        <v>27</v>
      </c>
      <c r="IA20">
        <v>6</v>
      </c>
      <c r="IB20">
        <v>8</v>
      </c>
      <c r="IC20">
        <v>19</v>
      </c>
      <c r="ID20">
        <v>18</v>
      </c>
      <c r="IE20">
        <v>11</v>
      </c>
      <c r="IF20">
        <v>23</v>
      </c>
      <c r="IG20">
        <v>19</v>
      </c>
      <c r="IH20">
        <v>9</v>
      </c>
      <c r="II20">
        <v>12</v>
      </c>
      <c r="IJ20">
        <v>20</v>
      </c>
      <c r="IK20">
        <v>20</v>
      </c>
      <c r="IL20">
        <v>11</v>
      </c>
      <c r="IM20">
        <v>19</v>
      </c>
      <c r="IN20">
        <v>4</v>
      </c>
    </row>
    <row r="21" spans="1:249" ht="13.15" x14ac:dyDescent="0.4">
      <c r="A21" t="s">
        <v>987</v>
      </c>
      <c r="B21">
        <v>235.30099999999999</v>
      </c>
      <c r="C21" s="8">
        <v>200.773</v>
      </c>
      <c r="D21" s="8"/>
      <c r="E21" s="8">
        <v>292.11599999999999</v>
      </c>
      <c r="F21" s="8">
        <v>177.34899999999999</v>
      </c>
      <c r="G21">
        <v>309.46600000000001</v>
      </c>
      <c r="I21">
        <v>315.55700000000002</v>
      </c>
      <c r="J21" s="2">
        <v>243.27</v>
      </c>
      <c r="K21" s="2">
        <v>257.04399999999998</v>
      </c>
      <c r="M21">
        <v>229.12299999999999</v>
      </c>
      <c r="N21">
        <v>304.57</v>
      </c>
      <c r="O21" s="8">
        <v>280.92700000000002</v>
      </c>
      <c r="P21">
        <v>231.041</v>
      </c>
      <c r="Q21">
        <v>274.01400000000001</v>
      </c>
      <c r="R21">
        <v>202.75700000000001</v>
      </c>
      <c r="T21">
        <v>160.096</v>
      </c>
      <c r="V21">
        <v>181.626</v>
      </c>
      <c r="W21" s="2">
        <v>181.988</v>
      </c>
      <c r="X21">
        <v>368.435</v>
      </c>
      <c r="Y21">
        <v>184.262</v>
      </c>
      <c r="Z21">
        <v>210.667</v>
      </c>
      <c r="AA21">
        <v>178.74700000000001</v>
      </c>
      <c r="AB21">
        <v>244.69900000000001</v>
      </c>
      <c r="AD21">
        <v>155.30099999999999</v>
      </c>
      <c r="AF21">
        <v>182.12100000000001</v>
      </c>
      <c r="AG21" s="8"/>
      <c r="AI21">
        <v>205.16399999999999</v>
      </c>
      <c r="AJ21">
        <v>149.18199999999999</v>
      </c>
      <c r="AK21">
        <v>126.678</v>
      </c>
      <c r="AM21">
        <v>79.415999999999997</v>
      </c>
      <c r="AN21">
        <v>154.56</v>
      </c>
      <c r="AO21">
        <v>131.345</v>
      </c>
      <c r="BD21" t="s">
        <v>90</v>
      </c>
      <c r="BE21">
        <v>188</v>
      </c>
      <c r="BF21">
        <v>2.0699999999999998</v>
      </c>
      <c r="BK21" t="s">
        <v>987</v>
      </c>
      <c r="BL21">
        <v>257.32499999999999</v>
      </c>
      <c r="BM21">
        <v>151.13399999999999</v>
      </c>
      <c r="BN21">
        <v>185.607</v>
      </c>
      <c r="BO21">
        <v>139.376</v>
      </c>
      <c r="BP21">
        <v>232.84399999999999</v>
      </c>
      <c r="BQ21">
        <v>102.363</v>
      </c>
      <c r="BR21">
        <v>244.39699999999999</v>
      </c>
      <c r="BS21">
        <v>138.95099999999999</v>
      </c>
      <c r="BT21">
        <v>167.143</v>
      </c>
      <c r="BV21">
        <v>123.878</v>
      </c>
      <c r="BW21">
        <v>185.97900000000001</v>
      </c>
      <c r="BX21">
        <v>143.03700000000001</v>
      </c>
      <c r="BZ21">
        <v>205.495</v>
      </c>
      <c r="CA21">
        <v>306.81799999999998</v>
      </c>
      <c r="CB21">
        <v>273.20600000000002</v>
      </c>
      <c r="CE21">
        <v>139.53700000000001</v>
      </c>
      <c r="CF21">
        <v>262.58300000000003</v>
      </c>
      <c r="CG21">
        <v>109.33</v>
      </c>
      <c r="CI21">
        <v>248.67699999999999</v>
      </c>
      <c r="CK21">
        <v>287.88600000000002</v>
      </c>
      <c r="CN21">
        <v>212.41300000000001</v>
      </c>
      <c r="CO21">
        <v>190.43899999999999</v>
      </c>
      <c r="CP21">
        <v>166.47300000000001</v>
      </c>
      <c r="CQ21">
        <v>278.37900000000002</v>
      </c>
      <c r="CR21">
        <v>256.99200000000002</v>
      </c>
      <c r="CU21" s="1" t="s">
        <v>980</v>
      </c>
      <c r="CV21" t="s">
        <v>981</v>
      </c>
      <c r="CW21" t="s">
        <v>8</v>
      </c>
      <c r="CX21" t="s">
        <v>971</v>
      </c>
      <c r="CY21" s="22"/>
      <c r="CZ21" s="27" t="s">
        <v>974</v>
      </c>
      <c r="DA21" s="22"/>
      <c r="DB21" s="22"/>
      <c r="DM21" t="s">
        <v>987</v>
      </c>
      <c r="DO21">
        <v>223.012</v>
      </c>
      <c r="DP21">
        <v>208.58</v>
      </c>
      <c r="DQ21">
        <v>228.09899999999999</v>
      </c>
      <c r="DR21">
        <v>203.34899999999999</v>
      </c>
      <c r="DS21">
        <v>220.989</v>
      </c>
      <c r="DW21">
        <v>249.316</v>
      </c>
      <c r="DX21">
        <v>165.78700000000001</v>
      </c>
      <c r="DY21">
        <v>257.86900000000003</v>
      </c>
      <c r="EC21">
        <v>233.74600000000001</v>
      </c>
      <c r="EH21">
        <v>246.44399999999999</v>
      </c>
      <c r="EJ21">
        <v>293.94499999999999</v>
      </c>
      <c r="EK21">
        <v>239.10599999999999</v>
      </c>
      <c r="EN21">
        <v>261.43400000000003</v>
      </c>
      <c r="ES21">
        <v>148.46700000000001</v>
      </c>
      <c r="ET21">
        <v>256.52600000000001</v>
      </c>
      <c r="EU21">
        <v>311.05</v>
      </c>
      <c r="EV21">
        <v>151.96700000000001</v>
      </c>
      <c r="EW21">
        <v>285.73099999999999</v>
      </c>
      <c r="EX21">
        <v>212.25800000000001</v>
      </c>
      <c r="EY21">
        <v>359.452</v>
      </c>
      <c r="FA21">
        <v>165.27500000000001</v>
      </c>
      <c r="FC21">
        <v>194.666</v>
      </c>
      <c r="FE21">
        <v>73.697999999999993</v>
      </c>
      <c r="FF21">
        <v>135.23599999999999</v>
      </c>
      <c r="FG21">
        <v>175.22200000000001</v>
      </c>
      <c r="FJ21">
        <f>FK13+FK15+FK17</f>
        <v>18</v>
      </c>
      <c r="FN21" s="22"/>
      <c r="FO21" s="22"/>
      <c r="FP21" s="22"/>
      <c r="GB21">
        <v>85</v>
      </c>
      <c r="GC21">
        <v>6</v>
      </c>
      <c r="GD21">
        <v>9</v>
      </c>
      <c r="GE21">
        <v>6</v>
      </c>
      <c r="GG21">
        <v>1</v>
      </c>
      <c r="GH21">
        <v>18</v>
      </c>
      <c r="GI21">
        <v>18</v>
      </c>
      <c r="GJ21">
        <v>2</v>
      </c>
      <c r="GK21">
        <v>25</v>
      </c>
      <c r="GN21">
        <v>18</v>
      </c>
      <c r="GO21">
        <v>6</v>
      </c>
      <c r="GQ21">
        <v>28</v>
      </c>
      <c r="GR21">
        <v>43</v>
      </c>
      <c r="GS21">
        <v>19</v>
      </c>
      <c r="GT21">
        <v>22</v>
      </c>
      <c r="GU21">
        <v>21</v>
      </c>
      <c r="GV21">
        <v>1</v>
      </c>
      <c r="GW21">
        <v>9</v>
      </c>
      <c r="GX21">
        <v>19</v>
      </c>
      <c r="GY21">
        <v>16</v>
      </c>
      <c r="GZ21">
        <v>20</v>
      </c>
      <c r="HA21">
        <v>9</v>
      </c>
      <c r="HB21">
        <v>13</v>
      </c>
      <c r="HC21">
        <v>28</v>
      </c>
      <c r="HD21">
        <v>21</v>
      </c>
      <c r="HG21">
        <v>85</v>
      </c>
      <c r="HH21">
        <v>9</v>
      </c>
      <c r="HI21">
        <v>18</v>
      </c>
      <c r="HJ21">
        <v>17</v>
      </c>
      <c r="HK21">
        <v>7</v>
      </c>
      <c r="HL21">
        <v>26</v>
      </c>
      <c r="HM21">
        <v>25</v>
      </c>
      <c r="HN21">
        <v>21</v>
      </c>
      <c r="HO21">
        <v>21</v>
      </c>
      <c r="HP21">
        <v>12</v>
      </c>
      <c r="HQ21">
        <v>12</v>
      </c>
      <c r="HR21">
        <v>21</v>
      </c>
      <c r="HS21">
        <v>17</v>
      </c>
      <c r="HT21">
        <v>11</v>
      </c>
      <c r="HU21">
        <v>20</v>
      </c>
      <c r="HV21">
        <v>12</v>
      </c>
      <c r="HY21">
        <v>85</v>
      </c>
      <c r="HZ21">
        <v>27</v>
      </c>
      <c r="IA21">
        <v>6</v>
      </c>
      <c r="IB21">
        <v>10</v>
      </c>
      <c r="IC21">
        <v>22</v>
      </c>
      <c r="ID21">
        <v>18</v>
      </c>
      <c r="IE21">
        <v>11</v>
      </c>
      <c r="IF21">
        <v>21</v>
      </c>
      <c r="IG21">
        <v>18</v>
      </c>
      <c r="IH21">
        <v>9</v>
      </c>
      <c r="II21">
        <v>10</v>
      </c>
      <c r="IJ21">
        <v>23</v>
      </c>
      <c r="IK21">
        <v>22</v>
      </c>
      <c r="IL21">
        <v>10</v>
      </c>
      <c r="IM21">
        <v>23</v>
      </c>
      <c r="IN21">
        <v>5</v>
      </c>
    </row>
    <row r="22" spans="1:249" x14ac:dyDescent="0.35">
      <c r="A22" t="s">
        <v>988</v>
      </c>
      <c r="B22" s="2">
        <v>146.99600000000001</v>
      </c>
      <c r="C22" s="8">
        <v>148.83799999999999</v>
      </c>
      <c r="D22" s="10">
        <v>156.13300000000001</v>
      </c>
      <c r="E22" s="8"/>
      <c r="F22" s="10">
        <v>136.024</v>
      </c>
      <c r="G22">
        <v>166.733</v>
      </c>
      <c r="H22" s="2">
        <v>134.78</v>
      </c>
      <c r="I22">
        <v>144.59399999999999</v>
      </c>
      <c r="J22">
        <v>113.49299999999999</v>
      </c>
      <c r="K22">
        <v>115.958</v>
      </c>
      <c r="M22">
        <v>46.744999999999997</v>
      </c>
      <c r="N22" s="2">
        <v>38.975999999999999</v>
      </c>
      <c r="O22">
        <v>154.68100000000001</v>
      </c>
      <c r="P22">
        <v>46.709000000000003</v>
      </c>
      <c r="Q22">
        <v>152.09899999999999</v>
      </c>
      <c r="T22">
        <v>24.603999999999999</v>
      </c>
      <c r="U22">
        <v>164.364</v>
      </c>
      <c r="X22">
        <v>111.16200000000001</v>
      </c>
      <c r="Y22">
        <v>46.97</v>
      </c>
      <c r="Z22" s="8">
        <v>48.011000000000003</v>
      </c>
      <c r="AA22">
        <v>54.723999999999997</v>
      </c>
      <c r="AB22">
        <v>21.928000000000001</v>
      </c>
      <c r="AD22">
        <v>18.446999999999999</v>
      </c>
      <c r="AE22">
        <v>101.625</v>
      </c>
      <c r="AF22">
        <v>51.100999999999999</v>
      </c>
      <c r="AI22">
        <v>55.436999999999998</v>
      </c>
      <c r="AJ22">
        <v>48.777000000000001</v>
      </c>
      <c r="AK22">
        <v>127.432</v>
      </c>
      <c r="AM22">
        <v>40.92</v>
      </c>
      <c r="AN22">
        <v>70.308000000000007</v>
      </c>
      <c r="AO22">
        <v>33.430999999999997</v>
      </c>
      <c r="AP22">
        <v>38.006</v>
      </c>
      <c r="AT22" t="s">
        <v>986</v>
      </c>
      <c r="AU22" s="22"/>
      <c r="BD22" t="s">
        <v>91</v>
      </c>
      <c r="BE22">
        <v>55</v>
      </c>
      <c r="BF22">
        <v>1.36</v>
      </c>
      <c r="BK22" t="s">
        <v>988</v>
      </c>
      <c r="BL22">
        <v>57.375999999999998</v>
      </c>
      <c r="BN22">
        <v>41.881999999999998</v>
      </c>
      <c r="BO22">
        <v>39.779000000000003</v>
      </c>
      <c r="BP22">
        <v>59.459000000000003</v>
      </c>
      <c r="BR22">
        <v>44.908999999999999</v>
      </c>
      <c r="BS22">
        <v>47.155999999999999</v>
      </c>
      <c r="BT22">
        <v>51.246000000000002</v>
      </c>
      <c r="BU22">
        <v>81.587999999999994</v>
      </c>
      <c r="BV22">
        <v>33.988999999999997</v>
      </c>
      <c r="BW22">
        <v>111.874</v>
      </c>
      <c r="BX22">
        <v>24.83</v>
      </c>
      <c r="BZ22">
        <v>67.614000000000004</v>
      </c>
      <c r="CB22">
        <v>30.899000000000001</v>
      </c>
      <c r="CE22">
        <v>40.113999999999997</v>
      </c>
      <c r="CF22">
        <v>69.53</v>
      </c>
      <c r="CG22">
        <v>30.632999999999999</v>
      </c>
      <c r="CK22">
        <v>165.95099999999999</v>
      </c>
      <c r="CN22">
        <v>68.936999999999998</v>
      </c>
      <c r="CO22">
        <v>78.245999999999995</v>
      </c>
      <c r="CP22">
        <v>50.655999999999999</v>
      </c>
      <c r="CQ22" s="2">
        <v>152.31399999999999</v>
      </c>
      <c r="CV22">
        <v>245</v>
      </c>
      <c r="CW22">
        <v>3</v>
      </c>
      <c r="CX22">
        <f>CW22*100/CV22</f>
        <v>1.2244897959183674</v>
      </c>
      <c r="CY22" s="22"/>
      <c r="CZ22" s="22" t="s">
        <v>981</v>
      </c>
      <c r="DA22" s="22" t="s">
        <v>8</v>
      </c>
      <c r="DB22" s="22" t="s">
        <v>971</v>
      </c>
      <c r="DM22" t="s">
        <v>988</v>
      </c>
      <c r="DN22">
        <v>119.92</v>
      </c>
      <c r="DO22" s="2">
        <v>53.328000000000003</v>
      </c>
      <c r="DP22">
        <v>48.232999999999997</v>
      </c>
      <c r="DR22">
        <v>97.316999999999993</v>
      </c>
      <c r="DT22">
        <v>85.134</v>
      </c>
      <c r="DU22" s="2">
        <v>165.328</v>
      </c>
      <c r="DW22">
        <v>138.71700000000001</v>
      </c>
      <c r="DY22">
        <v>136.39699999999999</v>
      </c>
      <c r="DZ22">
        <v>72.072999999999993</v>
      </c>
      <c r="EA22">
        <v>55.713999999999999</v>
      </c>
      <c r="EC22">
        <v>15.568</v>
      </c>
      <c r="EE22" s="2">
        <v>147.82499999999999</v>
      </c>
      <c r="EG22">
        <v>104.899</v>
      </c>
      <c r="EH22">
        <v>71.510000000000005</v>
      </c>
      <c r="EJ22">
        <v>133.19999999999999</v>
      </c>
      <c r="EK22">
        <v>76.864000000000004</v>
      </c>
      <c r="EN22">
        <v>61.219000000000001</v>
      </c>
      <c r="ES22">
        <v>17.29</v>
      </c>
      <c r="ET22">
        <v>57.948999999999998</v>
      </c>
      <c r="EU22">
        <v>66.712000000000003</v>
      </c>
      <c r="EV22">
        <v>47.093000000000004</v>
      </c>
      <c r="EW22">
        <v>68.266000000000005</v>
      </c>
      <c r="EX22">
        <v>65.91</v>
      </c>
      <c r="EY22">
        <v>110.05800000000001</v>
      </c>
      <c r="FA22">
        <v>58.18</v>
      </c>
      <c r="FC22">
        <v>44.209000000000003</v>
      </c>
      <c r="FE22">
        <v>19.03</v>
      </c>
      <c r="FF22">
        <v>51.893000000000001</v>
      </c>
      <c r="FG22">
        <v>67.923000000000002</v>
      </c>
      <c r="GB22">
        <v>90</v>
      </c>
      <c r="GC22">
        <v>4</v>
      </c>
      <c r="GD22">
        <v>7</v>
      </c>
      <c r="GE22">
        <v>7</v>
      </c>
      <c r="GG22">
        <v>1</v>
      </c>
      <c r="GH22">
        <v>22</v>
      </c>
      <c r="GI22">
        <v>19</v>
      </c>
      <c r="GJ22">
        <v>2</v>
      </c>
      <c r="GK22">
        <v>27</v>
      </c>
      <c r="GN22">
        <v>18</v>
      </c>
      <c r="GO22">
        <v>11</v>
      </c>
      <c r="GQ22">
        <v>25</v>
      </c>
      <c r="GR22">
        <v>43</v>
      </c>
      <c r="GS22">
        <v>19</v>
      </c>
      <c r="GT22">
        <v>21</v>
      </c>
      <c r="GU22">
        <v>19</v>
      </c>
      <c r="GV22">
        <v>1</v>
      </c>
      <c r="GW22">
        <v>11</v>
      </c>
      <c r="GX22">
        <v>19</v>
      </c>
      <c r="GY22">
        <v>17</v>
      </c>
      <c r="GZ22">
        <v>17</v>
      </c>
      <c r="HA22">
        <v>16</v>
      </c>
      <c r="HB22">
        <v>22</v>
      </c>
      <c r="HC22">
        <v>31</v>
      </c>
      <c r="HD22">
        <v>17</v>
      </c>
      <c r="HG22">
        <v>90</v>
      </c>
      <c r="HH22">
        <v>8</v>
      </c>
      <c r="HI22">
        <v>18</v>
      </c>
      <c r="HJ22">
        <v>17</v>
      </c>
      <c r="HK22">
        <v>8</v>
      </c>
      <c r="HL22">
        <v>28</v>
      </c>
      <c r="HM22">
        <v>25</v>
      </c>
      <c r="HN22">
        <v>22</v>
      </c>
      <c r="HO22">
        <v>19</v>
      </c>
      <c r="HP22">
        <v>11</v>
      </c>
      <c r="HQ22">
        <v>12</v>
      </c>
      <c r="HR22">
        <v>25</v>
      </c>
      <c r="HS22">
        <v>18</v>
      </c>
      <c r="HT22">
        <v>13</v>
      </c>
      <c r="HU22">
        <v>17</v>
      </c>
      <c r="HV22">
        <v>13</v>
      </c>
      <c r="HY22">
        <v>90</v>
      </c>
      <c r="HZ22">
        <v>27</v>
      </c>
      <c r="IA22">
        <v>6</v>
      </c>
      <c r="IB22">
        <v>10</v>
      </c>
      <c r="IC22">
        <v>17</v>
      </c>
      <c r="ID22">
        <v>18</v>
      </c>
      <c r="IE22">
        <v>11</v>
      </c>
      <c r="IF22">
        <v>20</v>
      </c>
      <c r="IG22">
        <v>18</v>
      </c>
      <c r="IH22">
        <v>9</v>
      </c>
      <c r="II22">
        <v>9</v>
      </c>
      <c r="IJ22">
        <v>26</v>
      </c>
      <c r="IK22">
        <v>20</v>
      </c>
      <c r="IL22">
        <v>10</v>
      </c>
      <c r="IM22">
        <v>22</v>
      </c>
      <c r="IN22">
        <v>5</v>
      </c>
    </row>
    <row r="23" spans="1:249" x14ac:dyDescent="0.35">
      <c r="A23" t="s">
        <v>989</v>
      </c>
      <c r="B23">
        <v>113.113</v>
      </c>
      <c r="C23" s="8"/>
      <c r="D23" s="8">
        <v>92.912000000000006</v>
      </c>
      <c r="E23" s="8"/>
      <c r="F23" s="8">
        <v>96.975999999999999</v>
      </c>
      <c r="G23">
        <v>184.755</v>
      </c>
      <c r="I23">
        <v>301.041</v>
      </c>
      <c r="J23">
        <v>201.874</v>
      </c>
      <c r="M23">
        <v>161.655</v>
      </c>
      <c r="O23" s="2">
        <v>283.07499999999999</v>
      </c>
      <c r="P23">
        <v>200.05600000000001</v>
      </c>
      <c r="Q23">
        <v>170.74299999999999</v>
      </c>
      <c r="R23">
        <v>248.90700000000001</v>
      </c>
      <c r="S23">
        <v>210.71899999999999</v>
      </c>
      <c r="T23">
        <v>69.903999999999996</v>
      </c>
      <c r="U23">
        <v>289.33800000000002</v>
      </c>
      <c r="V23">
        <v>137.46199999999999</v>
      </c>
      <c r="W23">
        <v>182.28800000000001</v>
      </c>
      <c r="X23">
        <v>245.393</v>
      </c>
      <c r="Y23">
        <v>182.76300000000001</v>
      </c>
      <c r="Z23" s="8">
        <v>187.988</v>
      </c>
      <c r="AA23">
        <v>190.923</v>
      </c>
      <c r="AB23">
        <v>159.04</v>
      </c>
      <c r="AD23">
        <v>124.405</v>
      </c>
      <c r="AE23">
        <v>112.357</v>
      </c>
      <c r="AF23">
        <v>179.584</v>
      </c>
      <c r="AI23">
        <v>54.966999999999999</v>
      </c>
      <c r="AJ23">
        <v>121.69799999999999</v>
      </c>
      <c r="AK23">
        <v>91.542000000000002</v>
      </c>
      <c r="AM23">
        <v>48.433999999999997</v>
      </c>
      <c r="AN23">
        <v>133.49600000000001</v>
      </c>
      <c r="AO23">
        <v>38.411000000000001</v>
      </c>
      <c r="AP23">
        <v>103.613</v>
      </c>
      <c r="AT23">
        <f>SUM(Supplementary_Fig5!AP15:AP17)</f>
        <v>120.167</v>
      </c>
      <c r="AU23" s="22"/>
      <c r="BD23" t="s">
        <v>92</v>
      </c>
      <c r="BE23">
        <v>159.76</v>
      </c>
      <c r="BF23">
        <v>3.16</v>
      </c>
      <c r="BK23" t="s">
        <v>989</v>
      </c>
      <c r="BL23">
        <v>198.40199999999999</v>
      </c>
      <c r="BM23">
        <v>120.381</v>
      </c>
      <c r="BN23">
        <v>192.673</v>
      </c>
      <c r="BO23">
        <v>85.462999999999994</v>
      </c>
      <c r="BP23">
        <v>130.27699999999999</v>
      </c>
      <c r="BR23">
        <v>175.892</v>
      </c>
      <c r="BS23">
        <v>127.2</v>
      </c>
      <c r="BT23">
        <v>114.17</v>
      </c>
      <c r="BU23">
        <v>178.40199999999999</v>
      </c>
      <c r="BV23">
        <v>132.71899999999999</v>
      </c>
      <c r="BW23">
        <v>208.517</v>
      </c>
      <c r="BZ23">
        <v>205.857</v>
      </c>
      <c r="CB23">
        <v>232.28700000000001</v>
      </c>
      <c r="CC23">
        <v>227.37700000000001</v>
      </c>
      <c r="CE23">
        <v>144.92599999999999</v>
      </c>
      <c r="CF23">
        <v>207.548</v>
      </c>
      <c r="CG23">
        <v>70.712000000000003</v>
      </c>
      <c r="CK23">
        <v>293.48899999999998</v>
      </c>
      <c r="CN23">
        <v>80.596000000000004</v>
      </c>
      <c r="CO23">
        <v>134.43100000000001</v>
      </c>
      <c r="CP23">
        <v>232.71299999999999</v>
      </c>
      <c r="CQ23">
        <v>221.61199999999999</v>
      </c>
      <c r="CR23">
        <v>216.626</v>
      </c>
      <c r="CY23" s="22"/>
      <c r="CZ23" s="22">
        <f>CV20+CV18</f>
        <v>1133</v>
      </c>
      <c r="DA23" s="22">
        <f>CW20+CW18</f>
        <v>17</v>
      </c>
      <c r="DB23" s="22">
        <f>DA23*100/CZ23</f>
        <v>1.5004413062665489</v>
      </c>
      <c r="DM23" t="s">
        <v>989</v>
      </c>
      <c r="DN23">
        <v>184.876</v>
      </c>
      <c r="DO23">
        <v>147.45500000000001</v>
      </c>
      <c r="DP23">
        <v>165.34700000000001</v>
      </c>
      <c r="DR23">
        <v>211.06100000000001</v>
      </c>
      <c r="DT23">
        <v>177.715</v>
      </c>
      <c r="DV23">
        <v>184.92</v>
      </c>
      <c r="DW23">
        <v>271.55500000000001</v>
      </c>
      <c r="DY23">
        <v>257.517</v>
      </c>
      <c r="DZ23">
        <v>94.697999999999993</v>
      </c>
      <c r="EC23">
        <v>111.158</v>
      </c>
      <c r="EE23">
        <v>237.768</v>
      </c>
      <c r="EG23">
        <v>214.30799999999999</v>
      </c>
      <c r="EH23">
        <v>100.741</v>
      </c>
      <c r="EJ23">
        <v>165.74100000000001</v>
      </c>
      <c r="EK23">
        <v>104.752</v>
      </c>
      <c r="EN23">
        <v>54.665999999999997</v>
      </c>
      <c r="ES23">
        <v>32.220999999999997</v>
      </c>
      <c r="ET23">
        <v>302.44900000000001</v>
      </c>
      <c r="EU23" s="2">
        <v>158.75399999999999</v>
      </c>
      <c r="EV23">
        <v>106.124</v>
      </c>
      <c r="EW23">
        <v>117.46599999999999</v>
      </c>
      <c r="EX23">
        <v>229.42099999999999</v>
      </c>
      <c r="EY23">
        <v>285.96899999999999</v>
      </c>
      <c r="FA23">
        <v>114.107</v>
      </c>
      <c r="FC23">
        <v>79.578000000000003</v>
      </c>
      <c r="FE23">
        <v>57.497999999999998</v>
      </c>
      <c r="FF23">
        <v>70.308000000000007</v>
      </c>
      <c r="FG23">
        <v>190.49799999999999</v>
      </c>
      <c r="GB23">
        <v>95</v>
      </c>
      <c r="GC23">
        <v>4</v>
      </c>
      <c r="GD23">
        <v>5</v>
      </c>
      <c r="GE23">
        <v>7</v>
      </c>
      <c r="GG23">
        <v>1</v>
      </c>
      <c r="GH23">
        <v>23</v>
      </c>
      <c r="GI23">
        <v>17</v>
      </c>
      <c r="GJ23">
        <v>2</v>
      </c>
      <c r="GK23">
        <v>25</v>
      </c>
      <c r="GN23">
        <v>18</v>
      </c>
      <c r="GO23">
        <v>10</v>
      </c>
      <c r="GQ23">
        <v>27</v>
      </c>
      <c r="GR23">
        <v>43</v>
      </c>
      <c r="GS23">
        <v>16</v>
      </c>
      <c r="GT23">
        <v>19</v>
      </c>
      <c r="GU23">
        <v>19</v>
      </c>
      <c r="GV23">
        <v>1</v>
      </c>
      <c r="GW23">
        <v>13</v>
      </c>
      <c r="GX23">
        <v>19</v>
      </c>
      <c r="GY23">
        <v>19</v>
      </c>
      <c r="GZ23">
        <v>19</v>
      </c>
      <c r="HA23">
        <v>16</v>
      </c>
      <c r="HB23">
        <v>19</v>
      </c>
      <c r="HC23">
        <v>33</v>
      </c>
      <c r="HD23">
        <v>18</v>
      </c>
      <c r="HG23">
        <v>95</v>
      </c>
      <c r="HH23">
        <v>7</v>
      </c>
      <c r="HI23">
        <v>21</v>
      </c>
      <c r="HJ23">
        <v>17</v>
      </c>
      <c r="HK23">
        <v>8</v>
      </c>
      <c r="HL23">
        <v>27</v>
      </c>
      <c r="HM23">
        <v>26</v>
      </c>
      <c r="HN23">
        <v>25</v>
      </c>
      <c r="HO23">
        <v>21</v>
      </c>
      <c r="HP23">
        <v>11</v>
      </c>
      <c r="HQ23">
        <v>13</v>
      </c>
      <c r="HR23">
        <v>33</v>
      </c>
      <c r="HS23">
        <v>20</v>
      </c>
      <c r="HT23">
        <v>14</v>
      </c>
      <c r="HU23">
        <v>19</v>
      </c>
      <c r="HV23">
        <v>12</v>
      </c>
      <c r="HY23">
        <v>95</v>
      </c>
      <c r="HZ23">
        <v>25</v>
      </c>
      <c r="IA23">
        <v>5</v>
      </c>
      <c r="IB23">
        <v>10</v>
      </c>
      <c r="IC23">
        <v>18</v>
      </c>
      <c r="ID23">
        <v>19</v>
      </c>
      <c r="IE23">
        <v>11</v>
      </c>
      <c r="IF23">
        <v>22</v>
      </c>
      <c r="IG23">
        <v>19</v>
      </c>
      <c r="IH23">
        <v>9</v>
      </c>
      <c r="II23">
        <v>10</v>
      </c>
      <c r="IJ23">
        <v>28</v>
      </c>
      <c r="IK23">
        <v>21</v>
      </c>
      <c r="IL23">
        <v>9</v>
      </c>
      <c r="IM23">
        <v>23</v>
      </c>
      <c r="IN23">
        <v>6</v>
      </c>
    </row>
    <row r="24" spans="1:249" x14ac:dyDescent="0.35">
      <c r="A24" t="s">
        <v>990</v>
      </c>
      <c r="B24">
        <v>177.91300000000001</v>
      </c>
      <c r="C24" s="8">
        <v>159.76400000000001</v>
      </c>
      <c r="D24" s="8">
        <v>162.58000000000001</v>
      </c>
      <c r="E24" s="8"/>
      <c r="F24" s="8">
        <v>157.059</v>
      </c>
      <c r="G24">
        <v>220.18199999999999</v>
      </c>
      <c r="I24">
        <v>243.17599999999999</v>
      </c>
      <c r="J24">
        <v>137.18100000000001</v>
      </c>
      <c r="K24">
        <v>166.91200000000001</v>
      </c>
      <c r="M24">
        <v>141.85</v>
      </c>
      <c r="N24">
        <v>110.44</v>
      </c>
      <c r="O24">
        <v>188.42699999999999</v>
      </c>
      <c r="P24">
        <v>109.824</v>
      </c>
      <c r="Q24">
        <v>217.04499999999999</v>
      </c>
      <c r="R24">
        <v>185.05</v>
      </c>
      <c r="S24">
        <v>124.91</v>
      </c>
      <c r="T24">
        <v>77.182000000000002</v>
      </c>
      <c r="U24">
        <v>194.74799999999999</v>
      </c>
      <c r="W24">
        <v>126.90900000000001</v>
      </c>
      <c r="X24">
        <v>148.511</v>
      </c>
      <c r="Y24">
        <v>80.302999999999997</v>
      </c>
      <c r="Z24" s="8">
        <v>45.286999999999999</v>
      </c>
      <c r="AA24">
        <v>86.679000000000002</v>
      </c>
      <c r="AD24">
        <v>65.557000000000002</v>
      </c>
      <c r="AE24">
        <v>123.40300000000001</v>
      </c>
      <c r="AF24" s="2">
        <v>43.667999999999999</v>
      </c>
      <c r="AG24" s="8"/>
      <c r="AI24">
        <v>104.962</v>
      </c>
      <c r="AJ24">
        <v>101.276</v>
      </c>
      <c r="AK24">
        <v>62.395000000000003</v>
      </c>
      <c r="AM24">
        <v>27.148</v>
      </c>
      <c r="AO24">
        <v>100.33199999999999</v>
      </c>
      <c r="AP24" s="2">
        <v>19.163</v>
      </c>
      <c r="BD24" t="s">
        <v>93</v>
      </c>
      <c r="BE24">
        <v>59.56</v>
      </c>
      <c r="BF24">
        <v>1.24</v>
      </c>
      <c r="BK24" t="s">
        <v>990</v>
      </c>
      <c r="BL24">
        <v>87.683000000000007</v>
      </c>
      <c r="BM24">
        <v>54.042999999999999</v>
      </c>
      <c r="BN24">
        <v>92.938999999999993</v>
      </c>
      <c r="BO24">
        <v>59.277999999999999</v>
      </c>
      <c r="BR24">
        <v>67.730999999999995</v>
      </c>
      <c r="BS24">
        <v>46.597999999999999</v>
      </c>
      <c r="BT24">
        <v>61.192</v>
      </c>
      <c r="BU24">
        <v>76.566999999999993</v>
      </c>
      <c r="BV24">
        <v>56.496000000000002</v>
      </c>
      <c r="BW24">
        <v>129.428</v>
      </c>
      <c r="BX24" s="2">
        <v>65.064999999999998</v>
      </c>
      <c r="BZ24">
        <v>91.736999999999995</v>
      </c>
      <c r="CB24">
        <v>147.67599999999999</v>
      </c>
      <c r="CC24">
        <v>221.93899999999999</v>
      </c>
      <c r="CE24">
        <v>79.834000000000003</v>
      </c>
      <c r="CF24">
        <v>99.126999999999995</v>
      </c>
      <c r="CG24">
        <v>73.617000000000004</v>
      </c>
      <c r="CK24">
        <v>190.095</v>
      </c>
      <c r="CN24">
        <v>149.28299999999999</v>
      </c>
      <c r="CO24">
        <v>58.515999999999998</v>
      </c>
      <c r="CP24" s="2">
        <v>121.581</v>
      </c>
      <c r="CQ24">
        <v>176.59899999999999</v>
      </c>
      <c r="CR24">
        <v>117.596</v>
      </c>
      <c r="CY24" s="22"/>
      <c r="CZ24" s="22"/>
      <c r="DA24" s="22"/>
      <c r="DB24" s="22"/>
      <c r="DM24" t="s">
        <v>990</v>
      </c>
      <c r="DO24">
        <v>51.680999999999997</v>
      </c>
      <c r="DP24">
        <v>116.44799999999999</v>
      </c>
      <c r="DW24">
        <v>190.67699999999999</v>
      </c>
      <c r="DY24">
        <v>160.31800000000001</v>
      </c>
      <c r="EC24">
        <v>63.344000000000001</v>
      </c>
      <c r="EE24">
        <v>173.083</v>
      </c>
      <c r="EG24">
        <v>167.01400000000001</v>
      </c>
      <c r="EH24">
        <v>136.71799999999999</v>
      </c>
      <c r="EJ24">
        <v>206.23699999999999</v>
      </c>
      <c r="EK24">
        <v>173.21600000000001</v>
      </c>
      <c r="EN24">
        <v>169.429</v>
      </c>
      <c r="ES24">
        <v>22.076000000000001</v>
      </c>
      <c r="ET24">
        <v>110.502</v>
      </c>
      <c r="EU24">
        <v>115.42</v>
      </c>
      <c r="EV24">
        <v>75.058999999999997</v>
      </c>
      <c r="EW24">
        <v>24.239000000000001</v>
      </c>
      <c r="EX24">
        <v>176.119</v>
      </c>
      <c r="EY24">
        <v>286.02499999999998</v>
      </c>
      <c r="FA24">
        <v>57.706000000000003</v>
      </c>
      <c r="FC24">
        <v>133.03100000000001</v>
      </c>
      <c r="FE24">
        <v>40.116</v>
      </c>
      <c r="FF24">
        <v>110.998</v>
      </c>
      <c r="FG24">
        <v>117.59099999999999</v>
      </c>
      <c r="GB24">
        <v>100</v>
      </c>
      <c r="GC24">
        <v>11</v>
      </c>
      <c r="GD24">
        <v>5</v>
      </c>
      <c r="GE24">
        <v>5</v>
      </c>
      <c r="GG24">
        <v>1</v>
      </c>
      <c r="GH24">
        <v>27</v>
      </c>
      <c r="GI24">
        <v>14</v>
      </c>
      <c r="GJ24">
        <v>2</v>
      </c>
      <c r="GK24">
        <v>24</v>
      </c>
      <c r="GN24">
        <v>18</v>
      </c>
      <c r="GO24">
        <v>8</v>
      </c>
      <c r="GQ24">
        <v>24</v>
      </c>
      <c r="GR24">
        <v>40</v>
      </c>
      <c r="GS24">
        <v>15</v>
      </c>
      <c r="GT24">
        <v>18</v>
      </c>
      <c r="GU24">
        <v>16</v>
      </c>
      <c r="GV24">
        <v>1</v>
      </c>
      <c r="GW24">
        <v>22</v>
      </c>
      <c r="GX24">
        <v>20</v>
      </c>
      <c r="GY24">
        <v>19</v>
      </c>
      <c r="GZ24">
        <v>17</v>
      </c>
      <c r="HA24">
        <v>13</v>
      </c>
      <c r="HB24">
        <v>18</v>
      </c>
      <c r="HC24">
        <v>32</v>
      </c>
      <c r="HD24">
        <v>17</v>
      </c>
      <c r="HG24">
        <v>100</v>
      </c>
      <c r="HH24">
        <v>11</v>
      </c>
      <c r="HI24">
        <v>22</v>
      </c>
      <c r="HJ24">
        <v>16</v>
      </c>
      <c r="HK24">
        <v>8</v>
      </c>
      <c r="HL24">
        <v>24</v>
      </c>
      <c r="HM24">
        <v>28</v>
      </c>
      <c r="HN24">
        <v>25</v>
      </c>
      <c r="HO24">
        <v>22</v>
      </c>
      <c r="HP24">
        <v>9</v>
      </c>
      <c r="HQ24">
        <v>16</v>
      </c>
      <c r="HR24">
        <v>30</v>
      </c>
      <c r="HS24">
        <v>19</v>
      </c>
      <c r="HT24">
        <v>17</v>
      </c>
      <c r="HU24">
        <v>16</v>
      </c>
      <c r="HV24">
        <v>12</v>
      </c>
      <c r="HY24">
        <v>100</v>
      </c>
      <c r="HZ24">
        <v>28</v>
      </c>
      <c r="IA24">
        <v>5</v>
      </c>
      <c r="IB24">
        <v>10</v>
      </c>
      <c r="IC24">
        <v>19</v>
      </c>
      <c r="ID24">
        <v>20</v>
      </c>
      <c r="IE24">
        <v>13</v>
      </c>
      <c r="IF24">
        <v>22</v>
      </c>
      <c r="IG24">
        <v>22</v>
      </c>
      <c r="IH24">
        <v>11</v>
      </c>
      <c r="II24">
        <v>9</v>
      </c>
      <c r="IJ24">
        <v>30</v>
      </c>
      <c r="IK24">
        <v>20</v>
      </c>
      <c r="IL24">
        <v>9</v>
      </c>
      <c r="IM24">
        <v>23</v>
      </c>
      <c r="IN24">
        <v>7</v>
      </c>
    </row>
    <row r="25" spans="1:249" x14ac:dyDescent="0.35">
      <c r="A25" t="s">
        <v>991</v>
      </c>
      <c r="B25">
        <v>206.56399999999999</v>
      </c>
      <c r="C25" s="8">
        <v>195.65700000000001</v>
      </c>
      <c r="D25" s="8"/>
      <c r="E25" s="8"/>
      <c r="F25" s="10">
        <v>158.352</v>
      </c>
      <c r="G25">
        <v>299.57600000000002</v>
      </c>
      <c r="H25">
        <v>254.00299999999999</v>
      </c>
      <c r="I25">
        <v>277.613</v>
      </c>
      <c r="J25">
        <v>214.07</v>
      </c>
      <c r="K25">
        <v>216.70699999999999</v>
      </c>
      <c r="M25" s="2">
        <v>159.76</v>
      </c>
      <c r="N25">
        <v>180.101</v>
      </c>
      <c r="O25">
        <v>261.63499999999999</v>
      </c>
      <c r="P25">
        <v>180.12200000000001</v>
      </c>
      <c r="Q25">
        <v>258.07400000000001</v>
      </c>
      <c r="R25">
        <v>197.423</v>
      </c>
      <c r="S25">
        <v>150.173</v>
      </c>
      <c r="T25" s="2">
        <v>116.723</v>
      </c>
      <c r="V25">
        <v>172.863</v>
      </c>
      <c r="W25">
        <v>148.11099999999999</v>
      </c>
      <c r="X25">
        <v>252.53299999999999</v>
      </c>
      <c r="Y25">
        <v>92.875</v>
      </c>
      <c r="Z25" s="8">
        <v>94.304000000000002</v>
      </c>
      <c r="AA25">
        <v>127.67700000000001</v>
      </c>
      <c r="AB25">
        <v>163.81100000000001</v>
      </c>
      <c r="AD25">
        <v>97.444000000000003</v>
      </c>
      <c r="AF25">
        <v>85.373000000000005</v>
      </c>
      <c r="AI25">
        <v>159.88300000000001</v>
      </c>
      <c r="AN25">
        <v>103.404</v>
      </c>
      <c r="AO25">
        <v>115.49299999999999</v>
      </c>
      <c r="AP25">
        <v>108.273</v>
      </c>
      <c r="BD25" t="s">
        <v>94</v>
      </c>
      <c r="BE25">
        <v>24.41</v>
      </c>
      <c r="BF25">
        <v>1.7</v>
      </c>
      <c r="BK25" t="s">
        <v>991</v>
      </c>
      <c r="BL25">
        <v>171.13300000000001</v>
      </c>
      <c r="BM25">
        <v>97.036000000000001</v>
      </c>
      <c r="BN25">
        <v>108.741</v>
      </c>
      <c r="BO25">
        <v>90.582999999999998</v>
      </c>
      <c r="BP25">
        <v>116.11199999999999</v>
      </c>
      <c r="BR25">
        <v>151.405</v>
      </c>
      <c r="BS25">
        <v>87.923000000000002</v>
      </c>
      <c r="BT25">
        <v>154.31899999999999</v>
      </c>
      <c r="BU25">
        <v>118.872</v>
      </c>
      <c r="BV25">
        <v>76.802999999999997</v>
      </c>
      <c r="BW25">
        <v>166.14099999999999</v>
      </c>
      <c r="BX25">
        <v>102.202</v>
      </c>
      <c r="BZ25">
        <v>142.935</v>
      </c>
      <c r="CB25">
        <v>193.16</v>
      </c>
      <c r="CE25">
        <v>84.195999999999998</v>
      </c>
      <c r="CF25">
        <v>142.24600000000001</v>
      </c>
      <c r="CK25" s="2">
        <v>211.161</v>
      </c>
      <c r="CN25">
        <v>156.83199999999999</v>
      </c>
      <c r="CP25">
        <v>143.15299999999999</v>
      </c>
      <c r="CQ25">
        <v>245.40899999999999</v>
      </c>
      <c r="CR25">
        <v>174.86600000000001</v>
      </c>
      <c r="CU25" t="s">
        <v>986</v>
      </c>
      <c r="CY25" s="22"/>
      <c r="CZ25" s="22"/>
      <c r="DA25" s="22"/>
      <c r="DB25" s="22"/>
      <c r="DM25" t="s">
        <v>991</v>
      </c>
      <c r="DN25">
        <v>228.31100000000001</v>
      </c>
      <c r="DO25">
        <v>121.82899999999999</v>
      </c>
      <c r="DP25">
        <v>170.93700000000001</v>
      </c>
      <c r="DR25">
        <v>189.31700000000001</v>
      </c>
      <c r="DU25">
        <v>98.703999999999994</v>
      </c>
      <c r="DW25">
        <v>217.27099999999999</v>
      </c>
      <c r="DY25">
        <v>177.678</v>
      </c>
      <c r="EA25" s="2">
        <v>192.99799999999999</v>
      </c>
      <c r="EC25">
        <v>115.545</v>
      </c>
      <c r="EE25">
        <v>209.70099999999999</v>
      </c>
      <c r="EG25">
        <v>193.45099999999999</v>
      </c>
      <c r="EH25">
        <v>211.52199999999999</v>
      </c>
      <c r="EJ25">
        <v>248.518</v>
      </c>
      <c r="EK25">
        <v>195.45500000000001</v>
      </c>
      <c r="EN25">
        <v>200.24199999999999</v>
      </c>
      <c r="ET25">
        <v>169.416</v>
      </c>
      <c r="EU25">
        <v>172.3</v>
      </c>
      <c r="EW25">
        <v>63.848999999999997</v>
      </c>
      <c r="EX25">
        <v>186.74299999999999</v>
      </c>
      <c r="EY25">
        <v>304.40300000000002</v>
      </c>
      <c r="FC25">
        <v>168.636</v>
      </c>
      <c r="FF25">
        <v>112.536</v>
      </c>
      <c r="FG25">
        <v>137.447</v>
      </c>
      <c r="GB25">
        <v>105</v>
      </c>
      <c r="GC25">
        <v>9</v>
      </c>
      <c r="GD25">
        <v>7</v>
      </c>
      <c r="GE25">
        <v>5</v>
      </c>
      <c r="GG25">
        <v>1</v>
      </c>
      <c r="GH25">
        <v>27</v>
      </c>
      <c r="GI25">
        <v>16</v>
      </c>
      <c r="GJ25">
        <v>2</v>
      </c>
      <c r="GK25">
        <v>23</v>
      </c>
      <c r="GN25">
        <v>18</v>
      </c>
      <c r="GO25">
        <v>6</v>
      </c>
      <c r="GQ25">
        <v>28</v>
      </c>
      <c r="GR25">
        <v>42</v>
      </c>
      <c r="GS25">
        <v>15</v>
      </c>
      <c r="GT25">
        <v>18</v>
      </c>
      <c r="GU25">
        <v>16</v>
      </c>
      <c r="GV25">
        <v>1</v>
      </c>
      <c r="GW25">
        <v>18</v>
      </c>
      <c r="GX25">
        <v>17</v>
      </c>
      <c r="GY25">
        <v>18</v>
      </c>
      <c r="GZ25">
        <v>14</v>
      </c>
      <c r="HA25">
        <v>12</v>
      </c>
      <c r="HB25">
        <v>18</v>
      </c>
      <c r="HC25">
        <v>32</v>
      </c>
      <c r="HD25">
        <v>14</v>
      </c>
      <c r="HG25">
        <v>105</v>
      </c>
      <c r="HH25">
        <v>13</v>
      </c>
      <c r="HI25">
        <v>20</v>
      </c>
      <c r="HJ25">
        <v>17</v>
      </c>
      <c r="HK25">
        <v>8</v>
      </c>
      <c r="HL25">
        <v>29</v>
      </c>
      <c r="HM25">
        <v>28</v>
      </c>
      <c r="HN25">
        <v>25</v>
      </c>
      <c r="HO25">
        <v>22</v>
      </c>
      <c r="HP25">
        <v>9</v>
      </c>
      <c r="HQ25">
        <v>15</v>
      </c>
      <c r="HR25">
        <v>28</v>
      </c>
      <c r="HS25">
        <v>19</v>
      </c>
      <c r="HT25">
        <v>16</v>
      </c>
      <c r="HU25">
        <v>18</v>
      </c>
      <c r="HV25">
        <v>12</v>
      </c>
      <c r="HY25">
        <v>105</v>
      </c>
      <c r="HZ25">
        <v>28</v>
      </c>
      <c r="IA25">
        <v>5</v>
      </c>
      <c r="IB25">
        <v>10</v>
      </c>
      <c r="IC25">
        <v>17</v>
      </c>
      <c r="ID25">
        <v>18</v>
      </c>
      <c r="IE25">
        <v>13</v>
      </c>
      <c r="IF25">
        <v>22</v>
      </c>
      <c r="IG25">
        <v>21</v>
      </c>
      <c r="IH25">
        <v>10</v>
      </c>
      <c r="II25">
        <v>8</v>
      </c>
      <c r="IJ25">
        <v>27</v>
      </c>
      <c r="IK25">
        <v>21</v>
      </c>
      <c r="IL25">
        <v>9</v>
      </c>
      <c r="IM25">
        <v>24</v>
      </c>
      <c r="IN25">
        <v>5</v>
      </c>
      <c r="IO25">
        <v>2</v>
      </c>
    </row>
    <row r="26" spans="1:249" x14ac:dyDescent="0.35">
      <c r="A26" t="s">
        <v>992</v>
      </c>
      <c r="B26">
        <v>44.146999999999998</v>
      </c>
      <c r="C26" s="8"/>
      <c r="D26" s="8">
        <v>75.176000000000002</v>
      </c>
      <c r="E26" s="8"/>
      <c r="F26" s="8">
        <v>54.936</v>
      </c>
      <c r="G26">
        <v>27.69</v>
      </c>
      <c r="I26">
        <v>191.72200000000001</v>
      </c>
      <c r="J26">
        <v>123.666</v>
      </c>
      <c r="L26" s="10">
        <v>55.456000000000003</v>
      </c>
      <c r="M26">
        <v>138.5</v>
      </c>
      <c r="O26">
        <v>145.01499999999999</v>
      </c>
      <c r="P26">
        <v>164.56899999999999</v>
      </c>
      <c r="Q26" s="2">
        <v>37.959000000000003</v>
      </c>
      <c r="T26">
        <v>50.338000000000001</v>
      </c>
      <c r="U26">
        <v>158.12299999999999</v>
      </c>
      <c r="X26">
        <v>169.589</v>
      </c>
      <c r="Y26">
        <v>153.273</v>
      </c>
      <c r="Z26">
        <v>230.642</v>
      </c>
      <c r="AA26">
        <v>145.29900000000001</v>
      </c>
      <c r="AB26">
        <v>145.655</v>
      </c>
      <c r="AC26">
        <v>144.88</v>
      </c>
      <c r="AD26">
        <v>122.883</v>
      </c>
      <c r="AE26">
        <v>75.254000000000005</v>
      </c>
      <c r="AF26">
        <v>218.72499999999999</v>
      </c>
      <c r="AI26">
        <v>47.939</v>
      </c>
      <c r="AN26">
        <v>101.879</v>
      </c>
      <c r="AO26">
        <v>28.943000000000001</v>
      </c>
      <c r="AP26">
        <v>118.982</v>
      </c>
      <c r="BD26" t="s">
        <v>95</v>
      </c>
      <c r="BE26">
        <v>71.89</v>
      </c>
      <c r="BF26">
        <v>1.0900000000000001</v>
      </c>
      <c r="BK26" t="s">
        <v>992</v>
      </c>
      <c r="BL26">
        <v>174.11600000000001</v>
      </c>
      <c r="BN26">
        <v>161.24</v>
      </c>
      <c r="BO26">
        <v>108.133</v>
      </c>
      <c r="BP26">
        <v>75.48</v>
      </c>
      <c r="BQ26">
        <v>72.777000000000001</v>
      </c>
      <c r="BR26">
        <v>138.703</v>
      </c>
      <c r="BS26">
        <v>120.08</v>
      </c>
      <c r="BT26">
        <v>66.025999999999996</v>
      </c>
      <c r="BU26">
        <v>117.86799999999999</v>
      </c>
      <c r="BV26">
        <v>102.697</v>
      </c>
      <c r="BW26">
        <v>113.35</v>
      </c>
      <c r="BY26">
        <v>77.069000000000003</v>
      </c>
      <c r="BZ26">
        <v>143.642</v>
      </c>
      <c r="CA26">
        <v>140.958</v>
      </c>
      <c r="CB26">
        <v>220.23</v>
      </c>
      <c r="CE26">
        <v>177.55099999999999</v>
      </c>
      <c r="CF26">
        <v>276.15899999999999</v>
      </c>
      <c r="CI26">
        <v>132.786</v>
      </c>
      <c r="CK26">
        <v>133.46799999999999</v>
      </c>
      <c r="CN26">
        <v>13.603999999999999</v>
      </c>
      <c r="CP26">
        <v>185.327</v>
      </c>
      <c r="CQ26">
        <v>69.382999999999996</v>
      </c>
      <c r="CU26">
        <v>20</v>
      </c>
      <c r="CY26" s="22"/>
      <c r="CZ26" s="22"/>
      <c r="DA26" s="22"/>
      <c r="DB26" s="22"/>
      <c r="DM26" t="s">
        <v>992</v>
      </c>
      <c r="DN26">
        <v>65.778999999999996</v>
      </c>
      <c r="DO26">
        <v>197.822</v>
      </c>
      <c r="DP26">
        <v>121.43600000000001</v>
      </c>
      <c r="DQ26">
        <v>40.54</v>
      </c>
      <c r="DR26">
        <v>119.276</v>
      </c>
      <c r="DS26">
        <v>20.311</v>
      </c>
      <c r="DT26">
        <v>107.7</v>
      </c>
      <c r="DW26">
        <v>135.21700000000001</v>
      </c>
      <c r="DY26">
        <v>122.84</v>
      </c>
      <c r="DZ26">
        <v>61.241</v>
      </c>
      <c r="EC26">
        <v>95.537000000000006</v>
      </c>
      <c r="EE26">
        <v>88.54</v>
      </c>
      <c r="EG26">
        <v>111.58199999999999</v>
      </c>
      <c r="EH26">
        <v>60.444000000000003</v>
      </c>
      <c r="EJ26">
        <v>51.518000000000001</v>
      </c>
      <c r="EK26">
        <v>29.452999999999999</v>
      </c>
      <c r="EN26">
        <v>51.869</v>
      </c>
      <c r="ET26">
        <v>251.863</v>
      </c>
      <c r="EU26">
        <v>93.418999999999997</v>
      </c>
      <c r="EW26">
        <v>187.547</v>
      </c>
      <c r="EX26">
        <v>170.845</v>
      </c>
      <c r="EY26">
        <v>179.92400000000001</v>
      </c>
      <c r="FC26">
        <v>36.506999999999998</v>
      </c>
      <c r="FF26">
        <v>22.050999999999998</v>
      </c>
      <c r="FG26">
        <v>123.352</v>
      </c>
      <c r="GB26">
        <v>110</v>
      </c>
      <c r="GC26">
        <v>11</v>
      </c>
      <c r="GD26">
        <v>11</v>
      </c>
      <c r="GE26">
        <v>7</v>
      </c>
      <c r="GG26">
        <v>1</v>
      </c>
      <c r="GH26">
        <v>24</v>
      </c>
      <c r="GI26">
        <v>18</v>
      </c>
      <c r="GJ26">
        <v>2</v>
      </c>
      <c r="GK26">
        <v>19</v>
      </c>
      <c r="GN26">
        <v>18</v>
      </c>
      <c r="GO26">
        <v>8</v>
      </c>
      <c r="GQ26">
        <v>28</v>
      </c>
      <c r="GR26">
        <v>44</v>
      </c>
      <c r="GS26">
        <v>15</v>
      </c>
      <c r="GT26">
        <v>17</v>
      </c>
      <c r="GU26">
        <v>17</v>
      </c>
      <c r="GV26">
        <v>1</v>
      </c>
      <c r="GW26">
        <v>18</v>
      </c>
      <c r="GX26">
        <v>14</v>
      </c>
      <c r="GY26">
        <v>17</v>
      </c>
      <c r="GZ26">
        <v>14</v>
      </c>
      <c r="HA26">
        <v>12</v>
      </c>
      <c r="HB26">
        <v>19</v>
      </c>
      <c r="HC26">
        <v>31</v>
      </c>
      <c r="HD26">
        <v>15</v>
      </c>
      <c r="HG26">
        <v>110</v>
      </c>
      <c r="HH26">
        <v>11</v>
      </c>
      <c r="HI26">
        <v>22</v>
      </c>
      <c r="HJ26">
        <v>18</v>
      </c>
      <c r="HK26">
        <v>11</v>
      </c>
      <c r="HL26">
        <v>33</v>
      </c>
      <c r="HM26">
        <v>28</v>
      </c>
      <c r="HN26">
        <v>25</v>
      </c>
      <c r="HO26">
        <v>23</v>
      </c>
      <c r="HP26">
        <v>8</v>
      </c>
      <c r="HQ26">
        <v>16</v>
      </c>
      <c r="HR26">
        <v>35</v>
      </c>
      <c r="HS26">
        <v>19</v>
      </c>
      <c r="HT26">
        <v>17</v>
      </c>
      <c r="HU26">
        <v>18</v>
      </c>
      <c r="HV26">
        <v>11</v>
      </c>
      <c r="HY26">
        <v>110</v>
      </c>
      <c r="HZ26">
        <v>30</v>
      </c>
      <c r="IA26">
        <v>5</v>
      </c>
      <c r="IB26">
        <v>10</v>
      </c>
      <c r="IC26">
        <v>18</v>
      </c>
      <c r="ID26">
        <v>18</v>
      </c>
      <c r="IE26">
        <v>13</v>
      </c>
      <c r="IF26">
        <v>21</v>
      </c>
      <c r="IG26">
        <v>18</v>
      </c>
      <c r="IH26">
        <v>10</v>
      </c>
      <c r="II26">
        <v>9</v>
      </c>
      <c r="IJ26">
        <v>27</v>
      </c>
      <c r="IK26">
        <v>21</v>
      </c>
      <c r="IL26">
        <v>9</v>
      </c>
      <c r="IM26">
        <v>25</v>
      </c>
      <c r="IN26">
        <v>5</v>
      </c>
      <c r="IO26">
        <v>1</v>
      </c>
    </row>
    <row r="27" spans="1:249" x14ac:dyDescent="0.35">
      <c r="A27" t="s">
        <v>993</v>
      </c>
      <c r="B27" s="2">
        <v>33.277000000000001</v>
      </c>
      <c r="C27" s="8">
        <v>20.986000000000001</v>
      </c>
      <c r="D27" s="8">
        <v>23.617000000000001</v>
      </c>
      <c r="E27" s="8">
        <v>52.959000000000003</v>
      </c>
      <c r="F27" s="8">
        <v>23.058</v>
      </c>
      <c r="G27">
        <v>58.732999999999997</v>
      </c>
      <c r="I27">
        <v>113.783</v>
      </c>
      <c r="J27">
        <v>64.088999999999999</v>
      </c>
      <c r="K27">
        <v>51.948</v>
      </c>
      <c r="M27">
        <v>108.458</v>
      </c>
      <c r="N27">
        <v>76.844999999999999</v>
      </c>
      <c r="O27">
        <v>47.759</v>
      </c>
      <c r="P27">
        <v>72.977000000000004</v>
      </c>
      <c r="Q27">
        <v>76.616</v>
      </c>
      <c r="T27">
        <v>55.27</v>
      </c>
      <c r="U27">
        <v>76.28</v>
      </c>
      <c r="X27">
        <v>57.813000000000002</v>
      </c>
      <c r="Y27">
        <v>48.377000000000002</v>
      </c>
      <c r="Z27">
        <v>72.938999999999993</v>
      </c>
      <c r="AA27">
        <v>33.250999999999998</v>
      </c>
      <c r="AC27">
        <v>81.194999999999993</v>
      </c>
      <c r="AD27">
        <v>62.598999999999997</v>
      </c>
      <c r="AE27">
        <v>50.656999999999996</v>
      </c>
      <c r="AF27">
        <v>63.753</v>
      </c>
      <c r="AI27">
        <v>86.087000000000003</v>
      </c>
      <c r="AO27">
        <v>72.078999999999994</v>
      </c>
      <c r="AP27">
        <v>18.687000000000001</v>
      </c>
      <c r="BD27" t="s">
        <v>96</v>
      </c>
      <c r="BE27">
        <v>36.270000000000003</v>
      </c>
      <c r="BF27">
        <v>1.1599999999999999</v>
      </c>
      <c r="BK27" t="s">
        <v>993</v>
      </c>
      <c r="BL27">
        <v>59.322000000000003</v>
      </c>
      <c r="BN27">
        <v>50.9</v>
      </c>
      <c r="BO27">
        <v>65.411000000000001</v>
      </c>
      <c r="BR27">
        <v>31.425000000000001</v>
      </c>
      <c r="BS27">
        <v>25.363</v>
      </c>
      <c r="BT27" s="2">
        <v>13.023999999999999</v>
      </c>
      <c r="BU27">
        <v>35.201999999999998</v>
      </c>
      <c r="BV27">
        <v>31.283000000000001</v>
      </c>
      <c r="BW27">
        <v>46.42</v>
      </c>
      <c r="BX27">
        <v>72.733999999999995</v>
      </c>
      <c r="BY27">
        <v>22.766999999999999</v>
      </c>
      <c r="BZ27">
        <v>27.346</v>
      </c>
      <c r="CA27">
        <v>67.688000000000002</v>
      </c>
      <c r="CB27">
        <v>129.774</v>
      </c>
      <c r="CE27">
        <v>96.543000000000006</v>
      </c>
      <c r="CF27">
        <v>150.73599999999999</v>
      </c>
      <c r="CI27">
        <v>30.815999999999999</v>
      </c>
      <c r="CK27">
        <v>28.664999999999999</v>
      </c>
      <c r="CN27">
        <v>83.281000000000006</v>
      </c>
      <c r="CP27">
        <v>77.408000000000001</v>
      </c>
      <c r="CQ27">
        <v>32.404000000000003</v>
      </c>
      <c r="DM27" t="s">
        <v>993</v>
      </c>
      <c r="DO27">
        <v>93.915000000000006</v>
      </c>
      <c r="DP27">
        <v>67.980999999999995</v>
      </c>
      <c r="DQ27">
        <v>52.895000000000003</v>
      </c>
      <c r="DS27">
        <v>29.016999999999999</v>
      </c>
      <c r="DW27">
        <v>59.619</v>
      </c>
      <c r="DY27">
        <v>34.197000000000003</v>
      </c>
      <c r="EC27">
        <v>56.561</v>
      </c>
      <c r="EE27">
        <v>29.634</v>
      </c>
      <c r="EG27">
        <v>62.468000000000004</v>
      </c>
      <c r="EH27">
        <v>92.587000000000003</v>
      </c>
      <c r="EJ27">
        <v>70.009</v>
      </c>
      <c r="EK27">
        <v>99.343999999999994</v>
      </c>
      <c r="EN27">
        <v>139.44200000000001</v>
      </c>
      <c r="ET27">
        <v>60.902999999999999</v>
      </c>
      <c r="EU27">
        <v>48.003999999999998</v>
      </c>
      <c r="EW27">
        <v>46.682000000000002</v>
      </c>
      <c r="EX27">
        <v>114.655</v>
      </c>
      <c r="EY27">
        <v>181.19200000000001</v>
      </c>
      <c r="FC27">
        <v>93.061999999999998</v>
      </c>
      <c r="FF27">
        <v>60.72</v>
      </c>
      <c r="FG27">
        <v>50.942</v>
      </c>
      <c r="GB27">
        <v>115</v>
      </c>
      <c r="GC27">
        <v>11</v>
      </c>
      <c r="GD27">
        <v>11</v>
      </c>
      <c r="GE27">
        <v>7</v>
      </c>
      <c r="GG27">
        <v>1</v>
      </c>
      <c r="GH27">
        <v>26</v>
      </c>
      <c r="GI27">
        <v>24</v>
      </c>
      <c r="GJ27">
        <v>2</v>
      </c>
      <c r="GK27">
        <v>19</v>
      </c>
      <c r="GN27">
        <v>17</v>
      </c>
      <c r="GO27">
        <v>7</v>
      </c>
      <c r="GQ27">
        <v>27</v>
      </c>
      <c r="GR27">
        <v>38</v>
      </c>
      <c r="GS27">
        <v>14</v>
      </c>
      <c r="GT27">
        <v>15</v>
      </c>
      <c r="GU27">
        <v>15</v>
      </c>
      <c r="GV27">
        <v>2</v>
      </c>
      <c r="GW27">
        <v>24</v>
      </c>
      <c r="GX27">
        <v>14</v>
      </c>
      <c r="GY27">
        <v>17</v>
      </c>
      <c r="GZ27">
        <v>13</v>
      </c>
      <c r="HA27">
        <v>13</v>
      </c>
      <c r="HB27">
        <v>14</v>
      </c>
      <c r="HC27">
        <v>34</v>
      </c>
      <c r="HD27">
        <v>14</v>
      </c>
      <c r="HG27">
        <v>115</v>
      </c>
      <c r="HH27">
        <v>10</v>
      </c>
      <c r="HI27">
        <v>22</v>
      </c>
      <c r="HJ27">
        <v>18</v>
      </c>
      <c r="HK27">
        <v>9</v>
      </c>
      <c r="HL27">
        <v>33</v>
      </c>
      <c r="HM27">
        <v>28</v>
      </c>
      <c r="HN27">
        <v>26</v>
      </c>
      <c r="HO27">
        <v>22</v>
      </c>
      <c r="HP27">
        <v>7</v>
      </c>
      <c r="HQ27">
        <v>18</v>
      </c>
      <c r="HR27">
        <v>39</v>
      </c>
      <c r="HS27">
        <v>21</v>
      </c>
      <c r="HT27">
        <v>15</v>
      </c>
      <c r="HU27">
        <v>19</v>
      </c>
      <c r="HV27">
        <v>10</v>
      </c>
      <c r="HY27">
        <v>115</v>
      </c>
      <c r="HZ27">
        <v>33</v>
      </c>
      <c r="IA27">
        <v>6</v>
      </c>
      <c r="IB27">
        <v>10</v>
      </c>
      <c r="IC27">
        <v>18</v>
      </c>
      <c r="ID27">
        <v>17</v>
      </c>
      <c r="IE27">
        <v>13</v>
      </c>
      <c r="IF27">
        <v>20</v>
      </c>
      <c r="IG27">
        <v>18</v>
      </c>
      <c r="IH27">
        <v>11</v>
      </c>
      <c r="II27">
        <v>8</v>
      </c>
      <c r="IJ27">
        <v>25</v>
      </c>
      <c r="IK27">
        <v>23</v>
      </c>
      <c r="IL27">
        <v>10</v>
      </c>
      <c r="IM27">
        <v>26</v>
      </c>
      <c r="IN27">
        <v>9</v>
      </c>
      <c r="IO27">
        <v>1</v>
      </c>
    </row>
    <row r="28" spans="1:249" x14ac:dyDescent="0.35">
      <c r="A28" t="s">
        <v>994</v>
      </c>
      <c r="B28">
        <v>75.281999999999996</v>
      </c>
      <c r="C28" s="8">
        <v>76.468999999999994</v>
      </c>
      <c r="D28" s="8"/>
      <c r="E28" s="8">
        <v>86.820999999999998</v>
      </c>
      <c r="F28" s="8">
        <v>67.843999999999994</v>
      </c>
      <c r="G28">
        <v>140.81200000000001</v>
      </c>
      <c r="H28">
        <v>121.209</v>
      </c>
      <c r="I28">
        <v>158.57</v>
      </c>
      <c r="J28" s="2">
        <v>111.217</v>
      </c>
      <c r="K28">
        <v>106.604</v>
      </c>
      <c r="M28">
        <v>124.95699999999999</v>
      </c>
      <c r="N28">
        <v>144.78200000000001</v>
      </c>
      <c r="O28">
        <v>115.696</v>
      </c>
      <c r="P28">
        <v>138.809</v>
      </c>
      <c r="Q28">
        <v>122.258</v>
      </c>
      <c r="T28">
        <v>93.45</v>
      </c>
      <c r="X28">
        <v>154.904</v>
      </c>
      <c r="Y28">
        <v>66.94</v>
      </c>
      <c r="Z28" s="8">
        <v>135.304</v>
      </c>
      <c r="AA28">
        <v>83.603999999999999</v>
      </c>
      <c r="AB28">
        <v>147.82300000000001</v>
      </c>
      <c r="AD28">
        <v>99.096000000000004</v>
      </c>
      <c r="AF28">
        <v>104.627</v>
      </c>
      <c r="AI28">
        <v>118.452</v>
      </c>
      <c r="AN28">
        <v>64.718999999999994</v>
      </c>
      <c r="AO28">
        <v>93.039000000000001</v>
      </c>
      <c r="AP28">
        <v>99.036000000000001</v>
      </c>
      <c r="BD28" t="s">
        <v>97</v>
      </c>
      <c r="BE28">
        <v>283.07</v>
      </c>
      <c r="BF28">
        <v>2.5</v>
      </c>
      <c r="BK28" t="s">
        <v>994</v>
      </c>
      <c r="BL28">
        <v>136.55699999999999</v>
      </c>
      <c r="BN28">
        <v>66.349999999999994</v>
      </c>
      <c r="BO28">
        <v>98.608000000000004</v>
      </c>
      <c r="BP28">
        <v>66.474000000000004</v>
      </c>
      <c r="BQ28">
        <v>13.342000000000001</v>
      </c>
      <c r="BR28">
        <v>112.57599999999999</v>
      </c>
      <c r="BS28">
        <v>67.084999999999994</v>
      </c>
      <c r="BT28">
        <v>106.907</v>
      </c>
      <c r="BU28">
        <v>49.265999999999998</v>
      </c>
      <c r="BV28">
        <v>44.046999999999997</v>
      </c>
      <c r="BW28">
        <v>61.375</v>
      </c>
      <c r="BX28">
        <v>113.82</v>
      </c>
      <c r="BY28">
        <v>53.47</v>
      </c>
      <c r="BZ28">
        <v>79.067999999999998</v>
      </c>
      <c r="CA28">
        <v>200.03399999999999</v>
      </c>
      <c r="CB28">
        <v>178.03200000000001</v>
      </c>
      <c r="CE28">
        <v>113.873</v>
      </c>
      <c r="CF28">
        <v>207.584</v>
      </c>
      <c r="CI28">
        <v>124.155</v>
      </c>
      <c r="CK28">
        <v>47.267000000000003</v>
      </c>
      <c r="CN28">
        <v>87.045000000000002</v>
      </c>
      <c r="CP28">
        <v>96.65</v>
      </c>
      <c r="CQ28">
        <v>94.003</v>
      </c>
      <c r="DM28" t="s">
        <v>994</v>
      </c>
      <c r="DN28">
        <v>110.622</v>
      </c>
      <c r="DO28" s="2">
        <v>170.47200000000001</v>
      </c>
      <c r="DP28">
        <v>121.986</v>
      </c>
      <c r="DQ28">
        <v>106.486</v>
      </c>
      <c r="DR28">
        <v>96.79</v>
      </c>
      <c r="DS28">
        <v>14.509</v>
      </c>
      <c r="DU28">
        <v>305.67</v>
      </c>
      <c r="DW28">
        <v>83.3</v>
      </c>
      <c r="DY28">
        <v>44.548000000000002</v>
      </c>
      <c r="EA28">
        <v>157.482</v>
      </c>
      <c r="EC28">
        <v>102.486</v>
      </c>
      <c r="EE28">
        <v>64.195999999999998</v>
      </c>
      <c r="EG28">
        <v>92.488</v>
      </c>
      <c r="EH28">
        <v>166.00200000000001</v>
      </c>
      <c r="EJ28">
        <v>112.901</v>
      </c>
      <c r="EK28">
        <v>123.444</v>
      </c>
      <c r="EN28">
        <v>168.941</v>
      </c>
      <c r="ET28">
        <v>113.89700000000001</v>
      </c>
      <c r="EU28">
        <v>106.815</v>
      </c>
      <c r="EW28">
        <v>126.262</v>
      </c>
      <c r="EX28">
        <v>124.874</v>
      </c>
      <c r="EY28">
        <v>197.91800000000001</v>
      </c>
      <c r="FC28">
        <v>124.01</v>
      </c>
      <c r="FF28">
        <v>65.793000000000006</v>
      </c>
      <c r="FG28">
        <v>70.912000000000006</v>
      </c>
      <c r="GB28">
        <v>120</v>
      </c>
      <c r="GC28">
        <v>21</v>
      </c>
      <c r="GD28">
        <v>12</v>
      </c>
      <c r="GE28">
        <v>12</v>
      </c>
      <c r="GG28">
        <v>1</v>
      </c>
      <c r="GH28">
        <v>26</v>
      </c>
      <c r="GI28">
        <v>20</v>
      </c>
      <c r="GJ28">
        <v>2</v>
      </c>
      <c r="GK28">
        <v>17</v>
      </c>
      <c r="GN28">
        <v>15</v>
      </c>
      <c r="GO28">
        <v>10</v>
      </c>
      <c r="GQ28">
        <v>27</v>
      </c>
      <c r="GR28">
        <v>39</v>
      </c>
      <c r="GS28">
        <v>16</v>
      </c>
      <c r="GT28">
        <v>24</v>
      </c>
      <c r="GU28">
        <v>14</v>
      </c>
      <c r="GV28">
        <v>2</v>
      </c>
      <c r="GW28">
        <v>20</v>
      </c>
      <c r="GX28">
        <v>13</v>
      </c>
      <c r="GY28">
        <v>15</v>
      </c>
      <c r="GZ28">
        <v>15</v>
      </c>
      <c r="HA28">
        <v>13</v>
      </c>
      <c r="HB28">
        <v>13</v>
      </c>
      <c r="HC28">
        <v>31</v>
      </c>
      <c r="HD28">
        <v>15</v>
      </c>
      <c r="HG28">
        <v>120</v>
      </c>
      <c r="HH28">
        <v>12</v>
      </c>
      <c r="HI28">
        <v>23</v>
      </c>
      <c r="HJ28">
        <v>18</v>
      </c>
      <c r="HK28">
        <v>9</v>
      </c>
      <c r="HL28">
        <v>34</v>
      </c>
      <c r="HM28">
        <v>26</v>
      </c>
      <c r="HN28">
        <v>25</v>
      </c>
      <c r="HO28">
        <v>21</v>
      </c>
      <c r="HP28">
        <v>8</v>
      </c>
      <c r="HQ28">
        <v>17</v>
      </c>
      <c r="HR28">
        <v>39</v>
      </c>
      <c r="HS28">
        <v>22</v>
      </c>
      <c r="HT28">
        <v>16</v>
      </c>
      <c r="HU28">
        <v>18</v>
      </c>
      <c r="HV28">
        <v>11</v>
      </c>
      <c r="HY28">
        <v>120</v>
      </c>
      <c r="HZ28">
        <v>31</v>
      </c>
      <c r="IA28">
        <v>6</v>
      </c>
      <c r="IB28">
        <v>10</v>
      </c>
      <c r="IC28">
        <v>18</v>
      </c>
      <c r="ID28">
        <v>16</v>
      </c>
      <c r="IE28">
        <v>13</v>
      </c>
      <c r="IF28">
        <v>20</v>
      </c>
      <c r="IG28">
        <v>17</v>
      </c>
      <c r="IH28">
        <v>12</v>
      </c>
      <c r="II28">
        <v>8</v>
      </c>
      <c r="IJ28">
        <v>26</v>
      </c>
      <c r="IK28">
        <v>23</v>
      </c>
      <c r="IL28">
        <v>9</v>
      </c>
      <c r="IM28">
        <v>32</v>
      </c>
      <c r="IN28">
        <v>9</v>
      </c>
      <c r="IO28">
        <v>1</v>
      </c>
    </row>
    <row r="29" spans="1:249" x14ac:dyDescent="0.35">
      <c r="A29" t="s">
        <v>995</v>
      </c>
      <c r="B29">
        <v>67.977999999999994</v>
      </c>
      <c r="C29" s="8"/>
      <c r="D29" s="8">
        <v>73.835999999999999</v>
      </c>
      <c r="E29" s="8"/>
      <c r="F29" s="8">
        <v>75.278000000000006</v>
      </c>
      <c r="G29">
        <v>37.253</v>
      </c>
      <c r="I29">
        <v>88.295000000000002</v>
      </c>
      <c r="J29">
        <v>67.328999999999994</v>
      </c>
      <c r="M29">
        <v>46.896999999999998</v>
      </c>
      <c r="O29" s="2">
        <v>98.686000000000007</v>
      </c>
      <c r="P29">
        <v>94.662999999999997</v>
      </c>
      <c r="Q29">
        <v>49.323</v>
      </c>
      <c r="R29">
        <v>65.347999999999999</v>
      </c>
      <c r="S29">
        <v>92.754999999999995</v>
      </c>
      <c r="T29">
        <v>34.96</v>
      </c>
      <c r="U29">
        <v>93.356999999999999</v>
      </c>
      <c r="W29">
        <v>103.06100000000001</v>
      </c>
      <c r="X29">
        <v>110.21</v>
      </c>
      <c r="Y29" s="8">
        <v>109.07599999999999</v>
      </c>
      <c r="Z29" s="8">
        <v>161.31200000000001</v>
      </c>
      <c r="AA29">
        <v>115.983</v>
      </c>
      <c r="AC29" s="10">
        <v>69.194999999999993</v>
      </c>
      <c r="AD29" s="2">
        <v>69.436000000000007</v>
      </c>
      <c r="AE29">
        <v>35.542000000000002</v>
      </c>
      <c r="AF29">
        <v>158.958</v>
      </c>
      <c r="AG29" s="8"/>
      <c r="AI29">
        <v>50.051000000000002</v>
      </c>
      <c r="AO29">
        <v>69.602999999999994</v>
      </c>
      <c r="AP29">
        <v>102.30200000000001</v>
      </c>
      <c r="BD29" t="s">
        <v>98</v>
      </c>
      <c r="BE29">
        <v>283.07</v>
      </c>
      <c r="BF29">
        <v>2.09</v>
      </c>
      <c r="BK29" t="s">
        <v>995</v>
      </c>
      <c r="BL29">
        <v>113.928</v>
      </c>
      <c r="BM29">
        <v>87.46</v>
      </c>
      <c r="BN29">
        <v>124.35</v>
      </c>
      <c r="BO29">
        <v>48.109000000000002</v>
      </c>
      <c r="BR29">
        <v>109.345</v>
      </c>
      <c r="BS29" s="2">
        <v>96.322000000000003</v>
      </c>
      <c r="BT29">
        <v>54.487000000000002</v>
      </c>
      <c r="BU29">
        <v>116.85599999999999</v>
      </c>
      <c r="BV29">
        <v>77.983999999999995</v>
      </c>
      <c r="BW29">
        <v>82.125</v>
      </c>
      <c r="BY29">
        <v>59.521999999999998</v>
      </c>
      <c r="BZ29">
        <v>117.297</v>
      </c>
      <c r="CA29">
        <v>80.807000000000002</v>
      </c>
      <c r="CB29">
        <v>89.35</v>
      </c>
      <c r="CC29">
        <v>25.596</v>
      </c>
      <c r="CE29">
        <v>100.798</v>
      </c>
      <c r="CF29">
        <v>134.631</v>
      </c>
      <c r="CI29">
        <v>103.185</v>
      </c>
      <c r="CK29">
        <v>104.16500000000001</v>
      </c>
      <c r="CN29">
        <v>70.682000000000002</v>
      </c>
      <c r="CP29">
        <v>116.223</v>
      </c>
      <c r="CQ29">
        <v>53.524999999999999</v>
      </c>
      <c r="CR29">
        <v>115.458</v>
      </c>
      <c r="DM29" t="s">
        <v>995</v>
      </c>
      <c r="DO29">
        <v>107.608</v>
      </c>
      <c r="DP29" s="2">
        <v>64.423000000000002</v>
      </c>
      <c r="DQ29">
        <v>15.967000000000001</v>
      </c>
      <c r="DS29">
        <v>49.725000000000001</v>
      </c>
      <c r="DW29">
        <v>106.58199999999999</v>
      </c>
      <c r="DX29">
        <v>67.287999999999997</v>
      </c>
      <c r="DY29">
        <v>102.873</v>
      </c>
      <c r="EC29">
        <v>81.962000000000003</v>
      </c>
      <c r="EE29">
        <v>70.156000000000006</v>
      </c>
      <c r="EG29">
        <v>56.707999999999998</v>
      </c>
      <c r="EH29">
        <v>38.973999999999997</v>
      </c>
      <c r="EJ29">
        <v>54.042000000000002</v>
      </c>
      <c r="EK29">
        <v>73.058999999999997</v>
      </c>
      <c r="EN29">
        <v>116.967</v>
      </c>
      <c r="ET29">
        <v>195.00200000000001</v>
      </c>
      <c r="EU29">
        <v>44.488999999999997</v>
      </c>
      <c r="EW29">
        <v>141.38399999999999</v>
      </c>
      <c r="EX29" s="2">
        <v>62.414000000000001</v>
      </c>
      <c r="EY29">
        <v>43.563000000000002</v>
      </c>
      <c r="FC29">
        <v>66.730999999999995</v>
      </c>
      <c r="FF29">
        <v>39.098999999999997</v>
      </c>
      <c r="FG29">
        <v>82.162000000000006</v>
      </c>
      <c r="GB29">
        <v>125</v>
      </c>
      <c r="GC29">
        <v>18</v>
      </c>
      <c r="GD29">
        <v>16</v>
      </c>
      <c r="GE29">
        <v>10</v>
      </c>
      <c r="GG29">
        <v>1</v>
      </c>
      <c r="GH29">
        <v>24</v>
      </c>
      <c r="GI29">
        <v>21</v>
      </c>
      <c r="GJ29">
        <v>2</v>
      </c>
      <c r="GK29">
        <v>15</v>
      </c>
      <c r="GN29">
        <v>15</v>
      </c>
      <c r="GO29">
        <v>8</v>
      </c>
      <c r="GQ29">
        <v>23</v>
      </c>
      <c r="GR29">
        <v>36</v>
      </c>
      <c r="GS29">
        <v>17</v>
      </c>
      <c r="GT29">
        <v>18</v>
      </c>
      <c r="GU29">
        <v>14</v>
      </c>
      <c r="GV29">
        <v>2</v>
      </c>
      <c r="GW29">
        <v>18</v>
      </c>
      <c r="GX29">
        <v>16</v>
      </c>
      <c r="GY29">
        <v>14</v>
      </c>
      <c r="GZ29">
        <v>15</v>
      </c>
      <c r="HA29">
        <v>13</v>
      </c>
      <c r="HB29">
        <v>13</v>
      </c>
      <c r="HC29">
        <v>29</v>
      </c>
      <c r="HD29">
        <v>17</v>
      </c>
      <c r="HG29">
        <v>125</v>
      </c>
      <c r="HH29">
        <v>13</v>
      </c>
      <c r="HI29">
        <v>23</v>
      </c>
      <c r="HJ29">
        <v>20</v>
      </c>
      <c r="HK29">
        <v>9</v>
      </c>
      <c r="HL29">
        <v>34</v>
      </c>
      <c r="HM29">
        <v>27</v>
      </c>
      <c r="HN29">
        <v>23</v>
      </c>
      <c r="HO29">
        <v>19</v>
      </c>
      <c r="HP29">
        <v>7</v>
      </c>
      <c r="HQ29">
        <v>17</v>
      </c>
      <c r="HR29">
        <v>34</v>
      </c>
      <c r="HS29">
        <v>23</v>
      </c>
      <c r="HT29">
        <v>17</v>
      </c>
      <c r="HU29">
        <v>19</v>
      </c>
      <c r="HV29">
        <v>10</v>
      </c>
      <c r="HY29">
        <v>125</v>
      </c>
      <c r="HZ29">
        <v>31</v>
      </c>
      <c r="IA29">
        <v>6</v>
      </c>
      <c r="IB29">
        <v>10</v>
      </c>
      <c r="IC29">
        <v>18</v>
      </c>
      <c r="ID29">
        <v>16</v>
      </c>
      <c r="IE29">
        <v>15</v>
      </c>
      <c r="IF29">
        <v>19</v>
      </c>
      <c r="IG29">
        <v>15</v>
      </c>
      <c r="IH29">
        <v>11</v>
      </c>
      <c r="II29">
        <v>10</v>
      </c>
      <c r="IJ29">
        <v>27</v>
      </c>
      <c r="IK29">
        <v>23</v>
      </c>
      <c r="IL29">
        <v>10</v>
      </c>
      <c r="IM29">
        <v>32</v>
      </c>
      <c r="IN29">
        <v>11</v>
      </c>
      <c r="IO29">
        <v>1</v>
      </c>
    </row>
    <row r="30" spans="1:249" x14ac:dyDescent="0.35">
      <c r="A30" t="s">
        <v>996</v>
      </c>
      <c r="B30">
        <v>93.588999999999999</v>
      </c>
      <c r="C30" s="8"/>
      <c r="D30" s="8"/>
      <c r="E30" s="8"/>
      <c r="F30" s="8">
        <v>64.376000000000005</v>
      </c>
      <c r="G30">
        <v>118.268</v>
      </c>
      <c r="I30" s="2">
        <v>34.948</v>
      </c>
      <c r="J30">
        <v>52.021000000000001</v>
      </c>
      <c r="M30" s="8">
        <v>37.46</v>
      </c>
      <c r="O30">
        <v>39.5</v>
      </c>
      <c r="P30">
        <v>38.631</v>
      </c>
      <c r="Q30">
        <v>92.456999999999994</v>
      </c>
      <c r="R30">
        <v>52.911000000000001</v>
      </c>
      <c r="S30">
        <v>66.635999999999996</v>
      </c>
      <c r="T30">
        <v>52.079000000000001</v>
      </c>
      <c r="V30">
        <v>37.485999999999997</v>
      </c>
      <c r="W30" s="2">
        <v>58.253999999999998</v>
      </c>
      <c r="X30">
        <v>67.388000000000005</v>
      </c>
      <c r="Y30">
        <v>93.462000000000003</v>
      </c>
      <c r="Z30">
        <v>95.323999999999998</v>
      </c>
      <c r="AA30">
        <v>64.730999999999995</v>
      </c>
      <c r="AB30">
        <v>20.905000000000001</v>
      </c>
      <c r="AD30">
        <v>27.670999999999999</v>
      </c>
      <c r="AF30">
        <v>123.741</v>
      </c>
      <c r="AI30">
        <v>110.712</v>
      </c>
      <c r="AN30">
        <v>40.164000000000001</v>
      </c>
      <c r="AO30">
        <v>76.718999999999994</v>
      </c>
      <c r="AP30">
        <v>74.588999999999999</v>
      </c>
      <c r="BD30" t="s">
        <v>99</v>
      </c>
      <c r="BE30">
        <v>19.559999999999999</v>
      </c>
      <c r="BF30">
        <v>1.01</v>
      </c>
      <c r="BK30" t="s">
        <v>996</v>
      </c>
      <c r="BL30">
        <v>51.417000000000002</v>
      </c>
      <c r="BM30">
        <v>35.171999999999997</v>
      </c>
      <c r="BN30">
        <v>116.176</v>
      </c>
      <c r="BO30">
        <v>35.973999999999997</v>
      </c>
      <c r="BP30">
        <v>17.789000000000001</v>
      </c>
      <c r="BQ30">
        <v>63.042999999999999</v>
      </c>
      <c r="BR30">
        <v>33.887999999999998</v>
      </c>
      <c r="BS30">
        <v>58.215000000000003</v>
      </c>
      <c r="BT30">
        <v>43.261000000000003</v>
      </c>
      <c r="BU30">
        <v>69.620999999999995</v>
      </c>
      <c r="BV30">
        <v>58.959000000000003</v>
      </c>
      <c r="BW30">
        <v>55.518000000000001</v>
      </c>
      <c r="BY30">
        <v>32.756</v>
      </c>
      <c r="BZ30">
        <v>64.793000000000006</v>
      </c>
      <c r="CA30">
        <v>60.710999999999999</v>
      </c>
      <c r="CB30" s="2">
        <v>46.018000000000001</v>
      </c>
      <c r="CE30">
        <v>64.992000000000004</v>
      </c>
      <c r="CF30">
        <v>64.855000000000004</v>
      </c>
      <c r="CI30">
        <v>37.271999999999998</v>
      </c>
      <c r="CK30">
        <v>88.052000000000007</v>
      </c>
      <c r="CN30">
        <v>75.733999999999995</v>
      </c>
      <c r="CP30">
        <v>92.450999999999993</v>
      </c>
      <c r="CQ30">
        <v>34.784999999999997</v>
      </c>
      <c r="CR30">
        <v>74.680999999999997</v>
      </c>
      <c r="DM30" t="s">
        <v>996</v>
      </c>
      <c r="DN30">
        <v>46.607999999999997</v>
      </c>
      <c r="DO30">
        <v>27.17</v>
      </c>
      <c r="DP30">
        <v>47.963000000000001</v>
      </c>
      <c r="DQ30">
        <v>68.715999999999994</v>
      </c>
      <c r="DR30">
        <v>29.417000000000002</v>
      </c>
      <c r="DS30">
        <v>32.573</v>
      </c>
      <c r="DW30">
        <v>68.507000000000005</v>
      </c>
      <c r="DX30">
        <v>33.692999999999998</v>
      </c>
      <c r="DY30">
        <v>84.308000000000007</v>
      </c>
      <c r="EC30">
        <v>47.027000000000001</v>
      </c>
      <c r="EE30">
        <v>29.678999999999998</v>
      </c>
      <c r="EG30">
        <v>63.848999999999997</v>
      </c>
      <c r="EH30">
        <v>115.69799999999999</v>
      </c>
      <c r="EJ30">
        <v>104.15300000000001</v>
      </c>
      <c r="EK30">
        <v>93.653999999999996</v>
      </c>
      <c r="EN30">
        <v>145.32300000000001</v>
      </c>
      <c r="ET30">
        <v>136.833</v>
      </c>
      <c r="EU30">
        <v>16.027000000000001</v>
      </c>
      <c r="EW30">
        <v>70.858000000000004</v>
      </c>
      <c r="EX30">
        <v>50.161000000000001</v>
      </c>
      <c r="EY30">
        <v>37.735999999999997</v>
      </c>
      <c r="FC30">
        <v>91.046000000000006</v>
      </c>
      <c r="FF30">
        <v>45.357999999999997</v>
      </c>
      <c r="FG30" s="2">
        <v>55.402000000000001</v>
      </c>
      <c r="GB30">
        <v>130</v>
      </c>
      <c r="GC30">
        <v>21</v>
      </c>
      <c r="GD30">
        <v>19</v>
      </c>
      <c r="GE30">
        <v>8</v>
      </c>
      <c r="GG30">
        <v>1</v>
      </c>
      <c r="GH30">
        <v>26</v>
      </c>
      <c r="GI30">
        <v>23</v>
      </c>
      <c r="GJ30">
        <v>2</v>
      </c>
      <c r="GK30">
        <v>16</v>
      </c>
      <c r="GN30">
        <v>14</v>
      </c>
      <c r="GO30">
        <v>6</v>
      </c>
      <c r="GQ30">
        <v>22</v>
      </c>
      <c r="GR30">
        <v>32</v>
      </c>
      <c r="GS30">
        <v>16</v>
      </c>
      <c r="GT30">
        <v>15</v>
      </c>
      <c r="GU30">
        <v>14</v>
      </c>
      <c r="GV30">
        <v>2</v>
      </c>
      <c r="GW30">
        <v>20</v>
      </c>
      <c r="GX30">
        <v>13</v>
      </c>
      <c r="GY30">
        <v>15</v>
      </c>
      <c r="GZ30">
        <v>14</v>
      </c>
      <c r="HA30">
        <v>13</v>
      </c>
      <c r="HB30">
        <v>12</v>
      </c>
      <c r="HC30">
        <v>29</v>
      </c>
      <c r="HD30">
        <v>17</v>
      </c>
      <c r="HG30">
        <v>130</v>
      </c>
      <c r="HH30">
        <v>15</v>
      </c>
      <c r="HI30">
        <v>24</v>
      </c>
      <c r="HJ30">
        <v>20</v>
      </c>
      <c r="HK30">
        <v>10</v>
      </c>
      <c r="HL30">
        <v>34</v>
      </c>
      <c r="HM30">
        <v>29</v>
      </c>
      <c r="HN30">
        <v>24</v>
      </c>
      <c r="HO30">
        <v>19</v>
      </c>
      <c r="HP30">
        <v>7</v>
      </c>
      <c r="HQ30">
        <v>19</v>
      </c>
      <c r="HR30">
        <v>34</v>
      </c>
      <c r="HS30">
        <v>24</v>
      </c>
      <c r="HT30">
        <v>16</v>
      </c>
      <c r="HU30">
        <v>20</v>
      </c>
      <c r="HV30">
        <v>11</v>
      </c>
      <c r="HY30">
        <v>130</v>
      </c>
      <c r="HZ30">
        <v>28</v>
      </c>
      <c r="IA30">
        <v>6</v>
      </c>
      <c r="IB30">
        <v>10</v>
      </c>
      <c r="IC30">
        <v>20</v>
      </c>
      <c r="ID30">
        <v>16</v>
      </c>
      <c r="IE30">
        <v>16</v>
      </c>
      <c r="IF30">
        <v>20</v>
      </c>
      <c r="IG30">
        <v>15</v>
      </c>
      <c r="IH30">
        <v>11</v>
      </c>
      <c r="II30">
        <v>11</v>
      </c>
      <c r="IJ30">
        <v>27</v>
      </c>
      <c r="IK30">
        <v>23</v>
      </c>
      <c r="IL30">
        <v>10</v>
      </c>
      <c r="IM30">
        <v>32</v>
      </c>
      <c r="IN30">
        <v>9</v>
      </c>
      <c r="IO30">
        <v>1</v>
      </c>
    </row>
    <row r="31" spans="1:249" x14ac:dyDescent="0.35">
      <c r="A31" t="s">
        <v>997</v>
      </c>
      <c r="B31">
        <v>49.345999999999997</v>
      </c>
      <c r="C31" s="10">
        <v>57.027999999999999</v>
      </c>
      <c r="D31" s="8"/>
      <c r="E31" s="10">
        <v>37.549999999999997</v>
      </c>
      <c r="F31" s="8">
        <v>76.638999999999996</v>
      </c>
      <c r="G31" s="2">
        <v>84.046999999999997</v>
      </c>
      <c r="I31">
        <v>53.581000000000003</v>
      </c>
      <c r="J31" s="2">
        <v>79.198999999999998</v>
      </c>
      <c r="K31">
        <v>56.947000000000003</v>
      </c>
      <c r="M31">
        <v>20.042999999999999</v>
      </c>
      <c r="N31">
        <v>80.066000000000003</v>
      </c>
      <c r="O31">
        <v>75.753</v>
      </c>
      <c r="P31">
        <v>77.825000000000003</v>
      </c>
      <c r="Q31">
        <v>46.134999999999998</v>
      </c>
      <c r="R31">
        <v>28.212</v>
      </c>
      <c r="S31">
        <v>30.465</v>
      </c>
      <c r="T31">
        <v>44.082000000000001</v>
      </c>
      <c r="W31">
        <v>44.215000000000003</v>
      </c>
      <c r="X31" s="2">
        <v>105.72</v>
      </c>
      <c r="Y31">
        <v>18.779</v>
      </c>
      <c r="Z31">
        <v>66.763999999999996</v>
      </c>
      <c r="AA31" s="2">
        <v>56.976999999999997</v>
      </c>
      <c r="AD31">
        <v>38.561999999999998</v>
      </c>
      <c r="AF31">
        <v>44.677999999999997</v>
      </c>
      <c r="AI31">
        <v>72.760999999999996</v>
      </c>
      <c r="AO31">
        <v>36.423999999999999</v>
      </c>
      <c r="AP31">
        <v>94.334000000000003</v>
      </c>
      <c r="BD31" t="s">
        <v>100</v>
      </c>
      <c r="BE31">
        <v>19.559999999999999</v>
      </c>
      <c r="BF31">
        <v>2.2799999999999998</v>
      </c>
      <c r="BK31" t="s">
        <v>997</v>
      </c>
      <c r="BL31">
        <v>81.515000000000001</v>
      </c>
      <c r="BM31">
        <v>56.945999999999998</v>
      </c>
      <c r="BN31">
        <v>17.77</v>
      </c>
      <c r="BO31">
        <v>34.758000000000003</v>
      </c>
      <c r="BR31">
        <v>86.775000000000006</v>
      </c>
      <c r="BS31">
        <v>46.576999999999998</v>
      </c>
      <c r="BT31">
        <v>53.911999999999999</v>
      </c>
      <c r="BU31">
        <v>45.445999999999998</v>
      </c>
      <c r="BV31" s="2">
        <v>20.495999999999999</v>
      </c>
      <c r="BW31">
        <v>45.113</v>
      </c>
      <c r="BX31">
        <v>42.97</v>
      </c>
      <c r="BY31">
        <v>39.625999999999998</v>
      </c>
      <c r="BZ31">
        <v>53.686999999999998</v>
      </c>
      <c r="CA31" s="2">
        <v>133.08000000000001</v>
      </c>
      <c r="CB31">
        <v>47.789000000000001</v>
      </c>
      <c r="CE31">
        <v>47.783000000000001</v>
      </c>
      <c r="CF31" s="2">
        <v>70.978999999999999</v>
      </c>
      <c r="CI31">
        <v>95.584000000000003</v>
      </c>
      <c r="CK31">
        <v>22.431999999999999</v>
      </c>
      <c r="CN31">
        <v>28.600999999999999</v>
      </c>
      <c r="CP31">
        <v>30.614999999999998</v>
      </c>
      <c r="CQ31">
        <v>66.861999999999995</v>
      </c>
      <c r="CR31">
        <v>58.298999999999999</v>
      </c>
      <c r="DM31" t="s">
        <v>997</v>
      </c>
      <c r="DO31">
        <v>80.188000000000002</v>
      </c>
      <c r="DP31">
        <v>54.969000000000001</v>
      </c>
      <c r="DQ31">
        <v>61.238999999999997</v>
      </c>
      <c r="DS31">
        <v>20.728999999999999</v>
      </c>
      <c r="DW31">
        <v>38.104999999999997</v>
      </c>
      <c r="DX31">
        <v>37.328000000000003</v>
      </c>
      <c r="DY31">
        <v>24.527000000000001</v>
      </c>
      <c r="EC31">
        <v>62.112000000000002</v>
      </c>
      <c r="EE31">
        <v>42.83</v>
      </c>
      <c r="EG31">
        <v>37.737000000000002</v>
      </c>
      <c r="EH31">
        <v>77.180000000000007</v>
      </c>
      <c r="EJ31">
        <v>55.933</v>
      </c>
      <c r="EK31">
        <v>41.442999999999998</v>
      </c>
      <c r="EN31">
        <v>31.125</v>
      </c>
      <c r="ET31">
        <v>60.002000000000002</v>
      </c>
      <c r="EU31">
        <v>59.289000000000001</v>
      </c>
      <c r="EW31">
        <v>80.557000000000002</v>
      </c>
      <c r="EX31">
        <v>12.616</v>
      </c>
      <c r="EY31">
        <v>22.375</v>
      </c>
      <c r="FC31">
        <v>48.98</v>
      </c>
      <c r="FF31">
        <v>20.187999999999999</v>
      </c>
      <c r="FG31">
        <v>39.348999999999997</v>
      </c>
      <c r="GB31">
        <v>135</v>
      </c>
      <c r="GC31">
        <v>21</v>
      </c>
      <c r="GD31">
        <v>13</v>
      </c>
      <c r="GE31">
        <v>8</v>
      </c>
      <c r="GG31">
        <v>1</v>
      </c>
      <c r="GH31">
        <v>24</v>
      </c>
      <c r="GI31">
        <v>20</v>
      </c>
      <c r="GJ31">
        <v>2</v>
      </c>
      <c r="GK31">
        <v>15</v>
      </c>
      <c r="GN31">
        <v>17</v>
      </c>
      <c r="GO31">
        <v>7</v>
      </c>
      <c r="GQ31">
        <v>21</v>
      </c>
      <c r="GR31">
        <v>33</v>
      </c>
      <c r="GS31">
        <v>18</v>
      </c>
      <c r="GT31">
        <v>16</v>
      </c>
      <c r="GU31">
        <v>15</v>
      </c>
      <c r="GV31">
        <v>2</v>
      </c>
      <c r="GW31">
        <v>20</v>
      </c>
      <c r="GX31">
        <v>10</v>
      </c>
      <c r="GY31">
        <v>17</v>
      </c>
      <c r="GZ31">
        <v>13</v>
      </c>
      <c r="HA31">
        <v>13</v>
      </c>
      <c r="HB31">
        <v>14</v>
      </c>
      <c r="HC31">
        <v>27</v>
      </c>
      <c r="HD31">
        <v>19</v>
      </c>
      <c r="HG31">
        <v>135</v>
      </c>
      <c r="HH31">
        <v>17</v>
      </c>
      <c r="HI31">
        <v>24</v>
      </c>
      <c r="HJ31">
        <v>19</v>
      </c>
      <c r="HK31">
        <v>10</v>
      </c>
      <c r="HL31">
        <v>32</v>
      </c>
      <c r="HM31">
        <v>29</v>
      </c>
      <c r="HN31">
        <v>24</v>
      </c>
      <c r="HO31">
        <v>18</v>
      </c>
      <c r="HP31">
        <v>7</v>
      </c>
      <c r="HQ31">
        <v>20</v>
      </c>
      <c r="HR31">
        <v>35</v>
      </c>
      <c r="HS31">
        <v>25</v>
      </c>
      <c r="HT31">
        <v>17</v>
      </c>
      <c r="HU31">
        <v>18</v>
      </c>
      <c r="HV31">
        <v>11</v>
      </c>
      <c r="HY31">
        <v>135</v>
      </c>
      <c r="HZ31">
        <v>28</v>
      </c>
      <c r="IA31">
        <v>7</v>
      </c>
      <c r="IB31">
        <v>9</v>
      </c>
      <c r="IC31">
        <v>19</v>
      </c>
      <c r="ID31">
        <v>14</v>
      </c>
      <c r="IE31">
        <v>18</v>
      </c>
      <c r="IF31">
        <v>20</v>
      </c>
      <c r="IG31">
        <v>13</v>
      </c>
      <c r="IH31">
        <v>14</v>
      </c>
      <c r="II31">
        <v>11</v>
      </c>
      <c r="IJ31">
        <v>26</v>
      </c>
      <c r="IK31">
        <v>24</v>
      </c>
      <c r="IL31">
        <v>11</v>
      </c>
      <c r="IM31">
        <v>30</v>
      </c>
      <c r="IN31">
        <v>13</v>
      </c>
      <c r="IO31">
        <v>1</v>
      </c>
    </row>
    <row r="32" spans="1:249" x14ac:dyDescent="0.35">
      <c r="A32" t="s">
        <v>131</v>
      </c>
      <c r="B32">
        <v>56</v>
      </c>
      <c r="C32" s="8">
        <v>42</v>
      </c>
      <c r="D32" s="8">
        <v>42</v>
      </c>
      <c r="E32">
        <v>12</v>
      </c>
      <c r="F32">
        <v>56</v>
      </c>
      <c r="G32">
        <v>30</v>
      </c>
      <c r="H32">
        <v>12</v>
      </c>
      <c r="I32" s="8">
        <v>56</v>
      </c>
      <c r="J32" s="8">
        <v>56</v>
      </c>
      <c r="K32">
        <v>42</v>
      </c>
      <c r="M32">
        <v>56</v>
      </c>
      <c r="N32">
        <v>42</v>
      </c>
      <c r="O32">
        <v>56</v>
      </c>
      <c r="P32">
        <v>56</v>
      </c>
      <c r="Q32">
        <v>56</v>
      </c>
      <c r="R32">
        <v>42</v>
      </c>
      <c r="S32">
        <v>30</v>
      </c>
      <c r="T32">
        <v>42</v>
      </c>
      <c r="U32">
        <v>42</v>
      </c>
      <c r="V32">
        <v>30</v>
      </c>
      <c r="W32">
        <v>42</v>
      </c>
      <c r="X32">
        <v>56</v>
      </c>
      <c r="Y32">
        <v>56</v>
      </c>
      <c r="Z32">
        <v>56</v>
      </c>
      <c r="AA32">
        <v>56</v>
      </c>
      <c r="AB32">
        <v>42</v>
      </c>
      <c r="AC32">
        <v>30</v>
      </c>
      <c r="AD32">
        <v>56</v>
      </c>
      <c r="AE32">
        <v>42</v>
      </c>
      <c r="AF32">
        <v>56</v>
      </c>
      <c r="AG32">
        <v>30</v>
      </c>
      <c r="AI32">
        <v>56</v>
      </c>
      <c r="AJ32">
        <v>42</v>
      </c>
      <c r="AK32">
        <v>42</v>
      </c>
      <c r="AM32">
        <v>42</v>
      </c>
      <c r="AN32">
        <v>42</v>
      </c>
      <c r="AP32">
        <v>30</v>
      </c>
      <c r="BD32" t="s">
        <v>101</v>
      </c>
      <c r="BE32">
        <v>168.17</v>
      </c>
      <c r="BF32">
        <v>1.97</v>
      </c>
      <c r="BK32" t="s">
        <v>131</v>
      </c>
      <c r="BL32">
        <v>56</v>
      </c>
      <c r="BM32">
        <v>42</v>
      </c>
      <c r="BN32">
        <v>56</v>
      </c>
      <c r="BO32">
        <v>56</v>
      </c>
      <c r="BP32">
        <v>42</v>
      </c>
      <c r="BQ32">
        <v>30</v>
      </c>
      <c r="BR32">
        <v>56</v>
      </c>
      <c r="BS32">
        <v>56</v>
      </c>
      <c r="BT32">
        <v>56</v>
      </c>
      <c r="BU32">
        <v>20</v>
      </c>
      <c r="BV32">
        <v>42</v>
      </c>
      <c r="BW32">
        <v>56</v>
      </c>
      <c r="BX32">
        <v>42</v>
      </c>
      <c r="BY32">
        <v>30</v>
      </c>
      <c r="BZ32">
        <v>56</v>
      </c>
      <c r="CA32">
        <v>42</v>
      </c>
      <c r="CB32">
        <v>56</v>
      </c>
      <c r="CC32">
        <v>30</v>
      </c>
      <c r="CD32">
        <v>30</v>
      </c>
      <c r="CE32">
        <v>56</v>
      </c>
      <c r="CF32">
        <v>56</v>
      </c>
      <c r="CG32">
        <v>42</v>
      </c>
      <c r="CH32">
        <v>30</v>
      </c>
      <c r="CI32">
        <v>42</v>
      </c>
      <c r="CJ32">
        <v>20</v>
      </c>
      <c r="CK32">
        <v>42</v>
      </c>
      <c r="CL32">
        <v>20</v>
      </c>
      <c r="CM32">
        <v>20</v>
      </c>
      <c r="CN32">
        <v>56</v>
      </c>
      <c r="CO32">
        <v>42</v>
      </c>
      <c r="CP32">
        <v>56</v>
      </c>
      <c r="CQ32">
        <v>56</v>
      </c>
      <c r="GB32">
        <v>140</v>
      </c>
      <c r="GC32">
        <v>22</v>
      </c>
      <c r="GD32">
        <v>13</v>
      </c>
      <c r="GE32">
        <v>8</v>
      </c>
      <c r="GF32">
        <v>2</v>
      </c>
      <c r="GG32">
        <v>1</v>
      </c>
      <c r="GH32">
        <v>23</v>
      </c>
      <c r="GI32">
        <v>21</v>
      </c>
      <c r="GJ32">
        <v>2</v>
      </c>
      <c r="GK32">
        <v>13</v>
      </c>
      <c r="GL32">
        <v>1</v>
      </c>
      <c r="GN32">
        <v>24</v>
      </c>
      <c r="GO32">
        <v>7</v>
      </c>
      <c r="GQ32">
        <v>21</v>
      </c>
      <c r="GR32">
        <v>32</v>
      </c>
      <c r="GS32">
        <v>16</v>
      </c>
      <c r="GT32">
        <v>15</v>
      </c>
      <c r="GU32">
        <v>15</v>
      </c>
      <c r="GV32">
        <v>2</v>
      </c>
      <c r="GW32">
        <v>19</v>
      </c>
      <c r="GX32">
        <v>12</v>
      </c>
      <c r="GY32">
        <v>17</v>
      </c>
      <c r="GZ32">
        <v>13</v>
      </c>
      <c r="HA32">
        <v>17</v>
      </c>
      <c r="HB32">
        <v>13</v>
      </c>
      <c r="HC32">
        <v>28</v>
      </c>
      <c r="HD32">
        <v>21</v>
      </c>
      <c r="HG32">
        <v>140</v>
      </c>
      <c r="HH32">
        <v>18</v>
      </c>
      <c r="HI32">
        <v>23</v>
      </c>
      <c r="HJ32">
        <v>19</v>
      </c>
      <c r="HK32">
        <v>10</v>
      </c>
      <c r="HL32">
        <v>36</v>
      </c>
      <c r="HM32">
        <v>30</v>
      </c>
      <c r="HN32">
        <v>25</v>
      </c>
      <c r="HO32">
        <v>17</v>
      </c>
      <c r="HP32">
        <v>7</v>
      </c>
      <c r="HQ32">
        <v>24</v>
      </c>
      <c r="HR32">
        <v>34</v>
      </c>
      <c r="HS32">
        <v>23</v>
      </c>
      <c r="HT32">
        <v>21</v>
      </c>
      <c r="HU32">
        <v>18</v>
      </c>
      <c r="HV32">
        <v>12</v>
      </c>
      <c r="HY32">
        <v>140</v>
      </c>
      <c r="HZ32">
        <v>27</v>
      </c>
      <c r="IA32">
        <v>7</v>
      </c>
      <c r="IB32">
        <v>9</v>
      </c>
      <c r="IC32">
        <v>18</v>
      </c>
      <c r="ID32">
        <v>11</v>
      </c>
      <c r="IE32">
        <v>16</v>
      </c>
      <c r="IF32">
        <v>18</v>
      </c>
      <c r="IG32">
        <v>13</v>
      </c>
      <c r="IH32">
        <v>18</v>
      </c>
      <c r="II32">
        <v>13</v>
      </c>
      <c r="IJ32">
        <v>26</v>
      </c>
      <c r="IK32">
        <v>24</v>
      </c>
      <c r="IL32">
        <v>11</v>
      </c>
      <c r="IM32">
        <v>30</v>
      </c>
      <c r="IN32">
        <v>12</v>
      </c>
      <c r="IO32">
        <v>2</v>
      </c>
    </row>
    <row r="33" spans="1:249" x14ac:dyDescent="0.35">
      <c r="C33" s="33"/>
      <c r="D33" s="34"/>
      <c r="I33" s="8"/>
      <c r="J33" s="8"/>
      <c r="AG33" s="8"/>
      <c r="BD33" t="s">
        <v>102</v>
      </c>
      <c r="BE33">
        <v>37.950000000000003</v>
      </c>
      <c r="BF33">
        <v>2.29</v>
      </c>
      <c r="GB33">
        <v>145</v>
      </c>
      <c r="GC33">
        <v>23</v>
      </c>
      <c r="GD33">
        <v>11</v>
      </c>
      <c r="GE33">
        <v>8</v>
      </c>
      <c r="GF33">
        <v>1</v>
      </c>
      <c r="GG33">
        <v>1</v>
      </c>
      <c r="GH33">
        <v>23</v>
      </c>
      <c r="GI33">
        <v>21</v>
      </c>
      <c r="GJ33">
        <v>2</v>
      </c>
      <c r="GK33">
        <v>15</v>
      </c>
      <c r="GL33">
        <v>3</v>
      </c>
      <c r="GN33">
        <v>21</v>
      </c>
      <c r="GO33">
        <v>8</v>
      </c>
      <c r="GQ33">
        <v>17</v>
      </c>
      <c r="GR33">
        <v>30</v>
      </c>
      <c r="GS33">
        <v>15</v>
      </c>
      <c r="GT33">
        <v>14</v>
      </c>
      <c r="GU33">
        <v>14</v>
      </c>
      <c r="GV33">
        <v>2</v>
      </c>
      <c r="GW33">
        <v>18</v>
      </c>
      <c r="GX33">
        <v>12</v>
      </c>
      <c r="GY33">
        <v>16</v>
      </c>
      <c r="GZ33">
        <v>11</v>
      </c>
      <c r="HA33">
        <v>15</v>
      </c>
      <c r="HB33">
        <v>15</v>
      </c>
      <c r="HC33">
        <v>30</v>
      </c>
      <c r="HD33">
        <v>22</v>
      </c>
      <c r="HG33">
        <v>145</v>
      </c>
      <c r="HH33">
        <v>18</v>
      </c>
      <c r="HI33">
        <v>23</v>
      </c>
      <c r="HJ33">
        <v>21</v>
      </c>
      <c r="HK33">
        <v>10</v>
      </c>
      <c r="HL33">
        <v>38</v>
      </c>
      <c r="HM33">
        <v>27</v>
      </c>
      <c r="HN33">
        <v>26</v>
      </c>
      <c r="HO33">
        <v>18</v>
      </c>
      <c r="HP33">
        <v>9</v>
      </c>
      <c r="HQ33">
        <v>22</v>
      </c>
      <c r="HR33">
        <v>34</v>
      </c>
      <c r="HS33">
        <v>22</v>
      </c>
      <c r="HT33">
        <v>17</v>
      </c>
      <c r="HU33">
        <v>19</v>
      </c>
      <c r="HV33">
        <v>12</v>
      </c>
      <c r="HY33">
        <v>145</v>
      </c>
      <c r="HZ33">
        <v>25</v>
      </c>
      <c r="IA33">
        <v>8</v>
      </c>
      <c r="IB33">
        <v>9</v>
      </c>
      <c r="IC33">
        <v>18</v>
      </c>
      <c r="ID33">
        <v>9</v>
      </c>
      <c r="IE33">
        <v>15</v>
      </c>
      <c r="IF33">
        <v>19</v>
      </c>
      <c r="IG33">
        <v>13</v>
      </c>
      <c r="IH33">
        <v>17</v>
      </c>
      <c r="II33">
        <v>13</v>
      </c>
      <c r="IJ33">
        <v>26</v>
      </c>
      <c r="IK33">
        <v>25</v>
      </c>
      <c r="IL33">
        <v>13</v>
      </c>
      <c r="IM33">
        <v>29</v>
      </c>
      <c r="IN33">
        <v>14</v>
      </c>
      <c r="IO33">
        <v>2</v>
      </c>
    </row>
    <row r="34" spans="1:249" x14ac:dyDescent="0.35">
      <c r="C34" s="33"/>
      <c r="D34" s="34"/>
      <c r="I34" s="8"/>
      <c r="J34" s="8"/>
      <c r="X34" s="8"/>
      <c r="BD34" t="s">
        <v>103</v>
      </c>
      <c r="BE34">
        <v>96.67</v>
      </c>
      <c r="BF34">
        <v>1.18</v>
      </c>
      <c r="GB34">
        <v>150</v>
      </c>
      <c r="GC34">
        <v>26</v>
      </c>
      <c r="GD34">
        <v>10</v>
      </c>
      <c r="GE34">
        <v>9</v>
      </c>
      <c r="GF34">
        <v>1</v>
      </c>
      <c r="GG34">
        <v>1</v>
      </c>
      <c r="GH34">
        <v>23</v>
      </c>
      <c r="GI34">
        <v>18</v>
      </c>
      <c r="GJ34">
        <v>2</v>
      </c>
      <c r="GK34">
        <v>15</v>
      </c>
      <c r="GL34">
        <v>6</v>
      </c>
      <c r="GN34">
        <v>24</v>
      </c>
      <c r="GO34">
        <v>8</v>
      </c>
      <c r="GQ34">
        <v>16</v>
      </c>
      <c r="GR34">
        <v>30</v>
      </c>
      <c r="GS34">
        <v>16</v>
      </c>
      <c r="GT34">
        <v>14</v>
      </c>
      <c r="GU34">
        <v>14</v>
      </c>
      <c r="GV34">
        <v>2</v>
      </c>
      <c r="GW34">
        <v>17</v>
      </c>
      <c r="GX34">
        <v>13</v>
      </c>
      <c r="GY34">
        <v>20</v>
      </c>
      <c r="GZ34">
        <v>10</v>
      </c>
      <c r="HA34">
        <v>16</v>
      </c>
      <c r="HB34">
        <v>29</v>
      </c>
      <c r="HC34">
        <v>28</v>
      </c>
      <c r="HD34">
        <v>19</v>
      </c>
      <c r="HG34">
        <v>150</v>
      </c>
      <c r="HH34">
        <v>18</v>
      </c>
      <c r="HI34">
        <v>26</v>
      </c>
      <c r="HJ34">
        <v>21</v>
      </c>
      <c r="HK34">
        <v>10</v>
      </c>
      <c r="HL34">
        <v>38</v>
      </c>
      <c r="HM34">
        <v>28</v>
      </c>
      <c r="HN34">
        <v>26</v>
      </c>
      <c r="HO34">
        <v>15</v>
      </c>
      <c r="HP34">
        <v>9</v>
      </c>
      <c r="HQ34">
        <v>22</v>
      </c>
      <c r="HR34">
        <v>34</v>
      </c>
      <c r="HS34">
        <v>23</v>
      </c>
      <c r="HT34">
        <v>20</v>
      </c>
      <c r="HU34">
        <v>19</v>
      </c>
      <c r="HV34">
        <v>12</v>
      </c>
      <c r="HY34">
        <v>150</v>
      </c>
      <c r="HZ34">
        <v>23</v>
      </c>
      <c r="IA34">
        <v>9</v>
      </c>
      <c r="IB34">
        <v>9</v>
      </c>
      <c r="IC34">
        <v>13</v>
      </c>
      <c r="ID34">
        <v>9</v>
      </c>
      <c r="IE34">
        <v>13</v>
      </c>
      <c r="IF34">
        <v>18</v>
      </c>
      <c r="IG34">
        <v>14</v>
      </c>
      <c r="IH34">
        <v>18</v>
      </c>
      <c r="II34">
        <v>13</v>
      </c>
      <c r="IJ34">
        <v>27</v>
      </c>
      <c r="IK34">
        <v>24</v>
      </c>
      <c r="IL34">
        <v>13</v>
      </c>
      <c r="IM34">
        <v>29</v>
      </c>
      <c r="IN34">
        <v>15</v>
      </c>
      <c r="IO34">
        <v>2</v>
      </c>
    </row>
    <row r="35" spans="1:249" ht="13.15" x14ac:dyDescent="0.4">
      <c r="C35" s="33"/>
      <c r="I35" s="8"/>
      <c r="J35" s="8"/>
      <c r="X35" s="8"/>
      <c r="AF35" s="8"/>
      <c r="BD35" t="s">
        <v>104</v>
      </c>
      <c r="BE35">
        <v>68.8</v>
      </c>
      <c r="BF35">
        <v>2.31</v>
      </c>
      <c r="DM35" t="s">
        <v>998</v>
      </c>
      <c r="DN35">
        <v>1334.34</v>
      </c>
      <c r="DO35">
        <v>1521.047</v>
      </c>
      <c r="DP35">
        <v>1394.0509999999999</v>
      </c>
      <c r="DQ35">
        <v>1403.096</v>
      </c>
      <c r="DR35">
        <v>1376.646</v>
      </c>
      <c r="DS35">
        <v>1313.6880000000001</v>
      </c>
      <c r="DT35">
        <v>1594.98</v>
      </c>
      <c r="DU35">
        <v>1500.42</v>
      </c>
      <c r="DV35">
        <v>1480.819</v>
      </c>
      <c r="DW35">
        <v>1390.2360000000001</v>
      </c>
      <c r="DX35">
        <v>1372.89</v>
      </c>
      <c r="DY35">
        <v>1524.722</v>
      </c>
      <c r="DZ35">
        <v>1418</v>
      </c>
      <c r="EA35">
        <v>1478.92</v>
      </c>
      <c r="EB35">
        <v>1313.7950000000001</v>
      </c>
      <c r="EC35">
        <v>1266.345</v>
      </c>
      <c r="ED35">
        <v>1255.08</v>
      </c>
      <c r="EE35">
        <v>1259.8219999999999</v>
      </c>
      <c r="EF35">
        <v>1271.481</v>
      </c>
      <c r="EG35">
        <v>1370.88</v>
      </c>
      <c r="EH35">
        <v>1456.9380000000001</v>
      </c>
      <c r="EI35">
        <v>1520.117</v>
      </c>
      <c r="EJ35">
        <v>1230.1300000000001</v>
      </c>
      <c r="EK35">
        <v>1456.9469999999999</v>
      </c>
      <c r="EM35">
        <v>1373.4949999999999</v>
      </c>
      <c r="EN35">
        <v>1464.59</v>
      </c>
      <c r="EO35">
        <v>1494.229</v>
      </c>
      <c r="EP35">
        <v>1345.8489999999999</v>
      </c>
      <c r="EQ35">
        <v>1249.374</v>
      </c>
      <c r="ER35">
        <f>Supplementary_Fig5!EQ35/3</f>
        <v>416.45800000000003</v>
      </c>
      <c r="ES35">
        <v>1138.67</v>
      </c>
      <c r="ET35">
        <v>1396.742</v>
      </c>
      <c r="EU35">
        <v>1502.085</v>
      </c>
      <c r="EV35">
        <v>1211.114</v>
      </c>
      <c r="EW35">
        <v>1145.623</v>
      </c>
      <c r="EX35">
        <v>1484.9549999999999</v>
      </c>
      <c r="EY35">
        <v>1272.6780000000001</v>
      </c>
      <c r="EZ35">
        <v>1501.931</v>
      </c>
      <c r="FA35">
        <v>1395.2059999999999</v>
      </c>
      <c r="FB35">
        <v>1297.6389999999999</v>
      </c>
      <c r="FC35">
        <v>1420.9860000000001</v>
      </c>
      <c r="FD35">
        <v>1373.1289999999999</v>
      </c>
      <c r="FE35">
        <v>1365.7049999999999</v>
      </c>
      <c r="FF35">
        <v>1229.28</v>
      </c>
      <c r="FG35">
        <v>1371.739</v>
      </c>
      <c r="FH35" s="1">
        <f>AVERAGE(Supplementary_Fig5!DN35:FG35)</f>
        <v>1354.5970444444442</v>
      </c>
      <c r="GB35">
        <v>155</v>
      </c>
      <c r="GC35">
        <v>22</v>
      </c>
      <c r="GD35">
        <v>13</v>
      </c>
      <c r="GE35">
        <v>10</v>
      </c>
      <c r="GF35">
        <v>1</v>
      </c>
      <c r="GG35">
        <v>1</v>
      </c>
      <c r="GH35">
        <v>23</v>
      </c>
      <c r="GI35">
        <v>19</v>
      </c>
      <c r="GJ35">
        <v>2</v>
      </c>
      <c r="GK35">
        <v>15</v>
      </c>
      <c r="GL35">
        <v>6</v>
      </c>
      <c r="GN35">
        <v>20</v>
      </c>
      <c r="GO35">
        <v>7</v>
      </c>
      <c r="GQ35">
        <v>16</v>
      </c>
      <c r="GR35">
        <v>26</v>
      </c>
      <c r="GS35">
        <v>17</v>
      </c>
      <c r="GT35">
        <v>15</v>
      </c>
      <c r="GU35">
        <v>12</v>
      </c>
      <c r="GV35">
        <v>2</v>
      </c>
      <c r="GW35">
        <v>21</v>
      </c>
      <c r="GX35">
        <v>13</v>
      </c>
      <c r="GY35">
        <v>16</v>
      </c>
      <c r="GZ35">
        <v>10</v>
      </c>
      <c r="HA35">
        <v>19</v>
      </c>
      <c r="HB35">
        <v>23</v>
      </c>
      <c r="HC35">
        <v>27</v>
      </c>
      <c r="HD35">
        <v>21</v>
      </c>
      <c r="HG35">
        <v>155</v>
      </c>
      <c r="HH35">
        <v>18</v>
      </c>
      <c r="HI35">
        <v>26</v>
      </c>
      <c r="HJ35">
        <v>21</v>
      </c>
      <c r="HK35">
        <v>10</v>
      </c>
      <c r="HL35">
        <v>34</v>
      </c>
      <c r="HM35">
        <v>26</v>
      </c>
      <c r="HN35">
        <v>26</v>
      </c>
      <c r="HO35">
        <v>15</v>
      </c>
      <c r="HP35">
        <v>9</v>
      </c>
      <c r="HQ35">
        <v>22</v>
      </c>
      <c r="HR35">
        <v>35</v>
      </c>
      <c r="HS35">
        <v>22</v>
      </c>
      <c r="HT35">
        <v>19</v>
      </c>
      <c r="HU35">
        <v>18</v>
      </c>
      <c r="HV35">
        <v>9</v>
      </c>
      <c r="HY35">
        <v>155</v>
      </c>
      <c r="HZ35">
        <v>24</v>
      </c>
      <c r="IA35">
        <v>9</v>
      </c>
      <c r="IB35">
        <v>9</v>
      </c>
      <c r="IC35">
        <v>12</v>
      </c>
      <c r="ID35">
        <v>9</v>
      </c>
      <c r="IE35">
        <v>13</v>
      </c>
      <c r="IF35">
        <v>20</v>
      </c>
      <c r="IG35">
        <v>14</v>
      </c>
      <c r="IH35">
        <v>24</v>
      </c>
      <c r="II35">
        <v>14</v>
      </c>
      <c r="IJ35">
        <v>26</v>
      </c>
      <c r="IK35">
        <v>23</v>
      </c>
      <c r="IL35">
        <v>11</v>
      </c>
      <c r="IM35">
        <v>31</v>
      </c>
      <c r="IN35">
        <v>15</v>
      </c>
      <c r="IO35">
        <v>2</v>
      </c>
    </row>
    <row r="36" spans="1:249" ht="13.15" x14ac:dyDescent="0.4">
      <c r="A36" t="s">
        <v>998</v>
      </c>
      <c r="B36">
        <v>1026.845</v>
      </c>
      <c r="C36" s="8">
        <v>1479.16</v>
      </c>
      <c r="D36">
        <v>1486.87</v>
      </c>
      <c r="E36">
        <v>1347.1610000000001</v>
      </c>
      <c r="F36">
        <v>1416.9359999999999</v>
      </c>
      <c r="G36">
        <v>1240.1369999999999</v>
      </c>
      <c r="H36">
        <v>1228.56</v>
      </c>
      <c r="I36" s="8">
        <v>1182.81</v>
      </c>
      <c r="J36" s="8">
        <v>1303.3150000000001</v>
      </c>
      <c r="K36">
        <v>1226.961</v>
      </c>
      <c r="L36">
        <v>1038.568</v>
      </c>
      <c r="M36">
        <v>1157.7449999999999</v>
      </c>
      <c r="N36">
        <v>1108.251</v>
      </c>
      <c r="O36">
        <v>1028.2719999999999</v>
      </c>
      <c r="P36">
        <v>1057.31</v>
      </c>
      <c r="Q36">
        <v>1184.9829999999999</v>
      </c>
      <c r="R36">
        <v>981.03399999999999</v>
      </c>
      <c r="S36">
        <v>1126.19</v>
      </c>
      <c r="T36">
        <v>1152.3030000000001</v>
      </c>
      <c r="U36">
        <v>1159.087</v>
      </c>
      <c r="V36">
        <v>1265.0309999999999</v>
      </c>
      <c r="W36">
        <v>1245.595</v>
      </c>
      <c r="X36">
        <v>1192.471</v>
      </c>
      <c r="Y36">
        <v>1130.711</v>
      </c>
      <c r="Z36">
        <v>1074.1780000000001</v>
      </c>
      <c r="AA36">
        <v>1042.29</v>
      </c>
      <c r="AB36">
        <v>1026.587</v>
      </c>
      <c r="AC36">
        <v>1019.634</v>
      </c>
      <c r="AD36">
        <v>1045.1400000000001</v>
      </c>
      <c r="AE36">
        <v>1327.1679999999999</v>
      </c>
      <c r="AF36">
        <v>1238.4670000000001</v>
      </c>
      <c r="AG36">
        <v>1068.7619999999999</v>
      </c>
      <c r="AI36">
        <v>968.41600000000005</v>
      </c>
      <c r="AJ36">
        <v>1013.2329999999999</v>
      </c>
      <c r="AK36">
        <v>1042.2349999999999</v>
      </c>
      <c r="AM36">
        <v>1167.9970000000001</v>
      </c>
      <c r="AN36">
        <v>1054.0309999999999</v>
      </c>
      <c r="AO36">
        <v>1000.3339999999999</v>
      </c>
      <c r="AP36">
        <v>1087.67</v>
      </c>
      <c r="AQ36" s="1">
        <f>AVERAGE(B36:AP36)</f>
        <v>1152.3704615384615</v>
      </c>
      <c r="BD36" t="s">
        <v>105</v>
      </c>
      <c r="BE36">
        <v>145.66999999999999</v>
      </c>
      <c r="BF36">
        <v>1.72</v>
      </c>
      <c r="BK36" t="s">
        <v>998</v>
      </c>
      <c r="BL36">
        <v>1129.1559999999999</v>
      </c>
      <c r="BM36">
        <v>1170.3779999999999</v>
      </c>
      <c r="BN36">
        <v>1302.511</v>
      </c>
      <c r="BO36">
        <v>1213.7560000000001</v>
      </c>
      <c r="BP36">
        <v>1279.3979999999999</v>
      </c>
      <c r="BQ36">
        <v>1230.011</v>
      </c>
      <c r="BR36">
        <v>1167.6880000000001</v>
      </c>
      <c r="BS36">
        <v>1231.183</v>
      </c>
      <c r="BT36">
        <v>1200.3399999999999</v>
      </c>
      <c r="BU36">
        <v>1068.951</v>
      </c>
      <c r="BV36">
        <v>1123.3589999999999</v>
      </c>
      <c r="BW36">
        <v>1112.0429999999999</v>
      </c>
      <c r="BX36">
        <v>1326.3820000000001</v>
      </c>
      <c r="BY36">
        <v>1140.9739999999999</v>
      </c>
      <c r="BZ36">
        <v>1250.123</v>
      </c>
      <c r="CA36">
        <v>1430.3620000000001</v>
      </c>
      <c r="CB36">
        <v>1313.739</v>
      </c>
      <c r="CC36">
        <v>1543.1489999999999</v>
      </c>
      <c r="CD36">
        <v>1435.7239999999999</v>
      </c>
      <c r="CE36">
        <v>1193.934</v>
      </c>
      <c r="CF36">
        <v>1393.664</v>
      </c>
      <c r="CG36">
        <v>1302.7529999999999</v>
      </c>
      <c r="CH36">
        <v>1270.47</v>
      </c>
      <c r="CI36">
        <v>1367.3630000000001</v>
      </c>
      <c r="CJ36">
        <v>1287.6300000000001</v>
      </c>
      <c r="CK36">
        <v>1513.816</v>
      </c>
      <c r="CL36">
        <v>1354.9929999999999</v>
      </c>
      <c r="CM36">
        <v>1262.1199999999999</v>
      </c>
      <c r="CN36">
        <v>1436.1130000000001</v>
      </c>
      <c r="CO36">
        <v>1303.317</v>
      </c>
      <c r="CP36">
        <v>1276.229</v>
      </c>
      <c r="CQ36">
        <v>1331.45</v>
      </c>
      <c r="CR36">
        <v>1355.1489999999999</v>
      </c>
      <c r="CS36" s="1">
        <f>AVERAGE(BL36:CF36)</f>
        <v>1250.325</v>
      </c>
      <c r="DD36" s="1"/>
      <c r="DM36" t="s">
        <v>999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1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f>SUM(Supplementary_Fig5!DN36:FG36)</f>
        <v>1</v>
      </c>
      <c r="GB36">
        <v>160</v>
      </c>
      <c r="GC36">
        <v>22</v>
      </c>
      <c r="GD36">
        <v>13</v>
      </c>
      <c r="GE36">
        <v>10</v>
      </c>
      <c r="GF36">
        <v>1</v>
      </c>
      <c r="GG36">
        <v>1</v>
      </c>
      <c r="GH36">
        <v>28</v>
      </c>
      <c r="GI36">
        <v>19</v>
      </c>
      <c r="GJ36">
        <v>2</v>
      </c>
      <c r="GK36">
        <v>16</v>
      </c>
      <c r="GL36">
        <v>4</v>
      </c>
      <c r="GN36">
        <v>18</v>
      </c>
      <c r="GO36">
        <v>9</v>
      </c>
      <c r="GQ36">
        <v>15</v>
      </c>
      <c r="GR36">
        <v>25</v>
      </c>
      <c r="GS36">
        <v>14</v>
      </c>
      <c r="GT36">
        <v>13</v>
      </c>
      <c r="GU36">
        <v>11</v>
      </c>
      <c r="GV36">
        <v>2</v>
      </c>
      <c r="GW36">
        <v>20</v>
      </c>
      <c r="GX36">
        <v>12</v>
      </c>
      <c r="GY36">
        <v>16</v>
      </c>
      <c r="GZ36">
        <v>13</v>
      </c>
      <c r="HA36">
        <v>22</v>
      </c>
      <c r="HB36">
        <v>28</v>
      </c>
      <c r="HC36">
        <v>24</v>
      </c>
      <c r="HD36">
        <v>19</v>
      </c>
      <c r="HG36">
        <v>160</v>
      </c>
      <c r="HH36">
        <v>19</v>
      </c>
      <c r="HI36">
        <v>26</v>
      </c>
      <c r="HJ36">
        <v>21</v>
      </c>
      <c r="HK36">
        <v>9</v>
      </c>
      <c r="HL36">
        <v>34</v>
      </c>
      <c r="HM36">
        <v>26</v>
      </c>
      <c r="HN36">
        <v>26</v>
      </c>
      <c r="HO36">
        <v>15</v>
      </c>
      <c r="HP36">
        <v>9</v>
      </c>
      <c r="HQ36">
        <v>23</v>
      </c>
      <c r="HR36">
        <v>34</v>
      </c>
      <c r="HS36">
        <v>23</v>
      </c>
      <c r="HT36">
        <v>22</v>
      </c>
      <c r="HU36">
        <v>18</v>
      </c>
      <c r="HV36">
        <v>9</v>
      </c>
      <c r="HY36">
        <v>160</v>
      </c>
      <c r="HZ36">
        <v>21</v>
      </c>
      <c r="IA36">
        <v>10</v>
      </c>
      <c r="IB36">
        <v>9</v>
      </c>
      <c r="IC36">
        <v>13</v>
      </c>
      <c r="ID36">
        <v>9</v>
      </c>
      <c r="IE36">
        <v>13</v>
      </c>
      <c r="IF36">
        <v>26</v>
      </c>
      <c r="IG36">
        <v>15</v>
      </c>
      <c r="IH36">
        <v>35</v>
      </c>
      <c r="II36">
        <v>15</v>
      </c>
      <c r="IJ36">
        <v>26</v>
      </c>
      <c r="IK36">
        <v>19</v>
      </c>
      <c r="IL36">
        <v>11</v>
      </c>
      <c r="IM36">
        <v>35</v>
      </c>
      <c r="IN36">
        <v>16</v>
      </c>
      <c r="IO36">
        <v>6</v>
      </c>
    </row>
    <row r="37" spans="1:249" ht="13.15" x14ac:dyDescent="0.4">
      <c r="A37" t="s">
        <v>999</v>
      </c>
      <c r="B37">
        <v>3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s="8">
        <v>0</v>
      </c>
      <c r="J37" s="8">
        <v>0</v>
      </c>
      <c r="K37">
        <v>0</v>
      </c>
      <c r="L37">
        <v>0</v>
      </c>
      <c r="M37">
        <v>1</v>
      </c>
      <c r="N37">
        <v>1</v>
      </c>
      <c r="O37">
        <v>4</v>
      </c>
      <c r="P37">
        <v>0</v>
      </c>
      <c r="Q37">
        <v>2</v>
      </c>
      <c r="R37">
        <v>1</v>
      </c>
      <c r="S37">
        <v>0</v>
      </c>
      <c r="T37">
        <v>1</v>
      </c>
      <c r="U37">
        <v>1</v>
      </c>
      <c r="V37">
        <v>0</v>
      </c>
      <c r="W37">
        <v>0</v>
      </c>
      <c r="X37">
        <v>1</v>
      </c>
      <c r="Y37">
        <v>1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I37">
        <v>0</v>
      </c>
      <c r="AJ37">
        <v>0</v>
      </c>
      <c r="AK37">
        <v>0</v>
      </c>
      <c r="AM37">
        <v>0</v>
      </c>
      <c r="AN37">
        <v>0</v>
      </c>
      <c r="AO37">
        <v>0</v>
      </c>
      <c r="AP37">
        <v>0</v>
      </c>
      <c r="AQ37" s="1">
        <f>SUM(Supplementary_Fig5!B37:AP37)</f>
        <v>16</v>
      </c>
      <c r="BD37" t="s">
        <v>106</v>
      </c>
      <c r="BE37">
        <v>161.97999999999999</v>
      </c>
      <c r="BF37">
        <v>1.87</v>
      </c>
      <c r="BK37" t="s">
        <v>999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R37">
        <v>0</v>
      </c>
      <c r="CS37" s="1">
        <f t="shared" ref="CS37:CS42" si="0">SUM(BL37:CR37)</f>
        <v>0</v>
      </c>
      <c r="DM37" t="s">
        <v>1000</v>
      </c>
      <c r="DN37">
        <v>3</v>
      </c>
      <c r="DO37">
        <v>1</v>
      </c>
      <c r="DP37">
        <v>2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1</v>
      </c>
      <c r="EB37">
        <v>0</v>
      </c>
      <c r="EC37">
        <v>0</v>
      </c>
      <c r="ED37">
        <v>0</v>
      </c>
      <c r="EE37">
        <v>1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R37">
        <v>0</v>
      </c>
      <c r="ES37">
        <v>0</v>
      </c>
      <c r="ET37">
        <v>1</v>
      </c>
      <c r="EU37">
        <v>2</v>
      </c>
      <c r="EV37">
        <v>0</v>
      </c>
      <c r="EW37">
        <v>0</v>
      </c>
      <c r="EX37">
        <v>2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2</v>
      </c>
      <c r="FH37">
        <f>SUM(Supplementary_Fig5!DN37:FG37)</f>
        <v>15</v>
      </c>
      <c r="GB37">
        <v>165</v>
      </c>
      <c r="GC37">
        <v>26</v>
      </c>
      <c r="GD37">
        <v>15</v>
      </c>
      <c r="GE37">
        <v>10</v>
      </c>
      <c r="GF37">
        <v>1</v>
      </c>
      <c r="GG37">
        <v>1</v>
      </c>
      <c r="GH37">
        <v>22</v>
      </c>
      <c r="GI37">
        <v>19</v>
      </c>
      <c r="GJ37">
        <v>2</v>
      </c>
      <c r="GK37">
        <v>17</v>
      </c>
      <c r="GL37">
        <v>4</v>
      </c>
      <c r="GN37">
        <v>18</v>
      </c>
      <c r="GO37">
        <v>9</v>
      </c>
      <c r="GQ37">
        <v>15</v>
      </c>
      <c r="GR37">
        <v>26</v>
      </c>
      <c r="GS37">
        <v>13</v>
      </c>
      <c r="GT37">
        <v>12</v>
      </c>
      <c r="GU37">
        <v>10</v>
      </c>
      <c r="GV37">
        <v>2</v>
      </c>
      <c r="GW37">
        <v>22</v>
      </c>
      <c r="GX37">
        <v>11</v>
      </c>
      <c r="GY37">
        <v>16</v>
      </c>
      <c r="GZ37">
        <v>12</v>
      </c>
      <c r="HA37">
        <v>24</v>
      </c>
      <c r="HB37">
        <v>20</v>
      </c>
      <c r="HC37">
        <v>25</v>
      </c>
      <c r="HD37">
        <v>19</v>
      </c>
      <c r="HG37">
        <v>165</v>
      </c>
      <c r="HH37">
        <v>18</v>
      </c>
      <c r="HI37">
        <v>26</v>
      </c>
      <c r="HJ37">
        <v>21</v>
      </c>
      <c r="HK37">
        <v>9</v>
      </c>
      <c r="HL37">
        <v>34</v>
      </c>
      <c r="HM37">
        <v>25</v>
      </c>
      <c r="HN37">
        <v>24</v>
      </c>
      <c r="HO37">
        <v>15</v>
      </c>
      <c r="HP37">
        <v>10</v>
      </c>
      <c r="HQ37">
        <v>24</v>
      </c>
      <c r="HR37">
        <v>34</v>
      </c>
      <c r="HS37">
        <v>24</v>
      </c>
      <c r="HT37">
        <v>27</v>
      </c>
      <c r="HU37">
        <v>19</v>
      </c>
      <c r="HV37">
        <v>9</v>
      </c>
      <c r="HY37">
        <v>165</v>
      </c>
      <c r="HZ37">
        <v>22</v>
      </c>
      <c r="IA37">
        <v>11</v>
      </c>
      <c r="IB37">
        <v>9</v>
      </c>
      <c r="IC37">
        <v>13</v>
      </c>
      <c r="ID37">
        <v>8</v>
      </c>
      <c r="IE37">
        <v>13</v>
      </c>
      <c r="IF37">
        <v>29</v>
      </c>
      <c r="IG37">
        <v>16</v>
      </c>
      <c r="IH37">
        <v>24</v>
      </c>
      <c r="II37">
        <v>15</v>
      </c>
      <c r="IJ37">
        <v>24</v>
      </c>
      <c r="IK37">
        <v>19</v>
      </c>
      <c r="IL37">
        <v>11</v>
      </c>
      <c r="IM37">
        <v>30</v>
      </c>
      <c r="IN37">
        <v>18</v>
      </c>
      <c r="IO37">
        <v>6</v>
      </c>
    </row>
    <row r="38" spans="1:249" ht="13.15" x14ac:dyDescent="0.4">
      <c r="A38" t="s">
        <v>1000</v>
      </c>
      <c r="B38">
        <v>0</v>
      </c>
      <c r="C38">
        <v>2</v>
      </c>
      <c r="D38">
        <v>2</v>
      </c>
      <c r="E38">
        <v>1</v>
      </c>
      <c r="F38">
        <v>2</v>
      </c>
      <c r="G38">
        <v>1</v>
      </c>
      <c r="H38">
        <v>1</v>
      </c>
      <c r="I38" s="8">
        <v>1</v>
      </c>
      <c r="J38" s="8">
        <v>2</v>
      </c>
      <c r="K38">
        <v>1</v>
      </c>
      <c r="L38">
        <v>3</v>
      </c>
      <c r="M38">
        <v>0</v>
      </c>
      <c r="N38">
        <v>2</v>
      </c>
      <c r="O38">
        <v>1</v>
      </c>
      <c r="P38">
        <v>2</v>
      </c>
      <c r="Q38">
        <v>0</v>
      </c>
      <c r="R38">
        <v>1</v>
      </c>
      <c r="S38">
        <v>1</v>
      </c>
      <c r="T38">
        <v>2</v>
      </c>
      <c r="U38">
        <v>0</v>
      </c>
      <c r="V38">
        <v>1</v>
      </c>
      <c r="W38">
        <v>2</v>
      </c>
      <c r="X38">
        <v>2</v>
      </c>
      <c r="Y38">
        <v>0</v>
      </c>
      <c r="Z38">
        <v>2</v>
      </c>
      <c r="AA38">
        <v>2</v>
      </c>
      <c r="AB38">
        <v>2</v>
      </c>
      <c r="AC38">
        <v>3</v>
      </c>
      <c r="AD38">
        <v>2</v>
      </c>
      <c r="AE38">
        <v>0</v>
      </c>
      <c r="AF38">
        <v>0</v>
      </c>
      <c r="AG38">
        <v>0</v>
      </c>
      <c r="AI38">
        <v>0</v>
      </c>
      <c r="AJ38">
        <v>0</v>
      </c>
      <c r="AK38">
        <v>0</v>
      </c>
      <c r="AM38">
        <v>0</v>
      </c>
      <c r="AN38">
        <v>1</v>
      </c>
      <c r="AO38">
        <v>0</v>
      </c>
      <c r="AP38">
        <v>1</v>
      </c>
      <c r="AQ38" s="1">
        <f>SUM(Supplementary_Fig5!B38:AP38)</f>
        <v>43</v>
      </c>
      <c r="BD38" t="s">
        <v>107</v>
      </c>
      <c r="BE38">
        <v>61.13</v>
      </c>
      <c r="BF38">
        <v>1.56</v>
      </c>
      <c r="BK38" t="s">
        <v>1000</v>
      </c>
      <c r="BL38">
        <v>0</v>
      </c>
      <c r="BM38">
        <v>2</v>
      </c>
      <c r="BN38">
        <v>0</v>
      </c>
      <c r="BO38">
        <v>0</v>
      </c>
      <c r="BP38">
        <v>0</v>
      </c>
      <c r="BQ38">
        <v>1</v>
      </c>
      <c r="BR38">
        <v>0</v>
      </c>
      <c r="BS38">
        <v>2</v>
      </c>
      <c r="BT38">
        <v>2</v>
      </c>
      <c r="BU38">
        <v>0</v>
      </c>
      <c r="BV38">
        <v>1</v>
      </c>
      <c r="BW38">
        <v>1</v>
      </c>
      <c r="BX38">
        <v>0</v>
      </c>
      <c r="BY38">
        <v>1</v>
      </c>
      <c r="BZ38">
        <v>0</v>
      </c>
      <c r="CA38">
        <v>2</v>
      </c>
      <c r="CB38">
        <v>0</v>
      </c>
      <c r="CC38">
        <v>0</v>
      </c>
      <c r="CD38">
        <v>0</v>
      </c>
      <c r="CE38">
        <v>0</v>
      </c>
      <c r="CF38">
        <v>1</v>
      </c>
      <c r="CG38">
        <v>0</v>
      </c>
      <c r="CH38">
        <v>0</v>
      </c>
      <c r="CI38">
        <v>1</v>
      </c>
      <c r="CJ38">
        <v>0</v>
      </c>
      <c r="CK38">
        <v>1</v>
      </c>
      <c r="CL38">
        <v>0</v>
      </c>
      <c r="CM38">
        <v>0</v>
      </c>
      <c r="CN38">
        <v>0</v>
      </c>
      <c r="CO38">
        <v>0</v>
      </c>
      <c r="CP38">
        <v>1</v>
      </c>
      <c r="CR38">
        <v>1</v>
      </c>
      <c r="CS38" s="1">
        <f t="shared" si="0"/>
        <v>17</v>
      </c>
      <c r="DM38" t="s">
        <v>1001</v>
      </c>
      <c r="DN38">
        <v>0</v>
      </c>
      <c r="DO38">
        <v>1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1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f>SUM(Supplementary_Fig5!DN38:FG38)</f>
        <v>2</v>
      </c>
      <c r="GB38">
        <v>170</v>
      </c>
      <c r="GC38">
        <v>32</v>
      </c>
      <c r="GD38">
        <v>13</v>
      </c>
      <c r="GE38">
        <v>10</v>
      </c>
      <c r="GF38">
        <v>1</v>
      </c>
      <c r="GG38">
        <v>1</v>
      </c>
      <c r="GH38">
        <v>22</v>
      </c>
      <c r="GI38">
        <v>18</v>
      </c>
      <c r="GJ38">
        <v>2</v>
      </c>
      <c r="GK38">
        <v>14</v>
      </c>
      <c r="GL38">
        <v>4</v>
      </c>
      <c r="GN38">
        <v>16</v>
      </c>
      <c r="GO38">
        <v>9</v>
      </c>
      <c r="GQ38">
        <v>14</v>
      </c>
      <c r="GR38">
        <v>26</v>
      </c>
      <c r="GS38">
        <v>14</v>
      </c>
      <c r="GT38">
        <v>13</v>
      </c>
      <c r="GU38">
        <v>9</v>
      </c>
      <c r="GV38">
        <v>2</v>
      </c>
      <c r="GW38">
        <v>25</v>
      </c>
      <c r="GX38">
        <v>11</v>
      </c>
      <c r="GY38">
        <v>15</v>
      </c>
      <c r="GZ38">
        <v>13</v>
      </c>
      <c r="HA38">
        <v>20</v>
      </c>
      <c r="HB38">
        <v>22</v>
      </c>
      <c r="HC38">
        <v>24</v>
      </c>
      <c r="HD38">
        <v>22</v>
      </c>
      <c r="HG38">
        <v>170</v>
      </c>
      <c r="HH38">
        <v>19</v>
      </c>
      <c r="HI38">
        <v>26</v>
      </c>
      <c r="HJ38">
        <v>20</v>
      </c>
      <c r="HK38">
        <v>10</v>
      </c>
      <c r="HL38">
        <v>26</v>
      </c>
      <c r="HM38">
        <v>24</v>
      </c>
      <c r="HN38">
        <v>23</v>
      </c>
      <c r="HO38">
        <v>14</v>
      </c>
      <c r="HP38">
        <v>10</v>
      </c>
      <c r="HQ38">
        <v>24</v>
      </c>
      <c r="HR38">
        <v>32</v>
      </c>
      <c r="HS38">
        <v>23</v>
      </c>
      <c r="HT38">
        <v>22</v>
      </c>
      <c r="HU38">
        <v>19</v>
      </c>
      <c r="HV38">
        <v>9</v>
      </c>
      <c r="HY38">
        <v>170</v>
      </c>
      <c r="HZ38">
        <v>22</v>
      </c>
      <c r="IA38">
        <v>11</v>
      </c>
      <c r="IB38">
        <v>9</v>
      </c>
      <c r="IC38">
        <v>12</v>
      </c>
      <c r="ID38">
        <v>8</v>
      </c>
      <c r="IE38">
        <v>13</v>
      </c>
      <c r="IF38">
        <v>30</v>
      </c>
      <c r="IG38">
        <v>15</v>
      </c>
      <c r="IH38">
        <v>24</v>
      </c>
      <c r="II38">
        <v>15</v>
      </c>
      <c r="IJ38">
        <v>24</v>
      </c>
      <c r="IK38">
        <v>19</v>
      </c>
      <c r="IL38">
        <v>11</v>
      </c>
      <c r="IM38">
        <v>25</v>
      </c>
      <c r="IN38">
        <v>19</v>
      </c>
      <c r="IO38">
        <v>10</v>
      </c>
    </row>
    <row r="39" spans="1:249" ht="13.15" x14ac:dyDescent="0.4">
      <c r="A39" t="s">
        <v>1001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 s="8">
        <v>1</v>
      </c>
      <c r="J39" s="8">
        <v>3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3</v>
      </c>
      <c r="AG39">
        <v>0</v>
      </c>
      <c r="AI39">
        <v>0</v>
      </c>
      <c r="AJ39">
        <v>0</v>
      </c>
      <c r="AK39">
        <v>0</v>
      </c>
      <c r="AM39">
        <v>0</v>
      </c>
      <c r="AN39">
        <v>0</v>
      </c>
      <c r="AO39">
        <v>0</v>
      </c>
      <c r="AP39">
        <v>0</v>
      </c>
      <c r="AQ39" s="1">
        <f>SUM(Supplementary_Fig5!B39:AP39)</f>
        <v>7</v>
      </c>
      <c r="BD39" t="s">
        <v>108</v>
      </c>
      <c r="BE39">
        <v>116.72</v>
      </c>
      <c r="BF39">
        <v>1.26</v>
      </c>
      <c r="BK39" t="s">
        <v>1001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1</v>
      </c>
      <c r="BY39">
        <v>0</v>
      </c>
      <c r="BZ39">
        <v>0</v>
      </c>
      <c r="CA39">
        <v>0</v>
      </c>
      <c r="CB39">
        <v>1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1</v>
      </c>
      <c r="CR39">
        <v>0</v>
      </c>
      <c r="CS39" s="1">
        <f t="shared" si="0"/>
        <v>3</v>
      </c>
      <c r="DM39" t="s">
        <v>1002</v>
      </c>
      <c r="DN39">
        <v>10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5</v>
      </c>
      <c r="EA39">
        <v>0</v>
      </c>
      <c r="EB39">
        <v>20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14</v>
      </c>
      <c r="EX39">
        <v>0</v>
      </c>
      <c r="EY39">
        <v>28</v>
      </c>
      <c r="EZ39">
        <v>5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f>SUM(DN39:FG39)</f>
        <v>82</v>
      </c>
      <c r="GB39">
        <v>175</v>
      </c>
      <c r="GC39">
        <v>26</v>
      </c>
      <c r="GD39">
        <v>17</v>
      </c>
      <c r="GE39">
        <v>9</v>
      </c>
      <c r="GF39">
        <v>1</v>
      </c>
      <c r="GG39">
        <v>1</v>
      </c>
      <c r="GH39">
        <v>30</v>
      </c>
      <c r="GI39">
        <v>18</v>
      </c>
      <c r="GJ39">
        <v>2</v>
      </c>
      <c r="GK39">
        <v>13</v>
      </c>
      <c r="GL39">
        <v>4</v>
      </c>
      <c r="GN39">
        <v>16</v>
      </c>
      <c r="GO39">
        <v>8</v>
      </c>
      <c r="GQ39">
        <v>13</v>
      </c>
      <c r="GR39">
        <v>29</v>
      </c>
      <c r="GS39">
        <v>14</v>
      </c>
      <c r="GT39">
        <v>12</v>
      </c>
      <c r="GU39">
        <v>8</v>
      </c>
      <c r="GV39">
        <v>2</v>
      </c>
      <c r="GW39">
        <v>17</v>
      </c>
      <c r="GX39">
        <v>11</v>
      </c>
      <c r="GY39">
        <v>17</v>
      </c>
      <c r="GZ39">
        <v>13</v>
      </c>
      <c r="HA39">
        <v>21</v>
      </c>
      <c r="HB39">
        <v>20</v>
      </c>
      <c r="HC39">
        <v>25</v>
      </c>
      <c r="HD39">
        <v>20</v>
      </c>
      <c r="HG39">
        <v>175</v>
      </c>
      <c r="HH39">
        <v>20</v>
      </c>
      <c r="HI39">
        <v>23</v>
      </c>
      <c r="HJ39">
        <v>18</v>
      </c>
      <c r="HK39">
        <v>10</v>
      </c>
      <c r="HL39">
        <v>26</v>
      </c>
      <c r="HM39">
        <v>23</v>
      </c>
      <c r="HN39">
        <v>20</v>
      </c>
      <c r="HO39">
        <v>13</v>
      </c>
      <c r="HP39">
        <v>10</v>
      </c>
      <c r="HQ39">
        <v>25</v>
      </c>
      <c r="HR39">
        <v>31</v>
      </c>
      <c r="HS39">
        <v>23</v>
      </c>
      <c r="HT39">
        <v>24</v>
      </c>
      <c r="HU39">
        <v>18</v>
      </c>
      <c r="HV39">
        <v>9</v>
      </c>
      <c r="HY39">
        <v>175</v>
      </c>
      <c r="HZ39">
        <v>22</v>
      </c>
      <c r="IA39">
        <v>11</v>
      </c>
      <c r="IB39">
        <v>9</v>
      </c>
      <c r="IC39">
        <v>11</v>
      </c>
      <c r="ID39">
        <v>7</v>
      </c>
      <c r="IE39">
        <v>14</v>
      </c>
      <c r="IF39">
        <v>29</v>
      </c>
      <c r="IG39">
        <v>17</v>
      </c>
      <c r="IH39">
        <v>22</v>
      </c>
      <c r="II39">
        <v>17</v>
      </c>
      <c r="IJ39">
        <v>24</v>
      </c>
      <c r="IK39">
        <v>19</v>
      </c>
      <c r="IL39">
        <v>12</v>
      </c>
      <c r="IM39">
        <v>24</v>
      </c>
      <c r="IN39">
        <v>19</v>
      </c>
      <c r="IO39">
        <v>6</v>
      </c>
    </row>
    <row r="40" spans="1:249" ht="13.15" x14ac:dyDescent="0.4">
      <c r="A40" t="s">
        <v>1002</v>
      </c>
      <c r="B40">
        <v>56</v>
      </c>
      <c r="C40">
        <v>0</v>
      </c>
      <c r="D40">
        <v>0</v>
      </c>
      <c r="E40">
        <v>6</v>
      </c>
      <c r="F40">
        <v>0</v>
      </c>
      <c r="G40">
        <v>0</v>
      </c>
      <c r="H40">
        <v>0</v>
      </c>
      <c r="I40" s="8">
        <v>0</v>
      </c>
      <c r="J40" s="8">
        <v>0</v>
      </c>
      <c r="K40">
        <v>0</v>
      </c>
      <c r="L40">
        <v>0</v>
      </c>
      <c r="M40">
        <v>56</v>
      </c>
      <c r="N40">
        <v>12</v>
      </c>
      <c r="O40">
        <f>56-14</f>
        <v>42</v>
      </c>
      <c r="P40">
        <v>0</v>
      </c>
      <c r="Q40">
        <v>56</v>
      </c>
      <c r="R40">
        <v>24</v>
      </c>
      <c r="S40">
        <v>0</v>
      </c>
      <c r="T40">
        <v>12</v>
      </c>
      <c r="U40">
        <v>18</v>
      </c>
      <c r="V40">
        <v>0</v>
      </c>
      <c r="W40">
        <v>18</v>
      </c>
      <c r="X40">
        <v>21</v>
      </c>
      <c r="Y40" s="8">
        <v>14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I40">
        <v>0</v>
      </c>
      <c r="AJ40">
        <v>0</v>
      </c>
      <c r="AK40">
        <v>0</v>
      </c>
      <c r="AM40">
        <v>0</v>
      </c>
      <c r="AN40">
        <v>0</v>
      </c>
      <c r="AO40">
        <v>0</v>
      </c>
      <c r="AP40">
        <v>0</v>
      </c>
      <c r="AQ40" s="1">
        <f>SUM(Supplementary_Fig5!B40:AP40)</f>
        <v>335</v>
      </c>
      <c r="BD40" t="s">
        <v>112</v>
      </c>
      <c r="BE40">
        <v>33.979999999999997</v>
      </c>
      <c r="BF40">
        <v>1.04</v>
      </c>
      <c r="BK40" t="s">
        <v>1002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21</v>
      </c>
      <c r="BS40">
        <v>0</v>
      </c>
      <c r="BT40">
        <v>0</v>
      </c>
      <c r="BU40">
        <v>0</v>
      </c>
      <c r="BV40">
        <v>0</v>
      </c>
      <c r="BW40">
        <v>7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5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6</v>
      </c>
      <c r="CP40">
        <v>0</v>
      </c>
      <c r="CR40">
        <v>0</v>
      </c>
      <c r="CS40" s="1">
        <f t="shared" si="0"/>
        <v>39</v>
      </c>
      <c r="DM40" t="s">
        <v>1003</v>
      </c>
      <c r="DN40">
        <v>20</v>
      </c>
      <c r="DO40">
        <v>35</v>
      </c>
      <c r="DP40">
        <v>56</v>
      </c>
      <c r="DQ40">
        <v>25</v>
      </c>
      <c r="DR40">
        <v>42</v>
      </c>
      <c r="DS40">
        <v>10</v>
      </c>
      <c r="DT40">
        <v>10</v>
      </c>
      <c r="DU40">
        <v>3</v>
      </c>
      <c r="DV40">
        <v>8</v>
      </c>
      <c r="DW40">
        <v>14</v>
      </c>
      <c r="DX40">
        <v>30</v>
      </c>
      <c r="DY40">
        <v>21</v>
      </c>
      <c r="DZ40">
        <v>25</v>
      </c>
      <c r="EA40">
        <v>9</v>
      </c>
      <c r="EB40">
        <v>10</v>
      </c>
      <c r="EC40">
        <v>56</v>
      </c>
      <c r="ED40">
        <v>12</v>
      </c>
      <c r="EE40">
        <v>42</v>
      </c>
      <c r="EF40">
        <v>16</v>
      </c>
      <c r="EG40">
        <f>42-18</f>
        <v>24</v>
      </c>
      <c r="EH40">
        <v>56</v>
      </c>
      <c r="EI40">
        <v>16</v>
      </c>
      <c r="EJ40">
        <v>28</v>
      </c>
      <c r="EK40">
        <v>56</v>
      </c>
      <c r="EL40">
        <v>30</v>
      </c>
      <c r="EM40">
        <v>20</v>
      </c>
      <c r="EN40">
        <f>56-14</f>
        <v>42</v>
      </c>
      <c r="EO40">
        <v>20</v>
      </c>
      <c r="EP40">
        <v>8</v>
      </c>
      <c r="ER40">
        <v>5</v>
      </c>
      <c r="ES40">
        <f>42-18</f>
        <v>24</v>
      </c>
      <c r="ET40">
        <f>56-21</f>
        <v>35</v>
      </c>
      <c r="EU40">
        <v>56</v>
      </c>
      <c r="EV40">
        <v>42</v>
      </c>
      <c r="EW40">
        <f>56-14</f>
        <v>42</v>
      </c>
      <c r="EX40">
        <v>56</v>
      </c>
      <c r="EY40">
        <v>7</v>
      </c>
      <c r="EZ40">
        <v>25</v>
      </c>
      <c r="FA40">
        <f>42-6</f>
        <v>36</v>
      </c>
      <c r="FB40">
        <v>30</v>
      </c>
      <c r="FC40">
        <f>56-14</f>
        <v>42</v>
      </c>
      <c r="FD40">
        <v>30</v>
      </c>
      <c r="FE40">
        <v>42</v>
      </c>
      <c r="FF40">
        <v>49</v>
      </c>
      <c r="FG40">
        <v>56</v>
      </c>
      <c r="FH40">
        <f>SUM(DN40:FG40)</f>
        <v>1321</v>
      </c>
      <c r="GB40">
        <v>180</v>
      </c>
      <c r="GC40">
        <v>24</v>
      </c>
      <c r="GD40">
        <v>17</v>
      </c>
      <c r="GE40">
        <v>8</v>
      </c>
      <c r="GF40">
        <v>1</v>
      </c>
      <c r="GG40">
        <v>1</v>
      </c>
      <c r="GH40">
        <v>26</v>
      </c>
      <c r="GI40">
        <v>16</v>
      </c>
      <c r="GJ40">
        <v>2</v>
      </c>
      <c r="GK40">
        <v>13</v>
      </c>
      <c r="GL40">
        <v>5</v>
      </c>
      <c r="GN40">
        <v>16</v>
      </c>
      <c r="GO40">
        <v>8</v>
      </c>
      <c r="GQ40">
        <v>12</v>
      </c>
      <c r="GR40">
        <v>24</v>
      </c>
      <c r="GS40">
        <v>12</v>
      </c>
      <c r="GT40">
        <v>11</v>
      </c>
      <c r="GU40">
        <v>8</v>
      </c>
      <c r="GV40">
        <v>2</v>
      </c>
      <c r="GW40">
        <v>18</v>
      </c>
      <c r="GX40">
        <v>8</v>
      </c>
      <c r="GY40">
        <v>13</v>
      </c>
      <c r="GZ40">
        <v>11</v>
      </c>
      <c r="HA40">
        <v>22</v>
      </c>
      <c r="HB40">
        <v>22</v>
      </c>
      <c r="HC40">
        <v>23</v>
      </c>
      <c r="HD40">
        <v>21</v>
      </c>
      <c r="HG40">
        <v>180</v>
      </c>
      <c r="HH40">
        <v>19</v>
      </c>
      <c r="HI40">
        <v>23</v>
      </c>
      <c r="HJ40">
        <v>18</v>
      </c>
      <c r="HK40">
        <v>10</v>
      </c>
      <c r="HL40">
        <v>25</v>
      </c>
      <c r="HM40">
        <v>23</v>
      </c>
      <c r="HN40">
        <v>18</v>
      </c>
      <c r="HO40">
        <v>13</v>
      </c>
      <c r="HP40">
        <v>9</v>
      </c>
      <c r="HQ40">
        <v>23</v>
      </c>
      <c r="HR40">
        <v>29</v>
      </c>
      <c r="HS40">
        <v>24</v>
      </c>
      <c r="HT40">
        <v>24</v>
      </c>
      <c r="HU40">
        <v>19</v>
      </c>
      <c r="HV40">
        <v>8</v>
      </c>
      <c r="HY40">
        <v>180</v>
      </c>
      <c r="HZ40">
        <v>22</v>
      </c>
      <c r="IA40">
        <v>11</v>
      </c>
      <c r="IB40">
        <v>9</v>
      </c>
      <c r="IC40">
        <v>12</v>
      </c>
      <c r="ID40">
        <v>7</v>
      </c>
      <c r="IE40">
        <v>14</v>
      </c>
      <c r="IF40">
        <v>31</v>
      </c>
      <c r="IG40">
        <v>14</v>
      </c>
      <c r="IH40">
        <v>22</v>
      </c>
      <c r="II40">
        <v>17</v>
      </c>
      <c r="IJ40">
        <v>25</v>
      </c>
      <c r="IK40">
        <v>17</v>
      </c>
      <c r="IL40">
        <v>12</v>
      </c>
      <c r="IM40">
        <v>22</v>
      </c>
      <c r="IN40">
        <v>17</v>
      </c>
      <c r="IO40">
        <v>16</v>
      </c>
    </row>
    <row r="41" spans="1:249" ht="13.15" x14ac:dyDescent="0.4">
      <c r="A41" t="s">
        <v>1003</v>
      </c>
      <c r="B41">
        <v>0</v>
      </c>
      <c r="C41">
        <v>42</v>
      </c>
      <c r="D41">
        <v>42</v>
      </c>
      <c r="E41">
        <v>6</v>
      </c>
      <c r="F41">
        <v>56</v>
      </c>
      <c r="G41">
        <v>30</v>
      </c>
      <c r="H41">
        <v>12</v>
      </c>
      <c r="I41" s="8">
        <v>35</v>
      </c>
      <c r="J41" s="8">
        <v>35</v>
      </c>
      <c r="K41">
        <v>42</v>
      </c>
      <c r="L41">
        <v>6</v>
      </c>
      <c r="M41">
        <v>0</v>
      </c>
      <c r="N41">
        <f>42-12</f>
        <v>30</v>
      </c>
      <c r="O41">
        <v>14</v>
      </c>
      <c r="P41">
        <v>56</v>
      </c>
      <c r="Q41">
        <v>0</v>
      </c>
      <c r="R41">
        <f>42-24</f>
        <v>18</v>
      </c>
      <c r="S41">
        <v>30</v>
      </c>
      <c r="T41">
        <f>42-12</f>
        <v>30</v>
      </c>
      <c r="U41">
        <f>42-18</f>
        <v>24</v>
      </c>
      <c r="V41">
        <v>30</v>
      </c>
      <c r="W41">
        <f>42-18</f>
        <v>24</v>
      </c>
      <c r="X41">
        <f>56-21</f>
        <v>35</v>
      </c>
      <c r="Y41">
        <f>56-14</f>
        <v>42</v>
      </c>
      <c r="Z41">
        <v>56</v>
      </c>
      <c r="AA41">
        <f>56-14</f>
        <v>42</v>
      </c>
      <c r="AB41">
        <v>42</v>
      </c>
      <c r="AC41">
        <v>30</v>
      </c>
      <c r="AD41">
        <v>56</v>
      </c>
      <c r="AE41">
        <v>0</v>
      </c>
      <c r="AF41">
        <v>0</v>
      </c>
      <c r="AG41">
        <v>15</v>
      </c>
      <c r="AI41">
        <v>28</v>
      </c>
      <c r="AJ41">
        <v>42</v>
      </c>
      <c r="AK41">
        <v>12</v>
      </c>
      <c r="AM41">
        <v>12</v>
      </c>
      <c r="AN41">
        <v>42</v>
      </c>
      <c r="AO41">
        <v>42</v>
      </c>
      <c r="AP41">
        <v>30</v>
      </c>
      <c r="AQ41" s="1">
        <f>SUM(Supplementary_Fig5!B41:AP41)</f>
        <v>1088</v>
      </c>
      <c r="BD41" t="s">
        <v>114</v>
      </c>
      <c r="BE41">
        <v>32.04</v>
      </c>
      <c r="BF41">
        <v>2.36</v>
      </c>
      <c r="BK41" t="s">
        <v>1003</v>
      </c>
      <c r="BL41">
        <v>56</v>
      </c>
      <c r="BM41">
        <v>42</v>
      </c>
      <c r="BN41">
        <f>56-14</f>
        <v>42</v>
      </c>
      <c r="BO41">
        <v>56</v>
      </c>
      <c r="BP41">
        <f>42-12</f>
        <v>30</v>
      </c>
      <c r="BQ41">
        <v>30</v>
      </c>
      <c r="BR41">
        <f>56-21</f>
        <v>35</v>
      </c>
      <c r="BS41">
        <v>56</v>
      </c>
      <c r="BT41">
        <v>56</v>
      </c>
      <c r="BU41">
        <v>16</v>
      </c>
      <c r="BV41">
        <v>42</v>
      </c>
      <c r="BW41">
        <v>49</v>
      </c>
      <c r="BX41">
        <v>0</v>
      </c>
      <c r="BY41">
        <v>20</v>
      </c>
      <c r="BZ41">
        <v>56</v>
      </c>
      <c r="CA41">
        <v>42</v>
      </c>
      <c r="CB41">
        <f>56-18</f>
        <v>38</v>
      </c>
      <c r="CC41">
        <v>25</v>
      </c>
      <c r="CD41">
        <v>30</v>
      </c>
      <c r="CE41">
        <v>12</v>
      </c>
      <c r="CF41">
        <v>49</v>
      </c>
      <c r="CG41">
        <v>18</v>
      </c>
      <c r="CH41">
        <v>15</v>
      </c>
      <c r="CI41">
        <v>42</v>
      </c>
      <c r="CJ41">
        <v>20</v>
      </c>
      <c r="CK41">
        <f>42-7</f>
        <v>35</v>
      </c>
      <c r="CL41">
        <v>20</v>
      </c>
      <c r="CM41">
        <v>20</v>
      </c>
      <c r="CN41">
        <f>56-14</f>
        <v>42</v>
      </c>
      <c r="CO41">
        <f>42-6</f>
        <v>36</v>
      </c>
      <c r="CP41">
        <v>28</v>
      </c>
      <c r="CR41">
        <v>36</v>
      </c>
      <c r="CS41" s="1">
        <f t="shared" si="0"/>
        <v>1094</v>
      </c>
      <c r="DM41" t="s">
        <v>1004</v>
      </c>
      <c r="DN41">
        <v>0</v>
      </c>
      <c r="DO41">
        <v>21</v>
      </c>
      <c r="DP41">
        <v>0</v>
      </c>
      <c r="DQ41">
        <v>5</v>
      </c>
      <c r="DR41">
        <v>0</v>
      </c>
      <c r="DS41">
        <v>20</v>
      </c>
      <c r="DT41">
        <v>20</v>
      </c>
      <c r="DU41">
        <v>9</v>
      </c>
      <c r="DV41">
        <v>12</v>
      </c>
      <c r="DW41">
        <v>42</v>
      </c>
      <c r="DX41">
        <v>0</v>
      </c>
      <c r="DY41">
        <v>35</v>
      </c>
      <c r="DZ41">
        <v>0</v>
      </c>
      <c r="EA41">
        <v>3</v>
      </c>
      <c r="EB41">
        <v>0</v>
      </c>
      <c r="EC41">
        <v>0</v>
      </c>
      <c r="ED41">
        <v>0</v>
      </c>
      <c r="EE41">
        <v>0</v>
      </c>
      <c r="EF41">
        <v>4</v>
      </c>
      <c r="EG41">
        <v>18</v>
      </c>
      <c r="EH41">
        <v>0</v>
      </c>
      <c r="EI41">
        <v>4</v>
      </c>
      <c r="EJ41">
        <v>28</v>
      </c>
      <c r="EK41">
        <v>0</v>
      </c>
      <c r="EL41">
        <v>0</v>
      </c>
      <c r="EM41">
        <v>10</v>
      </c>
      <c r="EN41">
        <v>14</v>
      </c>
      <c r="EO41">
        <v>0</v>
      </c>
      <c r="EP41">
        <v>12</v>
      </c>
      <c r="ER41">
        <v>25</v>
      </c>
      <c r="ES41">
        <v>18</v>
      </c>
      <c r="ET41">
        <v>21</v>
      </c>
      <c r="EU41">
        <v>0</v>
      </c>
      <c r="EV41">
        <v>0</v>
      </c>
      <c r="EW41">
        <v>0</v>
      </c>
      <c r="EX41">
        <v>0</v>
      </c>
      <c r="EY41">
        <v>21</v>
      </c>
      <c r="EZ41">
        <v>0</v>
      </c>
      <c r="FA41">
        <v>6</v>
      </c>
      <c r="FB41">
        <v>0</v>
      </c>
      <c r="FC41">
        <v>14</v>
      </c>
      <c r="FD41">
        <v>0</v>
      </c>
      <c r="FE41">
        <v>0</v>
      </c>
      <c r="FF41">
        <v>7</v>
      </c>
      <c r="FG41">
        <v>0</v>
      </c>
      <c r="FH41">
        <f>SUM(DN41:FG41)</f>
        <v>369</v>
      </c>
      <c r="GB41">
        <v>185</v>
      </c>
      <c r="GC41">
        <v>22</v>
      </c>
      <c r="GD41">
        <v>14</v>
      </c>
      <c r="GE41">
        <v>8</v>
      </c>
      <c r="GF41">
        <v>2</v>
      </c>
      <c r="GG41">
        <v>1</v>
      </c>
      <c r="GH41">
        <v>28</v>
      </c>
      <c r="GI41">
        <v>16</v>
      </c>
      <c r="GJ41">
        <v>2</v>
      </c>
      <c r="GK41">
        <v>13</v>
      </c>
      <c r="GL41">
        <v>4</v>
      </c>
      <c r="GM41">
        <v>2</v>
      </c>
      <c r="GN41">
        <v>21</v>
      </c>
      <c r="GO41">
        <v>9</v>
      </c>
      <c r="GQ41">
        <v>12</v>
      </c>
      <c r="GR41">
        <v>18</v>
      </c>
      <c r="GS41">
        <v>12</v>
      </c>
      <c r="GT41">
        <v>10</v>
      </c>
      <c r="GU41">
        <v>9</v>
      </c>
      <c r="GV41">
        <v>2</v>
      </c>
      <c r="GW41">
        <v>13</v>
      </c>
      <c r="GX41">
        <v>7</v>
      </c>
      <c r="GY41">
        <v>18</v>
      </c>
      <c r="GZ41">
        <v>12</v>
      </c>
      <c r="HA41">
        <v>19</v>
      </c>
      <c r="HB41">
        <v>21</v>
      </c>
      <c r="HC41">
        <v>24</v>
      </c>
      <c r="HD41">
        <v>21</v>
      </c>
      <c r="HG41">
        <v>185</v>
      </c>
      <c r="HH41">
        <v>18</v>
      </c>
      <c r="HI41">
        <v>22</v>
      </c>
      <c r="HJ41">
        <v>17</v>
      </c>
      <c r="HK41">
        <v>10</v>
      </c>
      <c r="HL41">
        <v>26</v>
      </c>
      <c r="HM41">
        <v>23</v>
      </c>
      <c r="HN41">
        <v>18</v>
      </c>
      <c r="HO41">
        <v>12</v>
      </c>
      <c r="HP41">
        <v>7</v>
      </c>
      <c r="HQ41">
        <v>23</v>
      </c>
      <c r="HR41">
        <v>26</v>
      </c>
      <c r="HS41">
        <v>24</v>
      </c>
      <c r="HT41">
        <v>21</v>
      </c>
      <c r="HU41">
        <v>18</v>
      </c>
      <c r="HV41">
        <v>8</v>
      </c>
      <c r="HY41">
        <v>185</v>
      </c>
      <c r="HZ41">
        <v>21</v>
      </c>
      <c r="IA41">
        <v>11</v>
      </c>
      <c r="IB41">
        <v>10</v>
      </c>
      <c r="IC41">
        <v>10</v>
      </c>
      <c r="ID41">
        <v>7</v>
      </c>
      <c r="IE41">
        <v>14</v>
      </c>
      <c r="IF41">
        <v>33</v>
      </c>
      <c r="IG41">
        <v>14</v>
      </c>
      <c r="IH41">
        <v>22</v>
      </c>
      <c r="II41">
        <v>16</v>
      </c>
      <c r="IJ41">
        <v>25</v>
      </c>
      <c r="IK41">
        <v>17</v>
      </c>
      <c r="IL41">
        <v>12</v>
      </c>
      <c r="IM41">
        <v>24</v>
      </c>
      <c r="IN41">
        <v>18</v>
      </c>
      <c r="IO41">
        <v>8</v>
      </c>
    </row>
    <row r="42" spans="1:249" ht="13.15" x14ac:dyDescent="0.4">
      <c r="A42" t="s">
        <v>1004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 s="8">
        <v>21</v>
      </c>
      <c r="J42" s="8">
        <v>21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14</v>
      </c>
      <c r="AB42">
        <v>0</v>
      </c>
      <c r="AC42">
        <v>0</v>
      </c>
      <c r="AD42">
        <v>0</v>
      </c>
      <c r="AE42">
        <v>42</v>
      </c>
      <c r="AF42">
        <v>56</v>
      </c>
      <c r="AG42">
        <v>15</v>
      </c>
      <c r="AI42">
        <v>28</v>
      </c>
      <c r="AJ42">
        <v>0</v>
      </c>
      <c r="AK42">
        <v>30</v>
      </c>
      <c r="AM42">
        <v>30</v>
      </c>
      <c r="AN42">
        <v>0</v>
      </c>
      <c r="AO42">
        <v>14</v>
      </c>
      <c r="AP42">
        <v>0</v>
      </c>
      <c r="AQ42" s="1">
        <f>SUM(Supplementary_Fig5!B42:AP42)</f>
        <v>271</v>
      </c>
      <c r="BD42" t="s">
        <v>119</v>
      </c>
      <c r="BE42">
        <v>64.77</v>
      </c>
      <c r="BF42">
        <v>2.31</v>
      </c>
      <c r="BK42" t="s">
        <v>1004</v>
      </c>
      <c r="BL42">
        <v>0</v>
      </c>
      <c r="BM42">
        <v>0</v>
      </c>
      <c r="BN42">
        <v>14</v>
      </c>
      <c r="BO42">
        <v>0</v>
      </c>
      <c r="BP42">
        <v>12</v>
      </c>
      <c r="BQ42">
        <v>0</v>
      </c>
      <c r="BR42">
        <v>0</v>
      </c>
      <c r="BS42">
        <v>0</v>
      </c>
      <c r="BT42">
        <v>0</v>
      </c>
      <c r="BU42">
        <v>4</v>
      </c>
      <c r="BV42">
        <v>0</v>
      </c>
      <c r="BW42">
        <v>0</v>
      </c>
      <c r="BX42">
        <v>42</v>
      </c>
      <c r="BY42">
        <v>10</v>
      </c>
      <c r="BZ42">
        <v>0</v>
      </c>
      <c r="CA42">
        <v>0</v>
      </c>
      <c r="CB42">
        <v>18</v>
      </c>
      <c r="CC42">
        <v>0</v>
      </c>
      <c r="CD42">
        <v>0</v>
      </c>
      <c r="CE42">
        <f>56-12</f>
        <v>44</v>
      </c>
      <c r="CF42">
        <v>7</v>
      </c>
      <c r="CG42">
        <v>24</v>
      </c>
      <c r="CH42">
        <v>15</v>
      </c>
      <c r="CI42">
        <v>0</v>
      </c>
      <c r="CJ42">
        <v>0</v>
      </c>
      <c r="CK42">
        <v>7</v>
      </c>
      <c r="CL42">
        <v>0</v>
      </c>
      <c r="CM42">
        <v>0</v>
      </c>
      <c r="CN42">
        <v>14</v>
      </c>
      <c r="CO42">
        <v>0</v>
      </c>
      <c r="CP42">
        <v>28</v>
      </c>
      <c r="CR42">
        <v>6</v>
      </c>
      <c r="CS42" s="1">
        <f t="shared" si="0"/>
        <v>245</v>
      </c>
      <c r="FH42" s="1">
        <f>SUM(Supplementary_Fig5!FH39:FH41)</f>
        <v>1772</v>
      </c>
      <c r="GB42">
        <v>190</v>
      </c>
      <c r="GC42">
        <v>27</v>
      </c>
      <c r="GD42">
        <v>20</v>
      </c>
      <c r="GE42">
        <v>6</v>
      </c>
      <c r="GF42">
        <v>2</v>
      </c>
      <c r="GG42">
        <v>1</v>
      </c>
      <c r="GH42">
        <v>25</v>
      </c>
      <c r="GI42">
        <v>15</v>
      </c>
      <c r="GJ42">
        <v>2</v>
      </c>
      <c r="GK42">
        <v>12</v>
      </c>
      <c r="GL42">
        <v>5</v>
      </c>
      <c r="GM42">
        <v>2</v>
      </c>
      <c r="GN42">
        <v>17</v>
      </c>
      <c r="GO42">
        <v>10</v>
      </c>
      <c r="GQ42">
        <v>12</v>
      </c>
      <c r="GR42">
        <v>18</v>
      </c>
      <c r="GS42">
        <v>14</v>
      </c>
      <c r="GT42">
        <v>10</v>
      </c>
      <c r="GU42">
        <v>8</v>
      </c>
      <c r="GV42">
        <v>2</v>
      </c>
      <c r="GW42">
        <v>14</v>
      </c>
      <c r="GX42">
        <v>7</v>
      </c>
      <c r="GY42">
        <v>21</v>
      </c>
      <c r="GZ42">
        <v>12</v>
      </c>
      <c r="HA42">
        <v>18</v>
      </c>
      <c r="HB42">
        <v>28</v>
      </c>
      <c r="HC42">
        <v>24</v>
      </c>
      <c r="HD42">
        <v>20</v>
      </c>
      <c r="HG42">
        <v>190</v>
      </c>
      <c r="HH42">
        <v>17</v>
      </c>
      <c r="HI42">
        <v>21</v>
      </c>
      <c r="HJ42">
        <v>16</v>
      </c>
      <c r="HK42">
        <v>10</v>
      </c>
      <c r="HL42">
        <v>25</v>
      </c>
      <c r="HM42">
        <v>20</v>
      </c>
      <c r="HN42">
        <v>17</v>
      </c>
      <c r="HO42">
        <v>10</v>
      </c>
      <c r="HP42">
        <v>7</v>
      </c>
      <c r="HQ42">
        <v>22</v>
      </c>
      <c r="HR42">
        <v>25</v>
      </c>
      <c r="HS42">
        <v>23</v>
      </c>
      <c r="HT42">
        <v>23</v>
      </c>
      <c r="HU42">
        <v>19</v>
      </c>
      <c r="HV42">
        <v>8</v>
      </c>
      <c r="HY42">
        <v>190</v>
      </c>
      <c r="HZ42">
        <v>20</v>
      </c>
      <c r="IA42">
        <v>11</v>
      </c>
      <c r="IB42">
        <v>10</v>
      </c>
      <c r="IC42">
        <v>9</v>
      </c>
      <c r="ID42">
        <v>6</v>
      </c>
      <c r="IE42">
        <v>14</v>
      </c>
      <c r="IF42">
        <v>34</v>
      </c>
      <c r="IG42">
        <v>15</v>
      </c>
      <c r="IH42">
        <v>20</v>
      </c>
      <c r="II42">
        <v>14</v>
      </c>
      <c r="IJ42">
        <v>25</v>
      </c>
      <c r="IK42">
        <v>19</v>
      </c>
      <c r="IL42">
        <v>12</v>
      </c>
      <c r="IM42">
        <v>25</v>
      </c>
      <c r="IN42">
        <v>22</v>
      </c>
      <c r="IO42">
        <v>8</v>
      </c>
    </row>
    <row r="43" spans="1:249" ht="13.15" x14ac:dyDescent="0.4">
      <c r="I43" s="8"/>
      <c r="J43" s="8"/>
      <c r="AQ43">
        <f>SUM(Supplementary_Fig5!AQ40:AQ42)</f>
        <v>1694</v>
      </c>
      <c r="BD43" t="s">
        <v>120</v>
      </c>
      <c r="BE43">
        <v>233.44</v>
      </c>
      <c r="BF43">
        <v>2.73</v>
      </c>
      <c r="CS43" s="1">
        <f>SUM(CS40:CS42)</f>
        <v>1378</v>
      </c>
      <c r="GB43">
        <v>195</v>
      </c>
      <c r="GC43">
        <v>25</v>
      </c>
      <c r="GD43">
        <v>14</v>
      </c>
      <c r="GE43">
        <v>6</v>
      </c>
      <c r="GF43">
        <v>4</v>
      </c>
      <c r="GG43">
        <v>1</v>
      </c>
      <c r="GH43">
        <v>28</v>
      </c>
      <c r="GI43">
        <v>16</v>
      </c>
      <c r="GJ43">
        <v>2</v>
      </c>
      <c r="GK43">
        <v>11</v>
      </c>
      <c r="GL43">
        <v>7</v>
      </c>
      <c r="GM43">
        <v>3</v>
      </c>
      <c r="GN43">
        <v>17</v>
      </c>
      <c r="GO43">
        <v>10</v>
      </c>
      <c r="GQ43">
        <v>13</v>
      </c>
      <c r="GR43">
        <v>18</v>
      </c>
      <c r="GS43">
        <v>13</v>
      </c>
      <c r="GT43">
        <v>10</v>
      </c>
      <c r="GU43">
        <v>8</v>
      </c>
      <c r="GV43">
        <v>3</v>
      </c>
      <c r="GW43">
        <v>13</v>
      </c>
      <c r="GX43">
        <v>8</v>
      </c>
      <c r="GY43">
        <v>28</v>
      </c>
      <c r="GZ43">
        <v>12</v>
      </c>
      <c r="HA43">
        <v>18</v>
      </c>
      <c r="HB43">
        <v>24</v>
      </c>
      <c r="HC43">
        <v>26</v>
      </c>
      <c r="HD43">
        <v>22</v>
      </c>
      <c r="HG43">
        <v>195</v>
      </c>
      <c r="HH43">
        <v>18</v>
      </c>
      <c r="HI43">
        <v>20</v>
      </c>
      <c r="HJ43">
        <v>12</v>
      </c>
      <c r="HK43">
        <v>9</v>
      </c>
      <c r="HL43">
        <v>24</v>
      </c>
      <c r="HM43">
        <v>14</v>
      </c>
      <c r="HN43">
        <v>14</v>
      </c>
      <c r="HO43">
        <v>10</v>
      </c>
      <c r="HP43">
        <v>7</v>
      </c>
      <c r="HQ43">
        <v>22</v>
      </c>
      <c r="HR43">
        <v>24</v>
      </c>
      <c r="HS43">
        <v>23</v>
      </c>
      <c r="HT43">
        <v>23</v>
      </c>
      <c r="HU43">
        <v>17</v>
      </c>
      <c r="HV43">
        <v>8</v>
      </c>
      <c r="HY43">
        <v>195</v>
      </c>
      <c r="HZ43">
        <v>18</v>
      </c>
      <c r="IA43">
        <v>11</v>
      </c>
      <c r="IB43">
        <v>10</v>
      </c>
      <c r="IC43">
        <v>8</v>
      </c>
      <c r="ID43">
        <v>6</v>
      </c>
      <c r="IE43">
        <v>12</v>
      </c>
      <c r="IF43">
        <v>34</v>
      </c>
      <c r="IG43">
        <v>17</v>
      </c>
      <c r="IH43">
        <v>21</v>
      </c>
      <c r="II43">
        <v>15</v>
      </c>
      <c r="IJ43">
        <v>25</v>
      </c>
      <c r="IK43">
        <v>20</v>
      </c>
      <c r="IL43">
        <v>12</v>
      </c>
      <c r="IM43">
        <v>23</v>
      </c>
      <c r="IN43">
        <v>20</v>
      </c>
      <c r="IO43">
        <v>12</v>
      </c>
    </row>
    <row r="44" spans="1:249" ht="13.15" x14ac:dyDescent="0.4">
      <c r="I44" s="8"/>
      <c r="J44" s="8"/>
      <c r="BD44" t="s">
        <v>121</v>
      </c>
      <c r="BE44">
        <v>105.72</v>
      </c>
      <c r="BF44">
        <v>2.46</v>
      </c>
      <c r="CR44">
        <f>CR36/3</f>
        <v>451.7163333333333</v>
      </c>
      <c r="CS44" s="1"/>
      <c r="GB44">
        <v>200</v>
      </c>
      <c r="GC44">
        <v>37</v>
      </c>
      <c r="GD44">
        <v>14</v>
      </c>
      <c r="GE44">
        <v>9</v>
      </c>
      <c r="GF44">
        <v>4</v>
      </c>
      <c r="GG44">
        <v>1</v>
      </c>
      <c r="GH44">
        <v>26</v>
      </c>
      <c r="GI44">
        <v>16</v>
      </c>
      <c r="GJ44">
        <v>2</v>
      </c>
      <c r="GK44">
        <v>11</v>
      </c>
      <c r="GL44">
        <v>5</v>
      </c>
      <c r="GM44">
        <v>3</v>
      </c>
      <c r="GN44">
        <v>17</v>
      </c>
      <c r="GO44">
        <v>9</v>
      </c>
      <c r="GQ44">
        <v>12</v>
      </c>
      <c r="GR44">
        <v>17</v>
      </c>
      <c r="GS44">
        <v>11</v>
      </c>
      <c r="GT44">
        <v>10</v>
      </c>
      <c r="GU44">
        <v>8</v>
      </c>
      <c r="GV44">
        <v>4</v>
      </c>
      <c r="GW44">
        <v>13</v>
      </c>
      <c r="GX44">
        <v>9</v>
      </c>
      <c r="GY44">
        <v>19</v>
      </c>
      <c r="GZ44">
        <v>11</v>
      </c>
      <c r="HA44">
        <v>21</v>
      </c>
      <c r="HB44">
        <v>22</v>
      </c>
      <c r="HC44">
        <v>27</v>
      </c>
      <c r="HD44">
        <v>26</v>
      </c>
      <c r="HG44">
        <v>200</v>
      </c>
      <c r="HH44">
        <v>18</v>
      </c>
      <c r="HI44">
        <v>20</v>
      </c>
      <c r="HJ44">
        <v>11</v>
      </c>
      <c r="HK44">
        <v>9</v>
      </c>
      <c r="HL44">
        <v>23</v>
      </c>
      <c r="HM44">
        <v>14</v>
      </c>
      <c r="HN44">
        <v>13</v>
      </c>
      <c r="HO44">
        <v>10</v>
      </c>
      <c r="HP44">
        <v>3</v>
      </c>
      <c r="HQ44">
        <v>21</v>
      </c>
      <c r="HR44">
        <v>26</v>
      </c>
      <c r="HS44">
        <v>23</v>
      </c>
      <c r="HT44">
        <v>22</v>
      </c>
      <c r="HU44">
        <v>22</v>
      </c>
      <c r="HV44">
        <v>8</v>
      </c>
      <c r="HY44">
        <v>200</v>
      </c>
      <c r="HZ44">
        <v>18</v>
      </c>
      <c r="IA44">
        <v>10</v>
      </c>
      <c r="IB44">
        <v>9</v>
      </c>
      <c r="IC44">
        <v>7</v>
      </c>
      <c r="ID44">
        <v>5</v>
      </c>
      <c r="IE44">
        <v>12</v>
      </c>
      <c r="IF44">
        <v>33</v>
      </c>
      <c r="IG44">
        <v>18</v>
      </c>
      <c r="IH44">
        <v>21</v>
      </c>
      <c r="II44">
        <v>15</v>
      </c>
      <c r="IJ44">
        <v>22</v>
      </c>
      <c r="IK44">
        <v>20</v>
      </c>
      <c r="IL44">
        <v>11</v>
      </c>
      <c r="IM44">
        <v>23</v>
      </c>
      <c r="IN44">
        <v>21</v>
      </c>
      <c r="IO44">
        <v>8</v>
      </c>
    </row>
    <row r="45" spans="1:249" ht="13.15" x14ac:dyDescent="0.4">
      <c r="BD45" t="s">
        <v>122</v>
      </c>
      <c r="BE45">
        <v>126.71</v>
      </c>
      <c r="BF45">
        <v>4.32</v>
      </c>
      <c r="DM45" s="42" t="s">
        <v>1005</v>
      </c>
      <c r="DN45" s="42"/>
      <c r="DO45" s="42"/>
      <c r="DP45" s="42" t="s">
        <v>1006</v>
      </c>
      <c r="DQ45" s="42"/>
      <c r="DR45" s="42"/>
      <c r="DT45" s="69" t="s">
        <v>1007</v>
      </c>
      <c r="DU45" s="69"/>
      <c r="DV45" s="69"/>
      <c r="DW45" s="69"/>
      <c r="DY45" s="69" t="s">
        <v>1007</v>
      </c>
      <c r="DZ45" s="69"/>
      <c r="EA45" s="69"/>
      <c r="EB45" s="69"/>
      <c r="GB45">
        <v>205</v>
      </c>
      <c r="GC45">
        <v>31</v>
      </c>
      <c r="GD45">
        <v>15</v>
      </c>
      <c r="GE45">
        <v>7</v>
      </c>
      <c r="GF45">
        <v>4</v>
      </c>
      <c r="GG45">
        <v>1</v>
      </c>
      <c r="GH45">
        <v>32</v>
      </c>
      <c r="GI45">
        <v>19</v>
      </c>
      <c r="GJ45">
        <v>2</v>
      </c>
      <c r="GK45">
        <v>11</v>
      </c>
      <c r="GL45">
        <v>7</v>
      </c>
      <c r="GM45">
        <v>3</v>
      </c>
      <c r="GN45">
        <v>17</v>
      </c>
      <c r="GO45">
        <v>9</v>
      </c>
      <c r="GQ45">
        <v>11</v>
      </c>
      <c r="GR45">
        <v>17</v>
      </c>
      <c r="GS45">
        <v>11</v>
      </c>
      <c r="GT45">
        <v>9</v>
      </c>
      <c r="GU45">
        <v>8</v>
      </c>
      <c r="GV45">
        <v>6</v>
      </c>
      <c r="GW45">
        <v>16</v>
      </c>
      <c r="GX45">
        <v>9</v>
      </c>
      <c r="GY45">
        <v>19</v>
      </c>
      <c r="GZ45">
        <v>11</v>
      </c>
      <c r="HA45">
        <v>18</v>
      </c>
      <c r="HB45">
        <v>21</v>
      </c>
      <c r="HC45">
        <v>25</v>
      </c>
      <c r="HD45">
        <v>22</v>
      </c>
      <c r="HG45">
        <v>205</v>
      </c>
      <c r="HH45">
        <v>18</v>
      </c>
      <c r="HI45">
        <v>19</v>
      </c>
      <c r="HJ45">
        <v>9</v>
      </c>
      <c r="HK45">
        <v>9</v>
      </c>
      <c r="HL45">
        <v>23</v>
      </c>
      <c r="HM45">
        <v>14</v>
      </c>
      <c r="HN45">
        <v>11</v>
      </c>
      <c r="HO45">
        <v>8</v>
      </c>
      <c r="HP45">
        <v>3</v>
      </c>
      <c r="HQ45">
        <v>21</v>
      </c>
      <c r="HR45">
        <v>24</v>
      </c>
      <c r="HS45">
        <v>21</v>
      </c>
      <c r="HT45">
        <v>23</v>
      </c>
      <c r="HU45">
        <v>22</v>
      </c>
      <c r="HV45">
        <v>8</v>
      </c>
      <c r="HY45">
        <v>205</v>
      </c>
      <c r="HZ45">
        <v>18</v>
      </c>
      <c r="IA45">
        <v>10</v>
      </c>
      <c r="IB45">
        <v>9</v>
      </c>
      <c r="IC45">
        <v>6</v>
      </c>
      <c r="ID45">
        <v>5</v>
      </c>
      <c r="IE45">
        <v>12</v>
      </c>
      <c r="IF45">
        <v>35</v>
      </c>
      <c r="IG45">
        <v>18</v>
      </c>
      <c r="IH45">
        <v>22</v>
      </c>
      <c r="II45">
        <v>16</v>
      </c>
      <c r="IJ45">
        <v>22</v>
      </c>
      <c r="IK45">
        <v>21</v>
      </c>
      <c r="IL45">
        <v>11</v>
      </c>
      <c r="IM45">
        <v>24</v>
      </c>
      <c r="IN45">
        <v>20</v>
      </c>
      <c r="IO45">
        <v>10</v>
      </c>
    </row>
    <row r="46" spans="1:249" ht="13.15" x14ac:dyDescent="0.4">
      <c r="BD46" t="s">
        <v>123</v>
      </c>
      <c r="BE46">
        <v>152.68</v>
      </c>
      <c r="BF46">
        <v>2.15</v>
      </c>
      <c r="DN46" s="1" t="s">
        <v>1008</v>
      </c>
      <c r="DO46" s="1" t="s">
        <v>1009</v>
      </c>
      <c r="DP46" s="2">
        <v>253.65199999999999</v>
      </c>
      <c r="DQ46" s="1" t="s">
        <v>1008</v>
      </c>
      <c r="DR46" s="1" t="s">
        <v>1009</v>
      </c>
      <c r="DT46" s="1" t="s">
        <v>1010</v>
      </c>
      <c r="DU46" s="1" t="s">
        <v>1011</v>
      </c>
      <c r="DV46" s="1" t="s">
        <v>1012</v>
      </c>
      <c r="DW46" s="1" t="s">
        <v>1013</v>
      </c>
      <c r="DY46" s="1" t="s">
        <v>1010</v>
      </c>
      <c r="DZ46" s="1" t="s">
        <v>1011</v>
      </c>
      <c r="EA46" s="1" t="s">
        <v>1012</v>
      </c>
      <c r="EB46" s="1" t="s">
        <v>1013</v>
      </c>
      <c r="EC46" s="1" t="s">
        <v>1014</v>
      </c>
      <c r="GB46">
        <v>210</v>
      </c>
      <c r="GC46">
        <v>31</v>
      </c>
      <c r="GD46">
        <v>19</v>
      </c>
      <c r="GE46">
        <v>7</v>
      </c>
      <c r="GF46">
        <v>3</v>
      </c>
      <c r="GG46">
        <v>1</v>
      </c>
      <c r="GH46">
        <v>26</v>
      </c>
      <c r="GI46">
        <v>17</v>
      </c>
      <c r="GJ46">
        <v>2</v>
      </c>
      <c r="GK46">
        <v>11</v>
      </c>
      <c r="GL46">
        <v>7</v>
      </c>
      <c r="GM46">
        <v>3</v>
      </c>
      <c r="GN46">
        <v>16</v>
      </c>
      <c r="GO46">
        <v>8</v>
      </c>
      <c r="GQ46">
        <v>11</v>
      </c>
      <c r="GR46">
        <v>17</v>
      </c>
      <c r="GS46">
        <v>11</v>
      </c>
      <c r="GT46">
        <v>9</v>
      </c>
      <c r="GU46">
        <v>7</v>
      </c>
      <c r="GV46">
        <v>7</v>
      </c>
      <c r="GW46">
        <v>15</v>
      </c>
      <c r="GX46">
        <v>9</v>
      </c>
      <c r="GY46">
        <v>19</v>
      </c>
      <c r="GZ46">
        <v>11</v>
      </c>
      <c r="HA46">
        <v>17</v>
      </c>
      <c r="HB46">
        <v>20</v>
      </c>
      <c r="HC46">
        <v>22</v>
      </c>
      <c r="HD46">
        <v>21</v>
      </c>
      <c r="HG46">
        <v>210</v>
      </c>
      <c r="HH46">
        <v>18</v>
      </c>
      <c r="HI46">
        <v>20</v>
      </c>
      <c r="HJ46">
        <v>8</v>
      </c>
      <c r="HK46">
        <v>9</v>
      </c>
      <c r="HL46">
        <v>25</v>
      </c>
      <c r="HM46">
        <v>14</v>
      </c>
      <c r="HN46">
        <v>11</v>
      </c>
      <c r="HO46">
        <v>8</v>
      </c>
      <c r="HP46">
        <v>3</v>
      </c>
      <c r="HQ46">
        <v>22</v>
      </c>
      <c r="HR46">
        <v>23</v>
      </c>
      <c r="HS46">
        <v>20</v>
      </c>
      <c r="HT46">
        <v>23</v>
      </c>
      <c r="HU46">
        <v>20</v>
      </c>
      <c r="HV46">
        <v>9</v>
      </c>
      <c r="HY46">
        <v>210</v>
      </c>
      <c r="HZ46">
        <v>18</v>
      </c>
      <c r="IA46">
        <v>10</v>
      </c>
      <c r="IB46">
        <v>9</v>
      </c>
      <c r="IC46">
        <v>6</v>
      </c>
      <c r="ID46">
        <v>5</v>
      </c>
      <c r="IE46">
        <v>10</v>
      </c>
      <c r="IF46">
        <v>34</v>
      </c>
      <c r="IG46">
        <v>18</v>
      </c>
      <c r="IH46">
        <v>23</v>
      </c>
      <c r="II46">
        <v>16</v>
      </c>
      <c r="IJ46">
        <v>22</v>
      </c>
      <c r="IK46">
        <v>22</v>
      </c>
      <c r="IL46">
        <v>12</v>
      </c>
      <c r="IM46">
        <v>23</v>
      </c>
      <c r="IN46">
        <v>19</v>
      </c>
      <c r="IO46">
        <v>7</v>
      </c>
    </row>
    <row r="47" spans="1:249" ht="13.15" x14ac:dyDescent="0.4">
      <c r="BD47" t="s">
        <v>124</v>
      </c>
      <c r="BE47">
        <v>261.69</v>
      </c>
      <c r="BF47">
        <v>1.86</v>
      </c>
      <c r="DN47" s="1">
        <f>AVERAGE(Supplementary_Fig5!DM152:DM931)</f>
        <v>143.69437142857129</v>
      </c>
      <c r="DO47" s="1">
        <f>STDEV(Supplementary_Fig5!DM48:DM931)</f>
        <v>89.935620925757377</v>
      </c>
      <c r="DP47" s="2">
        <v>200.679</v>
      </c>
      <c r="DQ47" s="1">
        <f>AVERAGE(Supplementary_Fig5!DP46:DP61)</f>
        <v>131.33093749999998</v>
      </c>
      <c r="DR47" s="1">
        <f>STDEV(Supplementary_Fig5!DP46:DP61)</f>
        <v>62.239061338753928</v>
      </c>
      <c r="DT47">
        <v>437.94</v>
      </c>
      <c r="DY47" t="s">
        <v>1015</v>
      </c>
      <c r="DZ47">
        <v>522</v>
      </c>
      <c r="EA47">
        <v>6</v>
      </c>
      <c r="EB47">
        <f>Supplementary_Fig5!EA47*100/Supplementary_Fig5!DZ47</f>
        <v>1.1494252873563218</v>
      </c>
      <c r="EC47">
        <f>Supplementary_Fig5!EB47*2.38</f>
        <v>2.7356321839080455</v>
      </c>
      <c r="GB47">
        <v>215</v>
      </c>
      <c r="GC47">
        <v>31</v>
      </c>
      <c r="GD47">
        <v>19</v>
      </c>
      <c r="GE47">
        <v>7</v>
      </c>
      <c r="GF47">
        <v>7</v>
      </c>
      <c r="GG47">
        <v>1</v>
      </c>
      <c r="GH47">
        <v>25</v>
      </c>
      <c r="GI47">
        <v>15</v>
      </c>
      <c r="GJ47">
        <v>2</v>
      </c>
      <c r="GK47">
        <v>12</v>
      </c>
      <c r="GL47">
        <v>8</v>
      </c>
      <c r="GM47">
        <v>3</v>
      </c>
      <c r="GN47">
        <v>15</v>
      </c>
      <c r="GO47">
        <v>8</v>
      </c>
      <c r="GQ47">
        <v>12</v>
      </c>
      <c r="GR47">
        <v>18</v>
      </c>
      <c r="GS47">
        <v>13</v>
      </c>
      <c r="GT47">
        <v>8</v>
      </c>
      <c r="GU47">
        <v>7</v>
      </c>
      <c r="GV47">
        <v>6</v>
      </c>
      <c r="GW47">
        <v>11</v>
      </c>
      <c r="GX47">
        <v>8</v>
      </c>
      <c r="GY47">
        <v>18</v>
      </c>
      <c r="GZ47">
        <v>10</v>
      </c>
      <c r="HA47">
        <v>17</v>
      </c>
      <c r="HB47">
        <v>20</v>
      </c>
      <c r="HC47">
        <v>19</v>
      </c>
      <c r="HD47">
        <v>24</v>
      </c>
      <c r="HG47">
        <v>215</v>
      </c>
      <c r="HH47">
        <v>18</v>
      </c>
      <c r="HI47">
        <v>19</v>
      </c>
      <c r="HJ47">
        <v>8</v>
      </c>
      <c r="HK47">
        <v>9</v>
      </c>
      <c r="HL47">
        <v>22</v>
      </c>
      <c r="HM47">
        <v>14</v>
      </c>
      <c r="HN47">
        <v>10</v>
      </c>
      <c r="HO47">
        <v>8</v>
      </c>
      <c r="HP47">
        <v>3</v>
      </c>
      <c r="HQ47">
        <v>21</v>
      </c>
      <c r="HR47">
        <v>22</v>
      </c>
      <c r="HS47">
        <v>20</v>
      </c>
      <c r="HT47">
        <v>25</v>
      </c>
      <c r="HU47">
        <v>20</v>
      </c>
      <c r="HV47">
        <v>9</v>
      </c>
      <c r="HY47">
        <v>215</v>
      </c>
      <c r="HZ47">
        <v>18</v>
      </c>
      <c r="IA47">
        <v>10</v>
      </c>
      <c r="IB47">
        <v>9</v>
      </c>
      <c r="IC47">
        <v>5</v>
      </c>
      <c r="ID47">
        <v>4</v>
      </c>
      <c r="IE47">
        <v>10</v>
      </c>
      <c r="IF47">
        <v>36</v>
      </c>
      <c r="IG47">
        <v>20</v>
      </c>
      <c r="IH47">
        <v>24</v>
      </c>
      <c r="II47">
        <v>16</v>
      </c>
      <c r="IJ47">
        <v>22</v>
      </c>
      <c r="IK47">
        <v>23</v>
      </c>
      <c r="IL47">
        <v>13</v>
      </c>
      <c r="IM47">
        <v>23</v>
      </c>
      <c r="IN47">
        <v>18</v>
      </c>
      <c r="IO47">
        <v>11</v>
      </c>
    </row>
    <row r="48" spans="1:249" ht="13.15" x14ac:dyDescent="0.4">
      <c r="BD48" t="s">
        <v>127</v>
      </c>
      <c r="BE48">
        <v>78.09</v>
      </c>
      <c r="BF48">
        <v>2.46</v>
      </c>
      <c r="BM48" s="42" t="s">
        <v>1005</v>
      </c>
      <c r="BN48" s="42"/>
      <c r="BO48" s="42"/>
      <c r="BP48" s="42" t="s">
        <v>1006</v>
      </c>
      <c r="BQ48" s="42"/>
      <c r="BR48" s="42"/>
      <c r="BV48" s="69" t="s">
        <v>1007</v>
      </c>
      <c r="BW48" s="69"/>
      <c r="BX48" s="69"/>
      <c r="BY48" s="69"/>
      <c r="CA48" s="69" t="s">
        <v>1007</v>
      </c>
      <c r="CB48" s="69"/>
      <c r="CC48" s="69"/>
      <c r="CD48" s="69"/>
      <c r="DM48">
        <v>51.777999999999999</v>
      </c>
      <c r="DP48" s="2">
        <v>192.99799999999999</v>
      </c>
      <c r="DT48">
        <v>417.262</v>
      </c>
      <c r="DY48" t="s">
        <v>1016</v>
      </c>
      <c r="DZ48">
        <v>534</v>
      </c>
      <c r="EA48">
        <v>4</v>
      </c>
      <c r="EB48">
        <f>Supplementary_Fig5!EA48*100/Supplementary_Fig5!DZ48</f>
        <v>0.74906367041198507</v>
      </c>
      <c r="EC48">
        <f>Supplementary_Fig5!EB48*2.38</f>
        <v>1.7827715355805245</v>
      </c>
      <c r="GB48">
        <v>220</v>
      </c>
      <c r="GC48">
        <v>29</v>
      </c>
      <c r="GD48">
        <v>17</v>
      </c>
      <c r="GE48">
        <v>8</v>
      </c>
      <c r="GF48">
        <v>7</v>
      </c>
      <c r="GG48">
        <v>1</v>
      </c>
      <c r="GH48">
        <v>25</v>
      </c>
      <c r="GI48">
        <v>15</v>
      </c>
      <c r="GJ48">
        <v>2</v>
      </c>
      <c r="GK48">
        <v>12</v>
      </c>
      <c r="GL48">
        <v>5</v>
      </c>
      <c r="GM48">
        <v>3</v>
      </c>
      <c r="GN48">
        <v>14</v>
      </c>
      <c r="GO48">
        <v>8</v>
      </c>
      <c r="GQ48">
        <v>11</v>
      </c>
      <c r="GR48">
        <v>16</v>
      </c>
      <c r="GS48">
        <v>10</v>
      </c>
      <c r="GT48">
        <v>8</v>
      </c>
      <c r="GU48">
        <v>7</v>
      </c>
      <c r="GV48">
        <v>6</v>
      </c>
      <c r="GW48">
        <v>12</v>
      </c>
      <c r="GX48">
        <v>8</v>
      </c>
      <c r="GY48">
        <v>18</v>
      </c>
      <c r="GZ48">
        <v>10</v>
      </c>
      <c r="HA48">
        <v>17</v>
      </c>
      <c r="HB48">
        <v>20</v>
      </c>
      <c r="HC48">
        <v>23</v>
      </c>
      <c r="HD48">
        <v>25</v>
      </c>
      <c r="HG48">
        <v>220</v>
      </c>
      <c r="HH48">
        <v>18</v>
      </c>
      <c r="HI48">
        <v>18</v>
      </c>
      <c r="HJ48">
        <v>8</v>
      </c>
      <c r="HK48">
        <v>9</v>
      </c>
      <c r="HL48">
        <v>22</v>
      </c>
      <c r="HM48">
        <v>14</v>
      </c>
      <c r="HN48">
        <v>11</v>
      </c>
      <c r="HO48">
        <v>7</v>
      </c>
      <c r="HP48">
        <v>3</v>
      </c>
      <c r="HQ48">
        <v>20</v>
      </c>
      <c r="HR48">
        <v>21</v>
      </c>
      <c r="HS48">
        <v>19</v>
      </c>
      <c r="HT48">
        <v>28</v>
      </c>
      <c r="HU48">
        <v>20</v>
      </c>
      <c r="HV48">
        <v>10</v>
      </c>
      <c r="HY48">
        <v>220</v>
      </c>
      <c r="HZ48">
        <v>18</v>
      </c>
      <c r="IA48">
        <v>9</v>
      </c>
      <c r="IB48">
        <v>9</v>
      </c>
      <c r="IC48">
        <v>5</v>
      </c>
      <c r="ID48">
        <v>4</v>
      </c>
      <c r="IE48">
        <v>10</v>
      </c>
      <c r="IF48">
        <v>35</v>
      </c>
      <c r="IG48">
        <v>17</v>
      </c>
      <c r="IH48">
        <v>34</v>
      </c>
      <c r="II48">
        <v>16</v>
      </c>
      <c r="IJ48">
        <v>23</v>
      </c>
      <c r="IK48">
        <v>24</v>
      </c>
      <c r="IL48">
        <v>15</v>
      </c>
      <c r="IM48">
        <v>24</v>
      </c>
      <c r="IN48">
        <v>18</v>
      </c>
      <c r="IO48">
        <v>11</v>
      </c>
    </row>
    <row r="49" spans="1:249" ht="13.15" x14ac:dyDescent="0.4">
      <c r="A49" s="42" t="s">
        <v>1005</v>
      </c>
      <c r="B49" s="42"/>
      <c r="C49" s="42"/>
      <c r="D49" s="42" t="s">
        <v>1006</v>
      </c>
      <c r="E49" s="42"/>
      <c r="F49" s="42"/>
      <c r="H49" s="69" t="s">
        <v>1007</v>
      </c>
      <c r="I49" s="69"/>
      <c r="J49" s="69"/>
      <c r="K49" s="69"/>
      <c r="M49" s="69" t="s">
        <v>1007</v>
      </c>
      <c r="N49" s="69"/>
      <c r="O49" s="69"/>
      <c r="P49" s="69"/>
      <c r="BD49" t="s">
        <v>524</v>
      </c>
      <c r="BE49">
        <v>118.32</v>
      </c>
      <c r="BF49">
        <v>1.7</v>
      </c>
      <c r="BM49">
        <v>88.162000000000006</v>
      </c>
      <c r="BN49" s="1" t="s">
        <v>1008</v>
      </c>
      <c r="BO49" s="1" t="s">
        <v>1009</v>
      </c>
      <c r="BP49" s="2">
        <v>211.161</v>
      </c>
      <c r="BQ49" s="1" t="s">
        <v>1008</v>
      </c>
      <c r="BR49" s="1" t="s">
        <v>1009</v>
      </c>
      <c r="BV49" s="1" t="s">
        <v>1010</v>
      </c>
      <c r="BW49" s="1" t="s">
        <v>1011</v>
      </c>
      <c r="BX49" s="1" t="s">
        <v>1012</v>
      </c>
      <c r="BY49" s="1" t="s">
        <v>1013</v>
      </c>
      <c r="CA49" s="1" t="s">
        <v>1010</v>
      </c>
      <c r="CB49" s="1" t="s">
        <v>1011</v>
      </c>
      <c r="CC49" s="1" t="s">
        <v>1012</v>
      </c>
      <c r="CD49" s="1" t="s">
        <v>1013</v>
      </c>
      <c r="CE49" s="1" t="s">
        <v>1014</v>
      </c>
      <c r="DM49">
        <v>118.491</v>
      </c>
      <c r="DP49" s="2">
        <v>170.47200000000001</v>
      </c>
      <c r="DT49">
        <v>402.70499999999998</v>
      </c>
      <c r="DY49" t="s">
        <v>1017</v>
      </c>
      <c r="DZ49">
        <v>378</v>
      </c>
      <c r="EA49">
        <v>7</v>
      </c>
      <c r="EB49">
        <f>Supplementary_Fig5!EA49*100/Supplementary_Fig5!DZ49</f>
        <v>1.8518518518518519</v>
      </c>
      <c r="EC49">
        <f>Supplementary_Fig5!EB49*2.38</f>
        <v>4.4074074074074074</v>
      </c>
      <c r="GB49">
        <v>225</v>
      </c>
      <c r="GC49">
        <v>26</v>
      </c>
      <c r="GD49">
        <v>17</v>
      </c>
      <c r="GE49">
        <v>6</v>
      </c>
      <c r="GF49">
        <v>8</v>
      </c>
      <c r="GG49">
        <v>1</v>
      </c>
      <c r="GH49">
        <v>23</v>
      </c>
      <c r="GI49">
        <v>15</v>
      </c>
      <c r="GJ49">
        <v>2</v>
      </c>
      <c r="GK49">
        <v>12</v>
      </c>
      <c r="GL49">
        <v>10</v>
      </c>
      <c r="GM49">
        <v>3</v>
      </c>
      <c r="GN49">
        <v>12</v>
      </c>
      <c r="GO49">
        <v>6</v>
      </c>
      <c r="GQ49">
        <v>10</v>
      </c>
      <c r="GR49">
        <v>14</v>
      </c>
      <c r="GS49">
        <v>10</v>
      </c>
      <c r="GT49">
        <v>8</v>
      </c>
      <c r="GU49">
        <v>7</v>
      </c>
      <c r="GV49">
        <v>6</v>
      </c>
      <c r="GW49">
        <v>12</v>
      </c>
      <c r="GX49">
        <v>8</v>
      </c>
      <c r="GY49">
        <v>17</v>
      </c>
      <c r="GZ49">
        <v>9</v>
      </c>
      <c r="HA49">
        <v>17</v>
      </c>
      <c r="HB49">
        <v>18</v>
      </c>
      <c r="HC49">
        <v>23</v>
      </c>
      <c r="HD49">
        <v>28</v>
      </c>
      <c r="HG49">
        <v>225</v>
      </c>
      <c r="HH49">
        <v>17</v>
      </c>
      <c r="HI49">
        <v>18</v>
      </c>
      <c r="HJ49">
        <v>8</v>
      </c>
      <c r="HK49">
        <v>9</v>
      </c>
      <c r="HL49">
        <v>22</v>
      </c>
      <c r="HM49">
        <v>11</v>
      </c>
      <c r="HN49">
        <v>11</v>
      </c>
      <c r="HO49">
        <v>7</v>
      </c>
      <c r="HP49">
        <v>2</v>
      </c>
      <c r="HQ49">
        <v>19</v>
      </c>
      <c r="HR49">
        <v>18</v>
      </c>
      <c r="HS49">
        <v>21</v>
      </c>
      <c r="HT49">
        <v>30</v>
      </c>
      <c r="HU49">
        <v>20</v>
      </c>
      <c r="HV49">
        <v>9</v>
      </c>
      <c r="HY49">
        <v>225</v>
      </c>
      <c r="HZ49">
        <v>16</v>
      </c>
      <c r="IA49">
        <v>9</v>
      </c>
      <c r="IB49">
        <v>8</v>
      </c>
      <c r="IC49">
        <v>5</v>
      </c>
      <c r="ID49">
        <v>4</v>
      </c>
      <c r="IE49">
        <v>10</v>
      </c>
      <c r="IF49">
        <v>38</v>
      </c>
      <c r="IG49">
        <v>16</v>
      </c>
      <c r="IH49">
        <v>22</v>
      </c>
      <c r="II49">
        <v>16</v>
      </c>
      <c r="IJ49">
        <v>25</v>
      </c>
      <c r="IK49">
        <v>23</v>
      </c>
      <c r="IL49">
        <v>14</v>
      </c>
      <c r="IM49">
        <v>25</v>
      </c>
      <c r="IN49">
        <v>18</v>
      </c>
      <c r="IO49">
        <v>10</v>
      </c>
    </row>
    <row r="50" spans="1:249" ht="13.15" x14ac:dyDescent="0.4">
      <c r="B50" s="1" t="s">
        <v>1008</v>
      </c>
      <c r="C50" s="1" t="s">
        <v>1009</v>
      </c>
      <c r="E50" s="1" t="s">
        <v>1008</v>
      </c>
      <c r="F50" s="1" t="s">
        <v>1009</v>
      </c>
      <c r="H50" s="1" t="s">
        <v>1010</v>
      </c>
      <c r="I50" s="1" t="s">
        <v>1011</v>
      </c>
      <c r="J50" s="1" t="s">
        <v>1012</v>
      </c>
      <c r="K50" s="1" t="s">
        <v>1013</v>
      </c>
      <c r="M50" s="1" t="s">
        <v>1010</v>
      </c>
      <c r="N50" s="1" t="s">
        <v>1011</v>
      </c>
      <c r="O50" s="1" t="s">
        <v>1012</v>
      </c>
      <c r="P50" s="1" t="s">
        <v>1013</v>
      </c>
      <c r="Q50" s="1" t="s">
        <v>1014</v>
      </c>
      <c r="BD50" t="s">
        <v>528</v>
      </c>
      <c r="BE50">
        <v>122.81</v>
      </c>
      <c r="BF50">
        <v>2.0099999999999998</v>
      </c>
      <c r="BM50">
        <v>22.928999999999998</v>
      </c>
      <c r="BN50" s="1">
        <f>AVERAGE(BM49:BM765)</f>
        <v>119.11344351464436</v>
      </c>
      <c r="BO50" s="1">
        <f>STDEV(BM49:BM765)</f>
        <v>75.865349998115306</v>
      </c>
      <c r="BP50" s="2">
        <v>208.71899999999999</v>
      </c>
      <c r="BQ50" s="1">
        <f>AVERAGE(BP49:BP69)</f>
        <v>106.20423809523808</v>
      </c>
      <c r="BR50" s="1">
        <f>STDEV(BP49:BP69)</f>
        <v>55.012425946239446</v>
      </c>
      <c r="BV50">
        <v>429.30200000000002</v>
      </c>
      <c r="CA50" t="s">
        <v>1015</v>
      </c>
      <c r="CB50">
        <v>506</v>
      </c>
      <c r="CC50">
        <v>8</v>
      </c>
      <c r="CD50">
        <f>CC50*100/CB50</f>
        <v>1.5810276679841897</v>
      </c>
      <c r="CE50">
        <f>CD50*1.7</f>
        <v>2.6877470355731226</v>
      </c>
      <c r="DM50">
        <v>160.58799999999999</v>
      </c>
      <c r="DP50" s="2">
        <v>166.309</v>
      </c>
      <c r="DT50">
        <v>402.47199999999998</v>
      </c>
      <c r="DY50" t="s">
        <v>1018</v>
      </c>
      <c r="DZ50">
        <v>230</v>
      </c>
      <c r="EA50">
        <v>1</v>
      </c>
      <c r="EB50">
        <f>Supplementary_Fig5!EA50*100/Supplementary_Fig5!DZ50</f>
        <v>0.43478260869565216</v>
      </c>
      <c r="EC50">
        <f>Supplementary_Fig5!EB50*2.38</f>
        <v>1.0347826086956522</v>
      </c>
      <c r="GB50">
        <v>230</v>
      </c>
      <c r="GC50">
        <v>27</v>
      </c>
      <c r="GD50">
        <v>17</v>
      </c>
      <c r="GE50">
        <v>7</v>
      </c>
      <c r="GF50">
        <v>7</v>
      </c>
      <c r="GG50">
        <v>1</v>
      </c>
      <c r="GH50">
        <v>19</v>
      </c>
      <c r="GI50">
        <v>14</v>
      </c>
      <c r="GJ50">
        <v>2</v>
      </c>
      <c r="GK50">
        <v>12</v>
      </c>
      <c r="GL50">
        <v>10</v>
      </c>
      <c r="GM50">
        <v>3</v>
      </c>
      <c r="GN50">
        <v>14</v>
      </c>
      <c r="GO50">
        <v>4</v>
      </c>
      <c r="GQ50">
        <v>10</v>
      </c>
      <c r="GR50">
        <v>13</v>
      </c>
      <c r="GS50">
        <v>10</v>
      </c>
      <c r="GT50">
        <v>7</v>
      </c>
      <c r="GU50">
        <v>7</v>
      </c>
      <c r="GV50">
        <v>6</v>
      </c>
      <c r="GW50">
        <v>13</v>
      </c>
      <c r="GX50">
        <v>10</v>
      </c>
      <c r="GY50">
        <v>18</v>
      </c>
      <c r="GZ50">
        <v>8</v>
      </c>
      <c r="HA50">
        <v>17</v>
      </c>
      <c r="HB50">
        <v>17</v>
      </c>
      <c r="HC50">
        <v>19</v>
      </c>
      <c r="HD50">
        <v>25</v>
      </c>
      <c r="HG50">
        <v>230</v>
      </c>
      <c r="HH50">
        <v>17</v>
      </c>
      <c r="HI50">
        <v>18</v>
      </c>
      <c r="HJ50">
        <v>7</v>
      </c>
      <c r="HK50">
        <v>9</v>
      </c>
      <c r="HL50">
        <v>22</v>
      </c>
      <c r="HM50">
        <v>10</v>
      </c>
      <c r="HN50">
        <v>10</v>
      </c>
      <c r="HO50">
        <v>5</v>
      </c>
      <c r="HP50">
        <v>3</v>
      </c>
      <c r="HQ50">
        <v>19</v>
      </c>
      <c r="HR50">
        <v>18</v>
      </c>
      <c r="HS50">
        <v>20</v>
      </c>
      <c r="HT50">
        <v>31</v>
      </c>
      <c r="HU50">
        <v>19</v>
      </c>
      <c r="HV50">
        <v>9</v>
      </c>
      <c r="HY50">
        <v>230</v>
      </c>
      <c r="HZ50">
        <v>15</v>
      </c>
      <c r="IA50">
        <v>9</v>
      </c>
      <c r="IB50">
        <v>8</v>
      </c>
      <c r="IC50">
        <v>4</v>
      </c>
      <c r="ID50">
        <v>4</v>
      </c>
      <c r="IE50">
        <v>9</v>
      </c>
      <c r="IF50">
        <v>35</v>
      </c>
      <c r="IG50">
        <v>15</v>
      </c>
      <c r="IH50">
        <v>21</v>
      </c>
      <c r="II50">
        <v>16</v>
      </c>
      <c r="IJ50">
        <v>25</v>
      </c>
      <c r="IK50">
        <v>22</v>
      </c>
      <c r="IL50">
        <v>13</v>
      </c>
      <c r="IM50">
        <v>26</v>
      </c>
      <c r="IN50">
        <v>21</v>
      </c>
      <c r="IO50">
        <v>11</v>
      </c>
    </row>
    <row r="51" spans="1:249" ht="13.15" x14ac:dyDescent="0.4">
      <c r="A51">
        <v>40.488</v>
      </c>
      <c r="B51" s="1">
        <f>AVERAGE(A51:A897)</f>
        <v>121.64445808736713</v>
      </c>
      <c r="C51" s="1">
        <f>STDEV(A51:A897)</f>
        <v>70.521773353063352</v>
      </c>
      <c r="D51" s="2">
        <v>283.07499999999999</v>
      </c>
      <c r="E51" s="1">
        <f>AVERAGE(D51:D114)</f>
        <v>105.70818749999995</v>
      </c>
      <c r="F51" s="1">
        <f>STDEV(D51:D114)</f>
        <v>66.562579647973891</v>
      </c>
      <c r="H51">
        <v>368.435</v>
      </c>
      <c r="I51">
        <f>17*2</f>
        <v>34</v>
      </c>
      <c r="J51">
        <v>0</v>
      </c>
      <c r="M51" t="s">
        <v>1015</v>
      </c>
      <c r="N51">
        <v>528</v>
      </c>
      <c r="O51">
        <v>29</v>
      </c>
      <c r="P51">
        <f>O51*100/N51</f>
        <v>5.4924242424242422</v>
      </c>
      <c r="Q51">
        <f>P51*1.88</f>
        <v>10.325757575757574</v>
      </c>
      <c r="BD51" t="s">
        <v>532</v>
      </c>
      <c r="BE51">
        <v>77.510000000000005</v>
      </c>
      <c r="BF51">
        <v>1.84</v>
      </c>
      <c r="BM51">
        <v>53.475000000000001</v>
      </c>
      <c r="BP51" s="2">
        <v>170.589</v>
      </c>
      <c r="BV51">
        <v>422.48599999999999</v>
      </c>
      <c r="CA51" t="s">
        <v>1016</v>
      </c>
      <c r="CB51">
        <v>510</v>
      </c>
      <c r="CC51">
        <v>10</v>
      </c>
      <c r="CD51">
        <f>CC51*100/CB51</f>
        <v>1.9607843137254901</v>
      </c>
      <c r="CE51">
        <f>CD51*1.7</f>
        <v>3.333333333333333</v>
      </c>
      <c r="DM51">
        <v>159.779</v>
      </c>
      <c r="DP51" s="2">
        <v>165.328</v>
      </c>
      <c r="DT51">
        <v>398.84100000000001</v>
      </c>
      <c r="DY51" t="s">
        <v>1019</v>
      </c>
      <c r="DZ51">
        <v>72</v>
      </c>
      <c r="EA51">
        <v>0</v>
      </c>
      <c r="EB51">
        <f>Supplementary_Fig5!EA51*100/Supplementary_Fig5!DZ51</f>
        <v>0</v>
      </c>
      <c r="EC51">
        <v>2.38</v>
      </c>
      <c r="GB51">
        <v>235</v>
      </c>
      <c r="GC51">
        <v>26</v>
      </c>
      <c r="GD51">
        <v>20</v>
      </c>
      <c r="GE51">
        <v>8</v>
      </c>
      <c r="GF51">
        <v>8</v>
      </c>
      <c r="GG51">
        <v>4</v>
      </c>
      <c r="GH51">
        <v>20</v>
      </c>
      <c r="GI51">
        <v>13</v>
      </c>
      <c r="GJ51">
        <v>2</v>
      </c>
      <c r="GK51">
        <v>13</v>
      </c>
      <c r="GL51">
        <v>8</v>
      </c>
      <c r="GM51">
        <v>5</v>
      </c>
      <c r="GN51">
        <v>11</v>
      </c>
      <c r="GO51">
        <v>4</v>
      </c>
      <c r="GQ51">
        <v>13</v>
      </c>
      <c r="GR51">
        <v>13</v>
      </c>
      <c r="GS51">
        <v>6</v>
      </c>
      <c r="GT51">
        <v>9</v>
      </c>
      <c r="GU51">
        <v>7</v>
      </c>
      <c r="GV51">
        <v>6</v>
      </c>
      <c r="GW51">
        <v>12</v>
      </c>
      <c r="GX51">
        <v>10</v>
      </c>
      <c r="GY51">
        <v>18</v>
      </c>
      <c r="GZ51">
        <v>8</v>
      </c>
      <c r="HA51">
        <v>17</v>
      </c>
      <c r="HB51">
        <v>17</v>
      </c>
      <c r="HC51">
        <v>17</v>
      </c>
      <c r="HD51">
        <v>22</v>
      </c>
      <c r="HG51">
        <v>235</v>
      </c>
      <c r="HH51">
        <v>15</v>
      </c>
      <c r="HI51">
        <v>19</v>
      </c>
      <c r="HJ51">
        <v>7</v>
      </c>
      <c r="HK51">
        <v>9</v>
      </c>
      <c r="HL51">
        <v>21</v>
      </c>
      <c r="HM51">
        <v>10</v>
      </c>
      <c r="HN51">
        <v>11</v>
      </c>
      <c r="HO51">
        <v>5</v>
      </c>
      <c r="HP51">
        <v>2</v>
      </c>
      <c r="HQ51">
        <v>21</v>
      </c>
      <c r="HR51">
        <v>18</v>
      </c>
      <c r="HS51">
        <v>19</v>
      </c>
      <c r="HT51">
        <v>31</v>
      </c>
      <c r="HU51">
        <v>20</v>
      </c>
      <c r="HV51">
        <v>9</v>
      </c>
      <c r="HY51">
        <v>235</v>
      </c>
      <c r="HZ51">
        <v>14</v>
      </c>
      <c r="IA51">
        <v>9</v>
      </c>
      <c r="IB51">
        <v>8</v>
      </c>
      <c r="IC51">
        <v>4</v>
      </c>
      <c r="ID51">
        <v>4</v>
      </c>
      <c r="IE51">
        <v>7</v>
      </c>
      <c r="IF51">
        <v>35</v>
      </c>
      <c r="IG51">
        <v>15</v>
      </c>
      <c r="IH51">
        <v>24</v>
      </c>
      <c r="II51">
        <v>16</v>
      </c>
      <c r="IJ51">
        <v>24</v>
      </c>
      <c r="IK51">
        <v>22</v>
      </c>
      <c r="IL51">
        <v>13</v>
      </c>
      <c r="IM51">
        <v>26</v>
      </c>
      <c r="IN51">
        <v>18</v>
      </c>
      <c r="IO51">
        <v>12</v>
      </c>
    </row>
    <row r="52" spans="1:249" ht="13.15" x14ac:dyDescent="0.4">
      <c r="A52">
        <v>90.584000000000003</v>
      </c>
      <c r="D52" s="2">
        <v>262.00299999999999</v>
      </c>
      <c r="H52">
        <v>356.69</v>
      </c>
      <c r="M52" t="s">
        <v>1016</v>
      </c>
      <c r="N52">
        <v>646</v>
      </c>
      <c r="O52">
        <v>22</v>
      </c>
      <c r="P52">
        <f>O52*100/N52</f>
        <v>3.4055727554179565</v>
      </c>
      <c r="Q52">
        <f>P52*1.88</f>
        <v>6.4024767801857578</v>
      </c>
      <c r="BD52" t="s">
        <v>536</v>
      </c>
      <c r="BE52">
        <v>69.19</v>
      </c>
      <c r="BF52">
        <v>1.99</v>
      </c>
      <c r="BM52">
        <v>170.55699999999999</v>
      </c>
      <c r="BP52" s="2">
        <v>152.31399999999999</v>
      </c>
      <c r="BV52">
        <v>391.45600000000002</v>
      </c>
      <c r="CA52" t="s">
        <v>1017</v>
      </c>
      <c r="CB52">
        <v>260</v>
      </c>
      <c r="CC52">
        <v>4</v>
      </c>
      <c r="CD52">
        <f>CC52*100/CB52</f>
        <v>1.5384615384615385</v>
      </c>
      <c r="CE52">
        <f>CD52*1.7</f>
        <v>2.6153846153846154</v>
      </c>
      <c r="DM52">
        <v>39.691000000000003</v>
      </c>
      <c r="DP52" s="2">
        <v>162.74299999999999</v>
      </c>
      <c r="DT52">
        <v>398.57799999999997</v>
      </c>
      <c r="DZ52" s="1">
        <f>SUM(Supplementary_Fig5!DZ47:DZ51)</f>
        <v>1736</v>
      </c>
      <c r="EA52" s="1">
        <f>SUM(Supplementary_Fig5!EA47:EA51)</f>
        <v>18</v>
      </c>
      <c r="GB52">
        <v>240</v>
      </c>
      <c r="GC52">
        <v>23</v>
      </c>
      <c r="GD52">
        <v>20</v>
      </c>
      <c r="GE52">
        <v>8</v>
      </c>
      <c r="GF52">
        <v>7</v>
      </c>
      <c r="GG52">
        <v>2</v>
      </c>
      <c r="GH52">
        <v>17</v>
      </c>
      <c r="GI52">
        <v>14</v>
      </c>
      <c r="GJ52">
        <v>2</v>
      </c>
      <c r="GK52">
        <v>12</v>
      </c>
      <c r="GL52">
        <v>12</v>
      </c>
      <c r="GM52">
        <v>8</v>
      </c>
      <c r="GN52">
        <v>10</v>
      </c>
      <c r="GO52">
        <v>4</v>
      </c>
      <c r="GQ52">
        <v>12</v>
      </c>
      <c r="GR52">
        <v>13</v>
      </c>
      <c r="GS52">
        <v>6</v>
      </c>
      <c r="GT52">
        <v>9</v>
      </c>
      <c r="GU52">
        <v>7</v>
      </c>
      <c r="GV52">
        <v>6</v>
      </c>
      <c r="GW52">
        <v>12</v>
      </c>
      <c r="GX52">
        <v>12</v>
      </c>
      <c r="GY52">
        <v>21</v>
      </c>
      <c r="GZ52">
        <v>10</v>
      </c>
      <c r="HA52">
        <v>17</v>
      </c>
      <c r="HB52">
        <v>18</v>
      </c>
      <c r="HC52">
        <v>18</v>
      </c>
      <c r="HD52">
        <v>21</v>
      </c>
      <c r="HG52">
        <v>240</v>
      </c>
      <c r="HH52">
        <v>14</v>
      </c>
      <c r="HI52">
        <v>19</v>
      </c>
      <c r="HJ52">
        <v>7</v>
      </c>
      <c r="HK52">
        <v>9</v>
      </c>
      <c r="HL52">
        <v>22</v>
      </c>
      <c r="HM52">
        <v>10</v>
      </c>
      <c r="HN52">
        <v>11</v>
      </c>
      <c r="HO52">
        <v>5</v>
      </c>
      <c r="HP52">
        <v>2</v>
      </c>
      <c r="HQ52">
        <v>19</v>
      </c>
      <c r="HR52">
        <v>17</v>
      </c>
      <c r="HS52">
        <v>18</v>
      </c>
      <c r="HT52">
        <v>34</v>
      </c>
      <c r="HU52">
        <v>20</v>
      </c>
      <c r="HV52">
        <v>9</v>
      </c>
      <c r="HY52">
        <v>240</v>
      </c>
      <c r="HZ52">
        <v>15</v>
      </c>
      <c r="IA52">
        <v>11</v>
      </c>
      <c r="IB52">
        <v>7</v>
      </c>
      <c r="IC52">
        <v>5</v>
      </c>
      <c r="ID52">
        <v>4</v>
      </c>
      <c r="IE52">
        <v>7</v>
      </c>
      <c r="IF52">
        <v>33</v>
      </c>
      <c r="IG52">
        <v>16</v>
      </c>
      <c r="IH52">
        <v>25</v>
      </c>
      <c r="II52">
        <v>16</v>
      </c>
      <c r="IJ52">
        <v>24</v>
      </c>
      <c r="IK52">
        <v>22</v>
      </c>
      <c r="IL52">
        <v>12</v>
      </c>
      <c r="IM52">
        <v>27</v>
      </c>
      <c r="IN52">
        <v>25</v>
      </c>
      <c r="IO52">
        <v>13</v>
      </c>
    </row>
    <row r="53" spans="1:249" x14ac:dyDescent="0.35">
      <c r="A53">
        <v>72.251999999999995</v>
      </c>
      <c r="D53" s="10">
        <v>261.69499999999999</v>
      </c>
      <c r="H53">
        <v>353.209</v>
      </c>
      <c r="M53" t="s">
        <v>1017</v>
      </c>
      <c r="N53">
        <v>352</v>
      </c>
      <c r="O53">
        <v>8</v>
      </c>
      <c r="P53">
        <f>O53*100/N53</f>
        <v>2.2727272727272729</v>
      </c>
      <c r="Q53">
        <f>P53*1.88</f>
        <v>4.2727272727272725</v>
      </c>
      <c r="BD53" t="s">
        <v>540</v>
      </c>
      <c r="BE53">
        <v>56.38</v>
      </c>
      <c r="BF53">
        <v>3.3</v>
      </c>
      <c r="BM53">
        <v>95.736999999999995</v>
      </c>
      <c r="BP53" s="2">
        <v>147.78899999999999</v>
      </c>
      <c r="BV53">
        <v>369.89299999999997</v>
      </c>
      <c r="BW53">
        <f>13*2</f>
        <v>26</v>
      </c>
      <c r="BX53">
        <v>0</v>
      </c>
      <c r="CA53" t="s">
        <v>1018</v>
      </c>
      <c r="CB53">
        <v>126</v>
      </c>
      <c r="CC53">
        <v>0</v>
      </c>
      <c r="CD53">
        <f>CC53*100/CB53</f>
        <v>0</v>
      </c>
      <c r="CE53">
        <v>1.7</v>
      </c>
      <c r="DM53">
        <v>27.427</v>
      </c>
      <c r="DP53" s="2">
        <v>158.75399999999999</v>
      </c>
      <c r="DT53">
        <v>398.01499999999999</v>
      </c>
      <c r="GB53">
        <v>245</v>
      </c>
      <c r="GC53">
        <v>28</v>
      </c>
      <c r="GD53">
        <v>21</v>
      </c>
      <c r="GE53">
        <v>9</v>
      </c>
      <c r="GF53">
        <v>9</v>
      </c>
      <c r="GG53">
        <v>2</v>
      </c>
      <c r="GH53">
        <v>17</v>
      </c>
      <c r="GI53">
        <v>15</v>
      </c>
      <c r="GJ53">
        <v>2</v>
      </c>
      <c r="GK53">
        <v>12</v>
      </c>
      <c r="GL53">
        <v>10</v>
      </c>
      <c r="GM53">
        <v>4</v>
      </c>
      <c r="GN53">
        <v>10</v>
      </c>
      <c r="GO53">
        <v>4</v>
      </c>
      <c r="GQ53">
        <v>11</v>
      </c>
      <c r="GR53">
        <v>12</v>
      </c>
      <c r="GS53">
        <v>6</v>
      </c>
      <c r="GT53">
        <v>9</v>
      </c>
      <c r="GU53">
        <v>7</v>
      </c>
      <c r="GV53">
        <v>6</v>
      </c>
      <c r="GW53">
        <v>11</v>
      </c>
      <c r="GX53">
        <v>11</v>
      </c>
      <c r="GY53">
        <v>19</v>
      </c>
      <c r="GZ53">
        <v>7</v>
      </c>
      <c r="HA53">
        <v>15</v>
      </c>
      <c r="HB53">
        <v>18</v>
      </c>
      <c r="HC53">
        <v>17</v>
      </c>
      <c r="HD53">
        <v>19</v>
      </c>
      <c r="HG53">
        <v>245</v>
      </c>
      <c r="HH53">
        <v>13</v>
      </c>
      <c r="HI53">
        <v>17</v>
      </c>
      <c r="HJ53">
        <v>7</v>
      </c>
      <c r="HK53">
        <v>11</v>
      </c>
      <c r="HL53">
        <v>23</v>
      </c>
      <c r="HM53">
        <v>9</v>
      </c>
      <c r="HN53">
        <v>9</v>
      </c>
      <c r="HO53">
        <v>5</v>
      </c>
      <c r="HP53">
        <v>0</v>
      </c>
      <c r="HQ53">
        <v>19</v>
      </c>
      <c r="HR53">
        <v>17</v>
      </c>
      <c r="HS53">
        <v>19</v>
      </c>
      <c r="HT53">
        <v>35</v>
      </c>
      <c r="HU53">
        <v>20</v>
      </c>
      <c r="HV53">
        <v>9</v>
      </c>
      <c r="HY53">
        <v>245</v>
      </c>
      <c r="HZ53">
        <v>15</v>
      </c>
      <c r="IA53">
        <v>11</v>
      </c>
      <c r="IB53">
        <v>7</v>
      </c>
      <c r="IC53">
        <v>7</v>
      </c>
      <c r="ID53">
        <v>4</v>
      </c>
      <c r="IE53">
        <v>7</v>
      </c>
      <c r="IF53">
        <v>29</v>
      </c>
      <c r="IG53">
        <v>16</v>
      </c>
      <c r="IH53">
        <v>26</v>
      </c>
      <c r="II53">
        <v>16</v>
      </c>
      <c r="IJ53">
        <v>26</v>
      </c>
      <c r="IK53">
        <v>22</v>
      </c>
      <c r="IL53">
        <v>13</v>
      </c>
      <c r="IM53">
        <v>28</v>
      </c>
      <c r="IN53">
        <v>20</v>
      </c>
      <c r="IO53">
        <v>13</v>
      </c>
    </row>
    <row r="54" spans="1:249" x14ac:dyDescent="0.35">
      <c r="A54">
        <v>85.616</v>
      </c>
      <c r="D54" s="2">
        <v>257.04399999999998</v>
      </c>
      <c r="H54">
        <v>341.21199999999999</v>
      </c>
      <c r="M54" t="s">
        <v>1018</v>
      </c>
      <c r="N54">
        <v>134</v>
      </c>
      <c r="O54">
        <v>6</v>
      </c>
      <c r="P54">
        <f>O54*100/N54</f>
        <v>4.4776119402985071</v>
      </c>
      <c r="Q54">
        <f>P54*1.88</f>
        <v>8.4179104477611926</v>
      </c>
      <c r="BD54" t="s">
        <v>544</v>
      </c>
      <c r="BE54">
        <v>69.430000000000007</v>
      </c>
      <c r="BF54">
        <v>1.29</v>
      </c>
      <c r="BM54">
        <v>145.88999999999999</v>
      </c>
      <c r="BP54" s="2">
        <v>137.24</v>
      </c>
      <c r="BV54">
        <v>360.62599999999998</v>
      </c>
      <c r="CA54" t="s">
        <v>1019</v>
      </c>
      <c r="CB54">
        <v>26</v>
      </c>
      <c r="CC54">
        <v>0</v>
      </c>
      <c r="CD54">
        <f>CC54*100/CB54</f>
        <v>0</v>
      </c>
      <c r="CE54">
        <v>1.7</v>
      </c>
      <c r="DM54">
        <v>70.057000000000002</v>
      </c>
      <c r="DP54" s="2">
        <v>147.82499999999999</v>
      </c>
      <c r="DT54">
        <v>397.43900000000002</v>
      </c>
      <c r="GB54">
        <v>250</v>
      </c>
      <c r="GC54">
        <v>26</v>
      </c>
      <c r="GD54">
        <v>20</v>
      </c>
      <c r="GE54">
        <v>9</v>
      </c>
      <c r="GF54">
        <v>7</v>
      </c>
      <c r="GG54">
        <v>4</v>
      </c>
      <c r="GH54">
        <v>17</v>
      </c>
      <c r="GI54">
        <v>13</v>
      </c>
      <c r="GJ54">
        <v>2</v>
      </c>
      <c r="GK54">
        <v>11</v>
      </c>
      <c r="GL54">
        <v>10</v>
      </c>
      <c r="GM54">
        <v>4</v>
      </c>
      <c r="GN54">
        <v>10</v>
      </c>
      <c r="GO54">
        <v>5</v>
      </c>
      <c r="GQ54">
        <v>9</v>
      </c>
      <c r="GR54">
        <v>13</v>
      </c>
      <c r="GS54">
        <v>5</v>
      </c>
      <c r="GT54">
        <v>8</v>
      </c>
      <c r="GU54">
        <v>7</v>
      </c>
      <c r="GV54">
        <v>6</v>
      </c>
      <c r="GW54">
        <v>10</v>
      </c>
      <c r="GX54">
        <v>11</v>
      </c>
      <c r="GY54">
        <v>19</v>
      </c>
      <c r="GZ54">
        <v>7</v>
      </c>
      <c r="HA54">
        <v>14</v>
      </c>
      <c r="HB54">
        <v>17</v>
      </c>
      <c r="HC54">
        <v>16</v>
      </c>
      <c r="HD54">
        <v>19</v>
      </c>
      <c r="HG54">
        <v>250</v>
      </c>
      <c r="HH54">
        <v>12</v>
      </c>
      <c r="HI54">
        <v>17</v>
      </c>
      <c r="HJ54">
        <v>7</v>
      </c>
      <c r="HK54">
        <v>9</v>
      </c>
      <c r="HL54">
        <v>21</v>
      </c>
      <c r="HM54">
        <v>9</v>
      </c>
      <c r="HN54">
        <v>9</v>
      </c>
      <c r="HO54">
        <v>4</v>
      </c>
      <c r="HP54">
        <v>1</v>
      </c>
      <c r="HQ54">
        <v>17</v>
      </c>
      <c r="HR54">
        <v>17</v>
      </c>
      <c r="HS54">
        <v>18</v>
      </c>
      <c r="HT54">
        <v>33</v>
      </c>
      <c r="HU54">
        <v>22</v>
      </c>
      <c r="HV54">
        <v>10</v>
      </c>
      <c r="HY54">
        <v>250</v>
      </c>
      <c r="HZ54">
        <v>14</v>
      </c>
      <c r="IA54">
        <v>10</v>
      </c>
      <c r="IB54">
        <v>6</v>
      </c>
      <c r="IC54">
        <v>11</v>
      </c>
      <c r="ID54">
        <v>4</v>
      </c>
      <c r="IE54">
        <v>7</v>
      </c>
      <c r="IF54">
        <v>29</v>
      </c>
      <c r="IG54">
        <v>16</v>
      </c>
      <c r="IH54">
        <v>20</v>
      </c>
      <c r="II54">
        <v>16</v>
      </c>
      <c r="IJ54">
        <v>26</v>
      </c>
      <c r="IK54">
        <v>24</v>
      </c>
      <c r="IL54">
        <v>13</v>
      </c>
      <c r="IM54">
        <v>27</v>
      </c>
      <c r="IN54">
        <v>22</v>
      </c>
      <c r="IO54">
        <v>14</v>
      </c>
    </row>
    <row r="55" spans="1:249" ht="13.15" x14ac:dyDescent="0.4">
      <c r="A55">
        <v>71.87</v>
      </c>
      <c r="D55" s="2">
        <v>243.27</v>
      </c>
      <c r="H55">
        <v>341.17700000000002</v>
      </c>
      <c r="M55" t="s">
        <v>1019</v>
      </c>
      <c r="N55">
        <f>17*2</f>
        <v>34</v>
      </c>
      <c r="O55">
        <v>0</v>
      </c>
      <c r="P55">
        <f>O55*100/N55</f>
        <v>0</v>
      </c>
      <c r="Q55">
        <f>P55*1.88</f>
        <v>0</v>
      </c>
      <c r="BM55">
        <v>87.847999999999999</v>
      </c>
      <c r="BP55" s="2">
        <v>133.08000000000001</v>
      </c>
      <c r="BV55">
        <v>348.02199999999999</v>
      </c>
      <c r="CB55" s="1">
        <f>SUM(CB50:CB54)</f>
        <v>1428</v>
      </c>
      <c r="CC55" s="1">
        <f>SUM(CC50:CC54)</f>
        <v>22</v>
      </c>
      <c r="DM55">
        <v>228.31100000000001</v>
      </c>
      <c r="DP55" s="2">
        <v>91.706000000000003</v>
      </c>
      <c r="DT55">
        <v>394.82</v>
      </c>
      <c r="GB55">
        <v>255</v>
      </c>
      <c r="GC55">
        <v>21</v>
      </c>
      <c r="GD55">
        <v>20</v>
      </c>
      <c r="GE55">
        <v>12</v>
      </c>
      <c r="GF55">
        <v>7</v>
      </c>
      <c r="GG55">
        <v>8</v>
      </c>
      <c r="GH55">
        <v>18</v>
      </c>
      <c r="GI55">
        <v>14</v>
      </c>
      <c r="GJ55">
        <v>1</v>
      </c>
      <c r="GK55">
        <v>11</v>
      </c>
      <c r="GL55">
        <v>19</v>
      </c>
      <c r="GM55">
        <v>4</v>
      </c>
      <c r="GN55">
        <v>13</v>
      </c>
      <c r="GO55">
        <v>5</v>
      </c>
      <c r="GQ55">
        <v>7</v>
      </c>
      <c r="GR55">
        <v>14</v>
      </c>
      <c r="GS55">
        <v>5</v>
      </c>
      <c r="GT55">
        <v>8</v>
      </c>
      <c r="GU55">
        <v>8</v>
      </c>
      <c r="GV55">
        <v>6</v>
      </c>
      <c r="GW55">
        <v>8</v>
      </c>
      <c r="GX55">
        <v>11</v>
      </c>
      <c r="GY55">
        <v>19</v>
      </c>
      <c r="GZ55">
        <v>6</v>
      </c>
      <c r="HA55">
        <v>14</v>
      </c>
      <c r="HB55">
        <v>18</v>
      </c>
      <c r="HC55">
        <v>14</v>
      </c>
      <c r="HD55">
        <v>18</v>
      </c>
      <c r="HG55">
        <v>255</v>
      </c>
      <c r="HH55">
        <v>11</v>
      </c>
      <c r="HI55">
        <v>18</v>
      </c>
      <c r="HJ55">
        <v>7</v>
      </c>
      <c r="HK55">
        <v>9</v>
      </c>
      <c r="HL55">
        <v>22</v>
      </c>
      <c r="HM55">
        <v>9</v>
      </c>
      <c r="HN55">
        <v>9</v>
      </c>
      <c r="HO55">
        <v>4</v>
      </c>
      <c r="HP55">
        <v>1</v>
      </c>
      <c r="HQ55">
        <v>16</v>
      </c>
      <c r="HR55">
        <v>17</v>
      </c>
      <c r="HS55">
        <v>17</v>
      </c>
      <c r="HT55">
        <v>32</v>
      </c>
      <c r="HU55">
        <v>20</v>
      </c>
      <c r="HV55">
        <v>10</v>
      </c>
      <c r="HY55">
        <v>255</v>
      </c>
      <c r="HZ55">
        <v>13</v>
      </c>
      <c r="IA55">
        <v>10</v>
      </c>
      <c r="IB55">
        <v>5</v>
      </c>
      <c r="IC55">
        <v>11</v>
      </c>
      <c r="ID55">
        <v>4</v>
      </c>
      <c r="IE55">
        <v>7</v>
      </c>
      <c r="IF55">
        <v>28</v>
      </c>
      <c r="IG55">
        <v>16</v>
      </c>
      <c r="IH55">
        <v>18</v>
      </c>
      <c r="II55">
        <v>16</v>
      </c>
      <c r="IJ55">
        <v>25</v>
      </c>
      <c r="IK55">
        <v>23</v>
      </c>
      <c r="IL55">
        <v>13</v>
      </c>
      <c r="IM55">
        <v>27</v>
      </c>
      <c r="IN55">
        <v>20</v>
      </c>
      <c r="IO55">
        <v>14</v>
      </c>
    </row>
    <row r="56" spans="1:249" ht="13.15" x14ac:dyDescent="0.4">
      <c r="A56">
        <v>120.64</v>
      </c>
      <c r="D56" s="2">
        <v>233.44300000000001</v>
      </c>
      <c r="H56">
        <v>324.14</v>
      </c>
      <c r="N56" s="1">
        <f>SUM(N51:N55)</f>
        <v>1694</v>
      </c>
      <c r="O56" s="1">
        <f>SUM(O51:O55)</f>
        <v>65</v>
      </c>
      <c r="BM56">
        <v>37.610999999999997</v>
      </c>
      <c r="BP56" s="2">
        <v>129.785</v>
      </c>
      <c r="BV56">
        <v>326.13600000000002</v>
      </c>
      <c r="DM56">
        <v>65.778999999999996</v>
      </c>
      <c r="DP56" s="2">
        <v>87.521000000000001</v>
      </c>
      <c r="DT56">
        <v>394.38799999999998</v>
      </c>
      <c r="GB56">
        <v>260</v>
      </c>
      <c r="GC56">
        <v>22</v>
      </c>
      <c r="GD56">
        <v>19</v>
      </c>
      <c r="GE56">
        <v>11</v>
      </c>
      <c r="GF56">
        <v>10</v>
      </c>
      <c r="GG56">
        <v>8</v>
      </c>
      <c r="GH56">
        <v>16</v>
      </c>
      <c r="GI56">
        <v>12</v>
      </c>
      <c r="GJ56">
        <v>1</v>
      </c>
      <c r="GK56">
        <v>11</v>
      </c>
      <c r="GL56">
        <v>13</v>
      </c>
      <c r="GM56">
        <v>6</v>
      </c>
      <c r="GN56">
        <v>11</v>
      </c>
      <c r="GO56">
        <v>5</v>
      </c>
      <c r="GQ56">
        <v>8</v>
      </c>
      <c r="GR56">
        <v>13</v>
      </c>
      <c r="GS56">
        <v>5</v>
      </c>
      <c r="GT56">
        <v>7</v>
      </c>
      <c r="GU56">
        <v>8</v>
      </c>
      <c r="GV56">
        <v>5</v>
      </c>
      <c r="GW56">
        <v>6</v>
      </c>
      <c r="GX56">
        <v>10</v>
      </c>
      <c r="GY56">
        <v>16</v>
      </c>
      <c r="GZ56">
        <v>5</v>
      </c>
      <c r="HA56">
        <v>14</v>
      </c>
      <c r="HB56">
        <v>18</v>
      </c>
      <c r="HC56">
        <v>14</v>
      </c>
      <c r="HD56">
        <v>19</v>
      </c>
      <c r="HG56">
        <v>260</v>
      </c>
      <c r="HH56">
        <v>10</v>
      </c>
      <c r="HI56">
        <v>18</v>
      </c>
      <c r="HJ56">
        <v>6</v>
      </c>
      <c r="HK56">
        <v>9</v>
      </c>
      <c r="HL56">
        <v>21</v>
      </c>
      <c r="HM56">
        <v>9</v>
      </c>
      <c r="HN56">
        <v>7</v>
      </c>
      <c r="HO56">
        <v>4</v>
      </c>
      <c r="HP56">
        <v>1</v>
      </c>
      <c r="HQ56">
        <v>20</v>
      </c>
      <c r="HR56">
        <v>17</v>
      </c>
      <c r="HS56">
        <v>16</v>
      </c>
      <c r="HT56">
        <v>34</v>
      </c>
      <c r="HU56">
        <v>19</v>
      </c>
      <c r="HV56">
        <v>10</v>
      </c>
      <c r="HY56">
        <v>260</v>
      </c>
      <c r="HZ56">
        <v>13</v>
      </c>
      <c r="IA56">
        <v>10</v>
      </c>
      <c r="IB56">
        <v>5</v>
      </c>
      <c r="IC56">
        <v>13</v>
      </c>
      <c r="ID56">
        <v>4</v>
      </c>
      <c r="IE56">
        <v>7</v>
      </c>
      <c r="IF56">
        <v>25</v>
      </c>
      <c r="IG56">
        <v>17</v>
      </c>
      <c r="IH56">
        <v>21</v>
      </c>
      <c r="II56">
        <v>16</v>
      </c>
      <c r="IJ56">
        <v>24</v>
      </c>
      <c r="IK56">
        <v>23</v>
      </c>
      <c r="IL56">
        <v>14</v>
      </c>
      <c r="IM56">
        <v>27</v>
      </c>
      <c r="IN56">
        <v>18</v>
      </c>
      <c r="IO56">
        <v>13</v>
      </c>
    </row>
    <row r="57" spans="1:249" x14ac:dyDescent="0.35">
      <c r="A57">
        <v>159.70699999999999</v>
      </c>
      <c r="D57" s="10">
        <v>188.107</v>
      </c>
      <c r="H57">
        <v>322.82100000000003</v>
      </c>
      <c r="BM57">
        <v>84.103999999999999</v>
      </c>
      <c r="BP57" s="2">
        <v>121.581</v>
      </c>
      <c r="BV57">
        <v>319.10300000000001</v>
      </c>
      <c r="DM57">
        <v>119.92</v>
      </c>
      <c r="DP57" s="2">
        <v>67.741</v>
      </c>
      <c r="DT57">
        <v>389.35700000000003</v>
      </c>
      <c r="GB57">
        <v>265</v>
      </c>
      <c r="GC57">
        <v>23</v>
      </c>
      <c r="GD57">
        <v>21</v>
      </c>
      <c r="GE57">
        <v>14</v>
      </c>
      <c r="GF57">
        <v>9</v>
      </c>
      <c r="GG57">
        <v>7</v>
      </c>
      <c r="GH57">
        <v>16</v>
      </c>
      <c r="GI57">
        <v>13</v>
      </c>
      <c r="GJ57">
        <v>1</v>
      </c>
      <c r="GK57">
        <v>11</v>
      </c>
      <c r="GL57">
        <v>12</v>
      </c>
      <c r="GM57">
        <v>7</v>
      </c>
      <c r="GN57">
        <v>12</v>
      </c>
      <c r="GO57">
        <v>5</v>
      </c>
      <c r="GQ57">
        <v>8</v>
      </c>
      <c r="GR57">
        <v>13</v>
      </c>
      <c r="GS57">
        <v>5</v>
      </c>
      <c r="GT57">
        <v>7</v>
      </c>
      <c r="GU57">
        <v>8</v>
      </c>
      <c r="GV57">
        <v>7</v>
      </c>
      <c r="GW57">
        <v>6</v>
      </c>
      <c r="GX57">
        <v>8</v>
      </c>
      <c r="GY57">
        <v>16</v>
      </c>
      <c r="GZ57">
        <v>5</v>
      </c>
      <c r="HA57">
        <v>13</v>
      </c>
      <c r="HB57">
        <v>17</v>
      </c>
      <c r="HC57">
        <v>14</v>
      </c>
      <c r="HD57">
        <v>18</v>
      </c>
      <c r="HG57">
        <v>265</v>
      </c>
      <c r="HH57">
        <v>10</v>
      </c>
      <c r="HI57">
        <v>18</v>
      </c>
      <c r="HJ57">
        <v>6</v>
      </c>
      <c r="HK57">
        <v>9</v>
      </c>
      <c r="HL57">
        <v>21</v>
      </c>
      <c r="HM57">
        <v>9</v>
      </c>
      <c r="HN57">
        <v>8</v>
      </c>
      <c r="HO57">
        <v>4</v>
      </c>
      <c r="HP57">
        <v>0</v>
      </c>
      <c r="HQ57">
        <v>15</v>
      </c>
      <c r="HR57">
        <v>17</v>
      </c>
      <c r="HS57">
        <v>16</v>
      </c>
      <c r="HT57">
        <v>32</v>
      </c>
      <c r="HU57">
        <v>19</v>
      </c>
      <c r="HV57">
        <v>10</v>
      </c>
      <c r="HY57">
        <v>265</v>
      </c>
      <c r="HZ57">
        <v>14</v>
      </c>
      <c r="IA57">
        <v>10</v>
      </c>
      <c r="IB57">
        <v>5</v>
      </c>
      <c r="IC57">
        <v>13</v>
      </c>
      <c r="ID57">
        <v>4</v>
      </c>
      <c r="IE57">
        <v>7</v>
      </c>
      <c r="IF57">
        <v>22</v>
      </c>
      <c r="IG57">
        <v>17</v>
      </c>
      <c r="IH57">
        <v>26</v>
      </c>
      <c r="II57">
        <v>15</v>
      </c>
      <c r="IJ57">
        <v>24</v>
      </c>
      <c r="IK57">
        <v>24</v>
      </c>
      <c r="IL57">
        <v>20</v>
      </c>
      <c r="IM57">
        <v>27</v>
      </c>
      <c r="IN57">
        <v>19</v>
      </c>
      <c r="IO57">
        <v>14</v>
      </c>
    </row>
    <row r="58" spans="1:249" x14ac:dyDescent="0.35">
      <c r="A58">
        <v>78.962000000000003</v>
      </c>
      <c r="D58" s="2">
        <v>181.988</v>
      </c>
      <c r="H58">
        <v>317.67</v>
      </c>
      <c r="BM58">
        <v>35.113</v>
      </c>
      <c r="BP58" s="2">
        <v>119.60899999999999</v>
      </c>
      <c r="BV58">
        <v>317.548</v>
      </c>
      <c r="DM58">
        <v>184.876</v>
      </c>
      <c r="DP58" s="2">
        <v>64.423000000000002</v>
      </c>
      <c r="DT58">
        <v>387.95800000000003</v>
      </c>
      <c r="GB58">
        <v>270</v>
      </c>
      <c r="GC58">
        <v>25</v>
      </c>
      <c r="GD58">
        <v>17</v>
      </c>
      <c r="GE58">
        <v>16</v>
      </c>
      <c r="GF58">
        <v>9</v>
      </c>
      <c r="GG58">
        <v>4</v>
      </c>
      <c r="GH58">
        <v>19</v>
      </c>
      <c r="GI58">
        <v>13</v>
      </c>
      <c r="GJ58">
        <v>1</v>
      </c>
      <c r="GK58">
        <v>10</v>
      </c>
      <c r="GL58">
        <v>14</v>
      </c>
      <c r="GM58">
        <v>5</v>
      </c>
      <c r="GN58">
        <v>11</v>
      </c>
      <c r="GO58">
        <v>5</v>
      </c>
      <c r="GQ58">
        <v>8</v>
      </c>
      <c r="GR58">
        <v>13</v>
      </c>
      <c r="GS58">
        <v>5</v>
      </c>
      <c r="GT58">
        <v>7</v>
      </c>
      <c r="GU58">
        <v>7</v>
      </c>
      <c r="GV58">
        <v>7</v>
      </c>
      <c r="GW58">
        <v>5</v>
      </c>
      <c r="GX58">
        <v>7</v>
      </c>
      <c r="GY58">
        <v>16</v>
      </c>
      <c r="GZ58">
        <v>4</v>
      </c>
      <c r="HA58">
        <v>13</v>
      </c>
      <c r="HB58">
        <v>18</v>
      </c>
      <c r="HC58">
        <v>14</v>
      </c>
      <c r="HD58">
        <v>19</v>
      </c>
      <c r="HG58">
        <v>270</v>
      </c>
      <c r="HH58">
        <v>10</v>
      </c>
      <c r="HI58">
        <v>17</v>
      </c>
      <c r="HJ58">
        <v>6</v>
      </c>
      <c r="HK58">
        <v>9</v>
      </c>
      <c r="HL58">
        <v>20</v>
      </c>
      <c r="HM58">
        <v>9</v>
      </c>
      <c r="HN58">
        <v>8</v>
      </c>
      <c r="HO58">
        <v>4</v>
      </c>
      <c r="HP58">
        <v>0</v>
      </c>
      <c r="HQ58">
        <v>12</v>
      </c>
      <c r="HR58">
        <v>17</v>
      </c>
      <c r="HS58">
        <v>16</v>
      </c>
      <c r="HT58">
        <v>32</v>
      </c>
      <c r="HU58">
        <v>18</v>
      </c>
      <c r="HV58">
        <v>11</v>
      </c>
      <c r="HY58">
        <v>270</v>
      </c>
      <c r="HZ58">
        <v>13</v>
      </c>
      <c r="IA58">
        <v>10</v>
      </c>
      <c r="IB58">
        <v>5</v>
      </c>
      <c r="IC58">
        <v>14</v>
      </c>
      <c r="ID58">
        <v>4</v>
      </c>
      <c r="IE58">
        <v>7</v>
      </c>
      <c r="IF58">
        <v>22</v>
      </c>
      <c r="IG58">
        <v>17</v>
      </c>
      <c r="IH58">
        <v>21</v>
      </c>
      <c r="II58">
        <v>15</v>
      </c>
      <c r="IJ58">
        <v>28</v>
      </c>
      <c r="IK58">
        <v>27</v>
      </c>
      <c r="IL58">
        <v>15</v>
      </c>
      <c r="IM58">
        <v>27</v>
      </c>
      <c r="IN58">
        <v>16</v>
      </c>
      <c r="IO58">
        <v>17</v>
      </c>
    </row>
    <row r="59" spans="1:249" x14ac:dyDescent="0.35">
      <c r="A59">
        <v>52.087000000000003</v>
      </c>
      <c r="D59" s="2">
        <v>168.17400000000001</v>
      </c>
      <c r="H59">
        <v>315.55700000000002</v>
      </c>
      <c r="BM59">
        <v>63.207999999999998</v>
      </c>
      <c r="BP59" s="2">
        <v>98.747</v>
      </c>
      <c r="BV59">
        <v>315.55700000000002</v>
      </c>
      <c r="DM59">
        <v>110.622</v>
      </c>
      <c r="DP59" s="2">
        <v>62.414000000000001</v>
      </c>
      <c r="DT59">
        <v>387.82799999999997</v>
      </c>
      <c r="GB59">
        <v>275</v>
      </c>
      <c r="GC59">
        <v>27</v>
      </c>
      <c r="GD59">
        <v>16</v>
      </c>
      <c r="GE59">
        <v>16</v>
      </c>
      <c r="GF59">
        <v>6</v>
      </c>
      <c r="GG59">
        <v>5</v>
      </c>
      <c r="GH59">
        <v>19</v>
      </c>
      <c r="GI59">
        <v>13</v>
      </c>
      <c r="GJ59">
        <v>1</v>
      </c>
      <c r="GK59">
        <v>9</v>
      </c>
      <c r="GL59">
        <v>15</v>
      </c>
      <c r="GM59">
        <v>5</v>
      </c>
      <c r="GN59">
        <v>11</v>
      </c>
      <c r="GO59">
        <v>5</v>
      </c>
      <c r="GQ59">
        <v>8</v>
      </c>
      <c r="GR59">
        <v>12</v>
      </c>
      <c r="GS59">
        <v>4</v>
      </c>
      <c r="GT59">
        <v>8</v>
      </c>
      <c r="GU59">
        <v>7</v>
      </c>
      <c r="GV59">
        <v>7</v>
      </c>
      <c r="GW59">
        <v>5</v>
      </c>
      <c r="GX59">
        <v>7</v>
      </c>
      <c r="GY59">
        <v>15</v>
      </c>
      <c r="GZ59">
        <v>4</v>
      </c>
      <c r="HA59">
        <v>13</v>
      </c>
      <c r="HB59">
        <v>18</v>
      </c>
      <c r="HC59">
        <v>14</v>
      </c>
      <c r="HD59">
        <v>17</v>
      </c>
      <c r="HG59">
        <v>275</v>
      </c>
      <c r="HH59">
        <v>10</v>
      </c>
      <c r="HI59">
        <v>17</v>
      </c>
      <c r="HJ59">
        <v>6</v>
      </c>
      <c r="HK59">
        <v>9</v>
      </c>
      <c r="HL59">
        <v>19</v>
      </c>
      <c r="HM59">
        <v>9</v>
      </c>
      <c r="HN59">
        <v>8</v>
      </c>
      <c r="HO59">
        <v>4</v>
      </c>
      <c r="HP59">
        <v>0</v>
      </c>
      <c r="HQ59">
        <v>12</v>
      </c>
      <c r="HR59">
        <v>18</v>
      </c>
      <c r="HS59">
        <v>17</v>
      </c>
      <c r="HT59">
        <v>31</v>
      </c>
      <c r="HU59">
        <v>18</v>
      </c>
      <c r="HV59">
        <v>11</v>
      </c>
      <c r="HY59">
        <v>275</v>
      </c>
      <c r="HZ59">
        <v>13</v>
      </c>
      <c r="IA59">
        <v>10</v>
      </c>
      <c r="IB59">
        <v>5</v>
      </c>
      <c r="IC59">
        <v>14</v>
      </c>
      <c r="ID59">
        <v>4</v>
      </c>
      <c r="IE59">
        <v>7</v>
      </c>
      <c r="IF59">
        <v>21</v>
      </c>
      <c r="IG59">
        <v>17</v>
      </c>
      <c r="IH59">
        <v>24</v>
      </c>
      <c r="II59">
        <v>15</v>
      </c>
      <c r="IJ59">
        <v>25</v>
      </c>
      <c r="IK59">
        <v>29</v>
      </c>
      <c r="IL59">
        <v>15</v>
      </c>
      <c r="IM59">
        <v>28</v>
      </c>
      <c r="IN59">
        <v>14</v>
      </c>
      <c r="IO59">
        <v>18</v>
      </c>
    </row>
    <row r="60" spans="1:249" x14ac:dyDescent="0.35">
      <c r="A60">
        <v>95.102000000000004</v>
      </c>
      <c r="D60" s="2">
        <v>161.98500000000001</v>
      </c>
      <c r="H60">
        <v>311.23599999999999</v>
      </c>
      <c r="BM60">
        <v>54.317999999999998</v>
      </c>
      <c r="BP60" s="2">
        <v>96.322000000000003</v>
      </c>
      <c r="BV60">
        <v>309.53100000000001</v>
      </c>
      <c r="DM60">
        <v>46.607999999999997</v>
      </c>
      <c r="DP60" s="2">
        <v>55.402000000000001</v>
      </c>
      <c r="DT60">
        <v>384.67599999999999</v>
      </c>
      <c r="GB60">
        <v>280</v>
      </c>
      <c r="GC60">
        <v>30</v>
      </c>
      <c r="GD60">
        <v>18</v>
      </c>
      <c r="GE60">
        <v>15</v>
      </c>
      <c r="GF60">
        <v>6</v>
      </c>
      <c r="GG60">
        <v>3</v>
      </c>
      <c r="GH60">
        <v>19</v>
      </c>
      <c r="GI60">
        <v>13</v>
      </c>
      <c r="GJ60">
        <v>1</v>
      </c>
      <c r="GK60">
        <v>8</v>
      </c>
      <c r="GL60">
        <v>11</v>
      </c>
      <c r="GM60">
        <v>5</v>
      </c>
      <c r="GN60">
        <v>13</v>
      </c>
      <c r="GO60">
        <v>5</v>
      </c>
      <c r="GQ60">
        <v>8</v>
      </c>
      <c r="GR60">
        <v>12</v>
      </c>
      <c r="GS60">
        <v>4</v>
      </c>
      <c r="GT60">
        <v>7</v>
      </c>
      <c r="GU60">
        <v>8</v>
      </c>
      <c r="GV60">
        <v>9</v>
      </c>
      <c r="GW60">
        <v>5</v>
      </c>
      <c r="GX60">
        <v>7</v>
      </c>
      <c r="GY60">
        <v>14</v>
      </c>
      <c r="GZ60">
        <v>4</v>
      </c>
      <c r="HA60">
        <v>14</v>
      </c>
      <c r="HB60">
        <v>19</v>
      </c>
      <c r="HC60">
        <v>14</v>
      </c>
      <c r="HD60">
        <v>16</v>
      </c>
      <c r="HG60">
        <v>280</v>
      </c>
      <c r="HH60">
        <v>10</v>
      </c>
      <c r="HI60">
        <v>17</v>
      </c>
      <c r="HJ60">
        <v>6</v>
      </c>
      <c r="HK60">
        <v>10</v>
      </c>
      <c r="HL60">
        <v>19</v>
      </c>
      <c r="HM60">
        <v>9</v>
      </c>
      <c r="HN60">
        <v>8</v>
      </c>
      <c r="HO60">
        <v>4</v>
      </c>
      <c r="HP60">
        <v>1</v>
      </c>
      <c r="HQ60">
        <v>12</v>
      </c>
      <c r="HR60">
        <v>17</v>
      </c>
      <c r="HS60">
        <v>17</v>
      </c>
      <c r="HT60">
        <v>32</v>
      </c>
      <c r="HU60">
        <v>18</v>
      </c>
      <c r="HV60">
        <v>11</v>
      </c>
      <c r="HY60">
        <v>280</v>
      </c>
      <c r="HZ60">
        <v>13</v>
      </c>
      <c r="IA60">
        <v>10</v>
      </c>
      <c r="IB60">
        <v>5</v>
      </c>
      <c r="IC60">
        <v>13</v>
      </c>
      <c r="ID60">
        <v>4</v>
      </c>
      <c r="IE60">
        <v>7</v>
      </c>
      <c r="IF60">
        <v>18</v>
      </c>
      <c r="IG60">
        <v>17</v>
      </c>
      <c r="IH60">
        <v>24</v>
      </c>
      <c r="II60">
        <v>16</v>
      </c>
      <c r="IJ60">
        <v>25</v>
      </c>
      <c r="IK60">
        <v>28</v>
      </c>
      <c r="IL60">
        <v>15</v>
      </c>
      <c r="IM60">
        <v>27</v>
      </c>
      <c r="IN60">
        <v>14</v>
      </c>
      <c r="IO60">
        <v>17</v>
      </c>
    </row>
    <row r="61" spans="1:249" x14ac:dyDescent="0.35">
      <c r="A61">
        <v>61.331000000000003</v>
      </c>
      <c r="D61" s="2">
        <v>159.76</v>
      </c>
      <c r="H61">
        <v>309.46600000000001</v>
      </c>
      <c r="J61" s="8"/>
      <c r="BM61">
        <v>170.589</v>
      </c>
      <c r="BP61" s="2">
        <v>85.912999999999997</v>
      </c>
      <c r="BV61">
        <v>308.57100000000003</v>
      </c>
      <c r="DM61">
        <v>123.51600000000001</v>
      </c>
      <c r="DP61" s="2">
        <v>53.328000000000003</v>
      </c>
      <c r="DT61">
        <v>382.65499999999997</v>
      </c>
      <c r="GB61">
        <v>285</v>
      </c>
      <c r="GC61">
        <v>28</v>
      </c>
      <c r="GD61">
        <v>16</v>
      </c>
      <c r="GE61">
        <v>15</v>
      </c>
      <c r="GF61">
        <v>6</v>
      </c>
      <c r="GG61">
        <v>3</v>
      </c>
      <c r="GH61">
        <v>18</v>
      </c>
      <c r="GI61">
        <v>13</v>
      </c>
      <c r="GJ61">
        <v>1</v>
      </c>
      <c r="GK61">
        <v>6</v>
      </c>
      <c r="GL61">
        <v>11</v>
      </c>
      <c r="GM61">
        <v>5</v>
      </c>
      <c r="GN61">
        <v>10</v>
      </c>
      <c r="GO61">
        <v>5</v>
      </c>
      <c r="GQ61">
        <v>8</v>
      </c>
      <c r="GR61">
        <v>12</v>
      </c>
      <c r="GS61">
        <v>4</v>
      </c>
      <c r="GT61">
        <v>8</v>
      </c>
      <c r="GU61">
        <v>9</v>
      </c>
      <c r="GV61">
        <v>9</v>
      </c>
      <c r="GW61">
        <v>5</v>
      </c>
      <c r="GX61">
        <v>7</v>
      </c>
      <c r="GY61">
        <v>14</v>
      </c>
      <c r="GZ61">
        <v>4</v>
      </c>
      <c r="HA61">
        <v>16</v>
      </c>
      <c r="HB61">
        <v>17</v>
      </c>
      <c r="HC61">
        <v>13</v>
      </c>
      <c r="HD61">
        <v>14</v>
      </c>
      <c r="HG61">
        <v>285</v>
      </c>
      <c r="HH61">
        <v>10</v>
      </c>
      <c r="HI61">
        <v>18</v>
      </c>
      <c r="HJ61">
        <v>6</v>
      </c>
      <c r="HK61">
        <v>10</v>
      </c>
      <c r="HL61">
        <v>18</v>
      </c>
      <c r="HM61">
        <v>9</v>
      </c>
      <c r="HN61">
        <v>8</v>
      </c>
      <c r="HO61">
        <v>4</v>
      </c>
      <c r="HP61">
        <v>2</v>
      </c>
      <c r="HQ61">
        <v>12</v>
      </c>
      <c r="HR61">
        <v>17</v>
      </c>
      <c r="HS61">
        <v>17</v>
      </c>
      <c r="HT61">
        <v>32</v>
      </c>
      <c r="HU61">
        <v>18</v>
      </c>
      <c r="HV61">
        <v>13</v>
      </c>
      <c r="HY61">
        <v>285</v>
      </c>
      <c r="HZ61">
        <v>13</v>
      </c>
      <c r="IA61">
        <v>10</v>
      </c>
      <c r="IB61">
        <v>7</v>
      </c>
      <c r="IC61">
        <v>14</v>
      </c>
      <c r="ID61">
        <v>4</v>
      </c>
      <c r="IE61">
        <v>7</v>
      </c>
      <c r="IF61">
        <v>19</v>
      </c>
      <c r="IG61">
        <v>17</v>
      </c>
      <c r="IH61">
        <v>25</v>
      </c>
      <c r="II61">
        <v>15</v>
      </c>
      <c r="IJ61">
        <v>25</v>
      </c>
      <c r="IK61">
        <v>26</v>
      </c>
      <c r="IL61">
        <v>14</v>
      </c>
      <c r="IM61">
        <v>26</v>
      </c>
      <c r="IN61">
        <v>13</v>
      </c>
      <c r="IO61">
        <v>17</v>
      </c>
    </row>
    <row r="62" spans="1:249" x14ac:dyDescent="0.35">
      <c r="A62">
        <v>126.27500000000001</v>
      </c>
      <c r="D62" s="10">
        <v>158.352</v>
      </c>
      <c r="H62">
        <v>308.73599999999999</v>
      </c>
      <c r="BM62">
        <v>102.399</v>
      </c>
      <c r="BP62" s="2">
        <v>84.103999999999999</v>
      </c>
      <c r="BV62">
        <v>306.81799999999998</v>
      </c>
      <c r="DM62">
        <v>162.93799999999999</v>
      </c>
      <c r="DT62">
        <v>380.59300000000002</v>
      </c>
      <c r="GB62">
        <v>290</v>
      </c>
      <c r="GC62">
        <v>33</v>
      </c>
      <c r="GD62">
        <v>14</v>
      </c>
      <c r="GE62">
        <v>16</v>
      </c>
      <c r="GF62">
        <v>8</v>
      </c>
      <c r="GG62">
        <v>2</v>
      </c>
      <c r="GH62">
        <v>18</v>
      </c>
      <c r="GI62">
        <v>12</v>
      </c>
      <c r="GJ62">
        <v>1</v>
      </c>
      <c r="GK62">
        <v>4</v>
      </c>
      <c r="GL62">
        <v>9</v>
      </c>
      <c r="GM62">
        <v>5</v>
      </c>
      <c r="GN62">
        <v>9</v>
      </c>
      <c r="GO62">
        <v>5</v>
      </c>
      <c r="GQ62">
        <v>8</v>
      </c>
      <c r="GR62">
        <v>12</v>
      </c>
      <c r="GS62">
        <v>4</v>
      </c>
      <c r="GT62">
        <v>8</v>
      </c>
      <c r="GU62">
        <v>7</v>
      </c>
      <c r="GV62">
        <v>10</v>
      </c>
      <c r="GW62">
        <v>6</v>
      </c>
      <c r="GX62">
        <v>7</v>
      </c>
      <c r="GY62">
        <v>12</v>
      </c>
      <c r="GZ62">
        <v>4</v>
      </c>
      <c r="HA62">
        <v>15</v>
      </c>
      <c r="HB62">
        <v>19</v>
      </c>
      <c r="HC62">
        <v>13</v>
      </c>
      <c r="HD62">
        <v>13</v>
      </c>
      <c r="HG62">
        <v>290</v>
      </c>
      <c r="HH62">
        <v>10</v>
      </c>
      <c r="HI62">
        <v>19</v>
      </c>
      <c r="HJ62">
        <v>6</v>
      </c>
      <c r="HK62">
        <v>10</v>
      </c>
      <c r="HL62">
        <v>19</v>
      </c>
      <c r="HM62">
        <v>9</v>
      </c>
      <c r="HN62">
        <v>8</v>
      </c>
      <c r="HO62">
        <v>4</v>
      </c>
      <c r="HP62">
        <v>3</v>
      </c>
      <c r="HQ62">
        <v>11</v>
      </c>
      <c r="HR62">
        <v>17</v>
      </c>
      <c r="HS62">
        <v>17</v>
      </c>
      <c r="HT62">
        <v>29</v>
      </c>
      <c r="HU62">
        <v>18</v>
      </c>
      <c r="HV62">
        <v>11</v>
      </c>
      <c r="HY62">
        <v>290</v>
      </c>
      <c r="HZ62">
        <v>13</v>
      </c>
      <c r="IA62">
        <v>10</v>
      </c>
      <c r="IB62">
        <v>7</v>
      </c>
      <c r="IC62">
        <v>16</v>
      </c>
      <c r="ID62">
        <v>4</v>
      </c>
      <c r="IE62">
        <v>7</v>
      </c>
      <c r="IF62">
        <v>15</v>
      </c>
      <c r="IG62">
        <v>18</v>
      </c>
      <c r="IH62">
        <v>24</v>
      </c>
      <c r="II62">
        <v>15</v>
      </c>
      <c r="IJ62">
        <v>23</v>
      </c>
      <c r="IK62">
        <v>23</v>
      </c>
      <c r="IL62">
        <v>14</v>
      </c>
      <c r="IM62">
        <v>27</v>
      </c>
      <c r="IN62">
        <v>12</v>
      </c>
      <c r="IO62">
        <v>16</v>
      </c>
    </row>
    <row r="63" spans="1:249" x14ac:dyDescent="0.35">
      <c r="A63">
        <v>155.04</v>
      </c>
      <c r="D63" s="10">
        <v>156.13300000000001</v>
      </c>
      <c r="H63" s="8">
        <v>307.13499999999999</v>
      </c>
      <c r="BM63">
        <v>151.13399999999999</v>
      </c>
      <c r="BP63" s="2">
        <v>70.978999999999999</v>
      </c>
      <c r="BV63">
        <v>305.589</v>
      </c>
      <c r="DM63">
        <v>172.827</v>
      </c>
      <c r="DT63">
        <v>380.35599999999999</v>
      </c>
      <c r="GB63">
        <v>295</v>
      </c>
      <c r="GC63">
        <v>31</v>
      </c>
      <c r="GD63">
        <v>14</v>
      </c>
      <c r="GE63">
        <v>16</v>
      </c>
      <c r="GF63">
        <v>6</v>
      </c>
      <c r="GG63">
        <v>2</v>
      </c>
      <c r="GH63">
        <v>17</v>
      </c>
      <c r="GI63">
        <v>12</v>
      </c>
      <c r="GJ63">
        <v>1</v>
      </c>
      <c r="GK63">
        <v>5</v>
      </c>
      <c r="GL63">
        <v>10</v>
      </c>
      <c r="GM63">
        <v>5</v>
      </c>
      <c r="GN63">
        <v>10</v>
      </c>
      <c r="GO63">
        <v>5</v>
      </c>
      <c r="GQ63">
        <v>8</v>
      </c>
      <c r="GR63">
        <v>11</v>
      </c>
      <c r="GS63">
        <v>4</v>
      </c>
      <c r="GT63">
        <v>8</v>
      </c>
      <c r="GU63">
        <v>7</v>
      </c>
      <c r="GV63">
        <v>10</v>
      </c>
      <c r="GW63">
        <v>5</v>
      </c>
      <c r="GX63">
        <v>6</v>
      </c>
      <c r="GY63">
        <v>14</v>
      </c>
      <c r="GZ63">
        <v>4</v>
      </c>
      <c r="HA63">
        <v>15</v>
      </c>
      <c r="HB63">
        <v>20</v>
      </c>
      <c r="HC63">
        <v>13</v>
      </c>
      <c r="HD63">
        <v>13</v>
      </c>
      <c r="HG63">
        <v>295</v>
      </c>
      <c r="HH63">
        <v>10</v>
      </c>
      <c r="HI63">
        <v>19</v>
      </c>
      <c r="HJ63">
        <v>6</v>
      </c>
      <c r="HK63">
        <v>10</v>
      </c>
      <c r="HL63">
        <v>20</v>
      </c>
      <c r="HM63">
        <v>10</v>
      </c>
      <c r="HN63">
        <v>8</v>
      </c>
      <c r="HO63">
        <v>4</v>
      </c>
      <c r="HP63">
        <v>5</v>
      </c>
      <c r="HQ63">
        <v>11</v>
      </c>
      <c r="HR63">
        <v>17</v>
      </c>
      <c r="HS63">
        <v>16</v>
      </c>
      <c r="HT63">
        <v>32</v>
      </c>
      <c r="HU63">
        <v>18</v>
      </c>
      <c r="HV63">
        <v>10</v>
      </c>
      <c r="HY63">
        <v>295</v>
      </c>
      <c r="HZ63">
        <v>12</v>
      </c>
      <c r="IA63">
        <v>10</v>
      </c>
      <c r="IB63">
        <v>7</v>
      </c>
      <c r="IC63">
        <v>21</v>
      </c>
      <c r="ID63">
        <v>4</v>
      </c>
      <c r="IE63">
        <v>7</v>
      </c>
      <c r="IF63">
        <v>12</v>
      </c>
      <c r="IG63">
        <v>19</v>
      </c>
      <c r="IH63">
        <v>24</v>
      </c>
      <c r="II63">
        <v>17</v>
      </c>
      <c r="IJ63">
        <v>21</v>
      </c>
      <c r="IK63">
        <v>22</v>
      </c>
      <c r="IL63">
        <v>17</v>
      </c>
      <c r="IM63">
        <v>27</v>
      </c>
      <c r="IN63">
        <v>12</v>
      </c>
      <c r="IO63">
        <v>13</v>
      </c>
    </row>
    <row r="64" spans="1:249" x14ac:dyDescent="0.35">
      <c r="A64">
        <v>32.709000000000003</v>
      </c>
      <c r="D64" s="2">
        <v>152.685</v>
      </c>
      <c r="H64" s="8">
        <v>306.25200000000001</v>
      </c>
      <c r="BM64">
        <v>120.381</v>
      </c>
      <c r="BP64" s="2">
        <v>69.516000000000005</v>
      </c>
      <c r="BV64">
        <v>300.548</v>
      </c>
      <c r="DM64">
        <v>228.09899999999999</v>
      </c>
      <c r="DT64">
        <v>376.88600000000002</v>
      </c>
      <c r="GB64">
        <v>300</v>
      </c>
      <c r="GC64">
        <v>28</v>
      </c>
      <c r="GD64">
        <v>13</v>
      </c>
      <c r="GE64">
        <v>17</v>
      </c>
      <c r="GF64">
        <v>6</v>
      </c>
      <c r="GG64">
        <v>4</v>
      </c>
      <c r="GH64">
        <v>16</v>
      </c>
      <c r="GI64">
        <v>12</v>
      </c>
      <c r="GJ64">
        <v>1</v>
      </c>
      <c r="GK64">
        <v>5</v>
      </c>
      <c r="GL64">
        <v>9</v>
      </c>
      <c r="GM64">
        <v>5</v>
      </c>
      <c r="GN64">
        <v>10</v>
      </c>
      <c r="GO64">
        <v>5</v>
      </c>
      <c r="GQ64">
        <v>7</v>
      </c>
      <c r="GR64">
        <v>11</v>
      </c>
      <c r="GS64">
        <v>4</v>
      </c>
      <c r="GT64">
        <v>7</v>
      </c>
      <c r="GU64">
        <v>7</v>
      </c>
      <c r="GV64">
        <v>8</v>
      </c>
      <c r="GW64">
        <v>5</v>
      </c>
      <c r="GX64">
        <v>6</v>
      </c>
      <c r="GY64">
        <v>13</v>
      </c>
      <c r="GZ64">
        <v>4</v>
      </c>
      <c r="HA64">
        <v>15</v>
      </c>
      <c r="HB64">
        <v>17</v>
      </c>
      <c r="HC64">
        <v>13</v>
      </c>
      <c r="HD64">
        <v>13</v>
      </c>
      <c r="HG64">
        <v>300</v>
      </c>
      <c r="HH64">
        <v>10</v>
      </c>
      <c r="HI64">
        <v>19</v>
      </c>
      <c r="HJ64">
        <v>6</v>
      </c>
      <c r="HK64">
        <v>9</v>
      </c>
      <c r="HL64">
        <v>19</v>
      </c>
      <c r="HM64">
        <v>10</v>
      </c>
      <c r="HN64">
        <v>8</v>
      </c>
      <c r="HO64">
        <v>4</v>
      </c>
      <c r="HP64">
        <v>7</v>
      </c>
      <c r="HQ64">
        <v>10</v>
      </c>
      <c r="HR64">
        <v>17</v>
      </c>
      <c r="HS64">
        <v>17</v>
      </c>
      <c r="HT64">
        <v>27</v>
      </c>
      <c r="HU64">
        <v>20</v>
      </c>
      <c r="HV64">
        <v>10</v>
      </c>
      <c r="HY64">
        <v>300</v>
      </c>
      <c r="HZ64">
        <v>12</v>
      </c>
      <c r="IA64">
        <v>10</v>
      </c>
      <c r="IB64">
        <v>6</v>
      </c>
      <c r="IC64">
        <v>19</v>
      </c>
      <c r="ID64">
        <v>4</v>
      </c>
      <c r="IE64">
        <v>7</v>
      </c>
      <c r="IF64">
        <v>10</v>
      </c>
      <c r="IG64">
        <v>18</v>
      </c>
      <c r="IH64">
        <v>22</v>
      </c>
      <c r="II64">
        <v>16</v>
      </c>
      <c r="IJ64">
        <v>20</v>
      </c>
      <c r="IK64">
        <v>21</v>
      </c>
      <c r="IL64">
        <v>13</v>
      </c>
      <c r="IM64">
        <v>26</v>
      </c>
      <c r="IN64">
        <v>12</v>
      </c>
      <c r="IO64">
        <v>13</v>
      </c>
    </row>
    <row r="65" spans="1:249" x14ac:dyDescent="0.35">
      <c r="A65">
        <v>170.94900000000001</v>
      </c>
      <c r="D65" s="2">
        <v>149.36600000000001</v>
      </c>
      <c r="H65">
        <v>304.57</v>
      </c>
      <c r="BM65">
        <v>54.042999999999999</v>
      </c>
      <c r="BP65" s="2">
        <v>65.064999999999998</v>
      </c>
      <c r="BV65">
        <v>300.51900000000001</v>
      </c>
      <c r="DM65">
        <v>95.608000000000004</v>
      </c>
      <c r="DT65">
        <v>371.84899999999999</v>
      </c>
      <c r="DU65">
        <f>36*2</f>
        <v>72</v>
      </c>
      <c r="DV65">
        <v>0</v>
      </c>
      <c r="GB65">
        <v>305</v>
      </c>
      <c r="GC65">
        <v>28</v>
      </c>
      <c r="GD65">
        <v>13</v>
      </c>
      <c r="GE65">
        <v>25</v>
      </c>
      <c r="GF65">
        <v>6</v>
      </c>
      <c r="GG65">
        <v>17</v>
      </c>
      <c r="GH65">
        <v>15</v>
      </c>
      <c r="GI65">
        <v>11</v>
      </c>
      <c r="GJ65">
        <v>1</v>
      </c>
      <c r="GK65">
        <v>5</v>
      </c>
      <c r="GL65">
        <v>11</v>
      </c>
      <c r="GM65">
        <v>5</v>
      </c>
      <c r="GN65">
        <v>10</v>
      </c>
      <c r="GO65">
        <v>5</v>
      </c>
      <c r="GQ65">
        <v>7</v>
      </c>
      <c r="GR65">
        <v>12</v>
      </c>
      <c r="GS65">
        <v>4</v>
      </c>
      <c r="GT65">
        <v>8</v>
      </c>
      <c r="GU65">
        <v>7</v>
      </c>
      <c r="GV65">
        <v>6</v>
      </c>
      <c r="GW65">
        <v>5</v>
      </c>
      <c r="GX65">
        <v>6</v>
      </c>
      <c r="GY65">
        <v>13</v>
      </c>
      <c r="GZ65">
        <v>4</v>
      </c>
      <c r="HA65">
        <v>15</v>
      </c>
      <c r="HB65">
        <v>15</v>
      </c>
      <c r="HC65">
        <v>12</v>
      </c>
      <c r="HD65">
        <v>14</v>
      </c>
      <c r="HG65">
        <v>305</v>
      </c>
      <c r="HH65">
        <v>9</v>
      </c>
      <c r="HI65">
        <v>21</v>
      </c>
      <c r="HJ65">
        <v>6</v>
      </c>
      <c r="HK65">
        <v>9</v>
      </c>
      <c r="HL65">
        <v>18</v>
      </c>
      <c r="HM65">
        <v>10</v>
      </c>
      <c r="HN65">
        <v>8</v>
      </c>
      <c r="HO65">
        <v>4</v>
      </c>
      <c r="HP65">
        <v>7</v>
      </c>
      <c r="HQ65">
        <v>9</v>
      </c>
      <c r="HR65">
        <v>16</v>
      </c>
      <c r="HS65">
        <v>17</v>
      </c>
      <c r="HT65">
        <v>27</v>
      </c>
      <c r="HU65">
        <v>22</v>
      </c>
      <c r="HV65">
        <v>9</v>
      </c>
      <c r="HY65">
        <v>305</v>
      </c>
      <c r="HZ65">
        <v>11</v>
      </c>
      <c r="IA65">
        <v>10</v>
      </c>
      <c r="IB65">
        <v>6</v>
      </c>
      <c r="IC65">
        <v>20</v>
      </c>
      <c r="ID65">
        <v>4</v>
      </c>
      <c r="IE65">
        <v>7</v>
      </c>
      <c r="IF65">
        <v>10</v>
      </c>
      <c r="IG65">
        <v>18</v>
      </c>
      <c r="IH65">
        <v>20</v>
      </c>
      <c r="II65">
        <v>15</v>
      </c>
      <c r="IJ65">
        <v>17</v>
      </c>
      <c r="IK65">
        <v>21</v>
      </c>
      <c r="IL65">
        <v>13</v>
      </c>
      <c r="IM65">
        <v>32</v>
      </c>
      <c r="IN65">
        <v>11</v>
      </c>
      <c r="IO65">
        <v>14</v>
      </c>
    </row>
    <row r="66" spans="1:249" x14ac:dyDescent="0.35">
      <c r="A66">
        <v>142.76400000000001</v>
      </c>
      <c r="D66" s="2">
        <v>146.99600000000001</v>
      </c>
      <c r="H66">
        <v>303.959</v>
      </c>
      <c r="BM66">
        <v>97.036000000000001</v>
      </c>
      <c r="BP66" s="2">
        <v>48.238</v>
      </c>
      <c r="BV66">
        <v>299.84500000000003</v>
      </c>
      <c r="BW66">
        <f>63*2</f>
        <v>126</v>
      </c>
      <c r="BX66">
        <v>0</v>
      </c>
      <c r="DM66">
        <v>131.607</v>
      </c>
      <c r="DT66">
        <v>368.03300000000002</v>
      </c>
      <c r="GB66">
        <v>310</v>
      </c>
      <c r="GC66">
        <v>28</v>
      </c>
      <c r="GD66">
        <v>14</v>
      </c>
      <c r="GE66">
        <v>24</v>
      </c>
      <c r="GF66">
        <v>5</v>
      </c>
      <c r="GG66">
        <v>16</v>
      </c>
      <c r="GH66">
        <v>15</v>
      </c>
      <c r="GI66">
        <v>11</v>
      </c>
      <c r="GJ66">
        <v>1</v>
      </c>
      <c r="GK66">
        <v>5</v>
      </c>
      <c r="GL66">
        <v>10</v>
      </c>
      <c r="GM66">
        <v>5</v>
      </c>
      <c r="GN66">
        <v>10</v>
      </c>
      <c r="GO66">
        <v>5</v>
      </c>
      <c r="GQ66">
        <v>7</v>
      </c>
      <c r="GR66">
        <v>13</v>
      </c>
      <c r="GS66">
        <v>3</v>
      </c>
      <c r="GT66">
        <v>8</v>
      </c>
      <c r="GU66">
        <v>7</v>
      </c>
      <c r="GV66">
        <v>6</v>
      </c>
      <c r="GW66">
        <v>5</v>
      </c>
      <c r="GX66">
        <v>7</v>
      </c>
      <c r="GY66">
        <v>11</v>
      </c>
      <c r="GZ66">
        <v>5</v>
      </c>
      <c r="HA66">
        <v>17</v>
      </c>
      <c r="HB66">
        <v>16</v>
      </c>
      <c r="HC66">
        <v>12</v>
      </c>
      <c r="HD66">
        <v>12</v>
      </c>
      <c r="HG66">
        <v>310</v>
      </c>
      <c r="HH66">
        <v>9</v>
      </c>
      <c r="HI66">
        <v>19</v>
      </c>
      <c r="HJ66">
        <v>6</v>
      </c>
      <c r="HK66">
        <v>9</v>
      </c>
      <c r="HL66">
        <v>18</v>
      </c>
      <c r="HM66">
        <v>10</v>
      </c>
      <c r="HN66">
        <v>8</v>
      </c>
      <c r="HO66">
        <v>4</v>
      </c>
      <c r="HP66">
        <v>7</v>
      </c>
      <c r="HQ66">
        <v>7</v>
      </c>
      <c r="HR66">
        <v>15</v>
      </c>
      <c r="HS66">
        <v>18</v>
      </c>
      <c r="HT66">
        <v>27</v>
      </c>
      <c r="HU66">
        <v>22</v>
      </c>
      <c r="HV66">
        <v>9</v>
      </c>
      <c r="HY66">
        <v>310</v>
      </c>
      <c r="HZ66">
        <v>11</v>
      </c>
      <c r="IA66">
        <v>10</v>
      </c>
      <c r="IB66">
        <v>7</v>
      </c>
      <c r="IC66">
        <v>20</v>
      </c>
      <c r="ID66">
        <v>4</v>
      </c>
      <c r="IE66">
        <v>7</v>
      </c>
      <c r="IF66">
        <v>7</v>
      </c>
      <c r="IG66">
        <v>18</v>
      </c>
      <c r="IH66">
        <v>22</v>
      </c>
      <c r="II66">
        <v>15</v>
      </c>
      <c r="IJ66">
        <v>17</v>
      </c>
      <c r="IK66">
        <v>20</v>
      </c>
      <c r="IL66">
        <v>13</v>
      </c>
      <c r="IM66">
        <v>26</v>
      </c>
      <c r="IN66">
        <v>12</v>
      </c>
      <c r="IO66">
        <v>15</v>
      </c>
    </row>
    <row r="67" spans="1:249" x14ac:dyDescent="0.35">
      <c r="A67">
        <v>204.02</v>
      </c>
      <c r="D67" s="2">
        <v>145.67599999999999</v>
      </c>
      <c r="H67">
        <v>301.041</v>
      </c>
      <c r="BM67">
        <v>87.46</v>
      </c>
      <c r="BP67" s="2">
        <v>46.018000000000001</v>
      </c>
      <c r="BV67">
        <v>299.17599999999999</v>
      </c>
      <c r="DM67">
        <v>143.56100000000001</v>
      </c>
      <c r="DT67">
        <v>360.96600000000001</v>
      </c>
      <c r="GB67">
        <v>315</v>
      </c>
      <c r="GC67">
        <v>35</v>
      </c>
      <c r="GD67">
        <v>12</v>
      </c>
      <c r="GE67">
        <v>28</v>
      </c>
      <c r="GF67">
        <v>4</v>
      </c>
      <c r="GG67">
        <v>10</v>
      </c>
      <c r="GH67">
        <v>16</v>
      </c>
      <c r="GI67">
        <v>11</v>
      </c>
      <c r="GJ67">
        <v>1</v>
      </c>
      <c r="GK67">
        <v>5</v>
      </c>
      <c r="GL67">
        <v>10</v>
      </c>
      <c r="GM67">
        <v>5</v>
      </c>
      <c r="GN67">
        <v>10</v>
      </c>
      <c r="GO67">
        <v>5</v>
      </c>
      <c r="GQ67">
        <v>8</v>
      </c>
      <c r="GR67">
        <v>12</v>
      </c>
      <c r="GS67">
        <v>2</v>
      </c>
      <c r="GT67">
        <v>8</v>
      </c>
      <c r="GU67">
        <v>7</v>
      </c>
      <c r="GV67">
        <v>6</v>
      </c>
      <c r="GW67">
        <v>5</v>
      </c>
      <c r="GX67">
        <v>7</v>
      </c>
      <c r="GY67">
        <v>11</v>
      </c>
      <c r="GZ67">
        <v>6</v>
      </c>
      <c r="HA67">
        <v>16</v>
      </c>
      <c r="HB67">
        <v>16</v>
      </c>
      <c r="HC67">
        <v>12</v>
      </c>
      <c r="HD67">
        <v>11</v>
      </c>
      <c r="HG67">
        <v>315</v>
      </c>
      <c r="HH67">
        <v>8</v>
      </c>
      <c r="HI67">
        <v>22</v>
      </c>
      <c r="HJ67">
        <v>6</v>
      </c>
      <c r="HK67">
        <v>9</v>
      </c>
      <c r="HL67">
        <v>18</v>
      </c>
      <c r="HM67">
        <v>10</v>
      </c>
      <c r="HN67">
        <v>8</v>
      </c>
      <c r="HO67">
        <v>4</v>
      </c>
      <c r="HP67">
        <v>4</v>
      </c>
      <c r="HQ67">
        <v>5</v>
      </c>
      <c r="HR67">
        <v>16</v>
      </c>
      <c r="HS67">
        <v>18</v>
      </c>
      <c r="HT67">
        <v>25</v>
      </c>
      <c r="HU67">
        <v>23</v>
      </c>
      <c r="HV67">
        <v>8</v>
      </c>
      <c r="HY67">
        <v>315</v>
      </c>
      <c r="HZ67">
        <v>11</v>
      </c>
      <c r="IA67">
        <v>10</v>
      </c>
      <c r="IB67">
        <v>7</v>
      </c>
      <c r="IC67">
        <v>19</v>
      </c>
      <c r="ID67">
        <v>4</v>
      </c>
      <c r="IE67">
        <v>7</v>
      </c>
      <c r="IF67">
        <v>8</v>
      </c>
      <c r="IG67">
        <v>21</v>
      </c>
      <c r="IH67">
        <v>22</v>
      </c>
      <c r="II67">
        <v>15</v>
      </c>
      <c r="IJ67">
        <v>18</v>
      </c>
      <c r="IK67">
        <v>18</v>
      </c>
      <c r="IL67">
        <v>13</v>
      </c>
      <c r="IM67">
        <v>25</v>
      </c>
      <c r="IN67">
        <v>12</v>
      </c>
      <c r="IO67">
        <v>15</v>
      </c>
    </row>
    <row r="68" spans="1:249" x14ac:dyDescent="0.35">
      <c r="A68">
        <v>235.30099999999999</v>
      </c>
      <c r="D68" s="10">
        <v>136.024</v>
      </c>
      <c r="H68">
        <v>299.57600000000002</v>
      </c>
      <c r="I68">
        <f>67*2</f>
        <v>134</v>
      </c>
      <c r="J68">
        <v>6</v>
      </c>
      <c r="BM68">
        <v>35.171999999999997</v>
      </c>
      <c r="BP68" s="2">
        <v>20.495999999999999</v>
      </c>
      <c r="BV68">
        <v>293.48899999999998</v>
      </c>
      <c r="DM68">
        <v>200.58699999999999</v>
      </c>
      <c r="DT68">
        <v>359.452</v>
      </c>
      <c r="GB68">
        <v>320</v>
      </c>
      <c r="GC68">
        <v>31</v>
      </c>
      <c r="GD68">
        <v>12</v>
      </c>
      <c r="GE68">
        <v>27</v>
      </c>
      <c r="GF68">
        <v>4</v>
      </c>
      <c r="GG68">
        <v>6</v>
      </c>
      <c r="GH68">
        <v>16</v>
      </c>
      <c r="GI68">
        <v>12</v>
      </c>
      <c r="GJ68">
        <v>1</v>
      </c>
      <c r="GK68">
        <v>4</v>
      </c>
      <c r="GL68">
        <v>12</v>
      </c>
      <c r="GM68">
        <v>7</v>
      </c>
      <c r="GN68">
        <v>10</v>
      </c>
      <c r="GO68">
        <v>5</v>
      </c>
      <c r="GQ68">
        <v>8</v>
      </c>
      <c r="GR68">
        <v>12</v>
      </c>
      <c r="GS68">
        <v>2</v>
      </c>
      <c r="GT68">
        <v>6</v>
      </c>
      <c r="GU68">
        <v>7</v>
      </c>
      <c r="GV68">
        <v>6</v>
      </c>
      <c r="GW68">
        <v>5</v>
      </c>
      <c r="GX68">
        <v>7</v>
      </c>
      <c r="GY68">
        <v>13</v>
      </c>
      <c r="GZ68">
        <v>4</v>
      </c>
      <c r="HA68">
        <v>13</v>
      </c>
      <c r="HB68">
        <v>16</v>
      </c>
      <c r="HC68">
        <v>12</v>
      </c>
      <c r="HD68">
        <v>11</v>
      </c>
      <c r="HG68">
        <v>320</v>
      </c>
      <c r="HH68">
        <v>8</v>
      </c>
      <c r="HI68">
        <v>20</v>
      </c>
      <c r="HJ68">
        <v>6</v>
      </c>
      <c r="HK68">
        <v>9</v>
      </c>
      <c r="HL68">
        <v>18</v>
      </c>
      <c r="HM68">
        <v>10</v>
      </c>
      <c r="HN68">
        <v>9</v>
      </c>
      <c r="HO68">
        <v>4</v>
      </c>
      <c r="HP68">
        <v>5</v>
      </c>
      <c r="HQ68">
        <v>4</v>
      </c>
      <c r="HR68">
        <v>16</v>
      </c>
      <c r="HS68">
        <v>18</v>
      </c>
      <c r="HT68">
        <v>24</v>
      </c>
      <c r="HU68">
        <v>21</v>
      </c>
      <c r="HV68">
        <v>8</v>
      </c>
      <c r="HY68">
        <v>320</v>
      </c>
      <c r="HZ68">
        <v>11</v>
      </c>
      <c r="IA68">
        <v>10</v>
      </c>
      <c r="IB68">
        <v>7</v>
      </c>
      <c r="IC68">
        <v>20</v>
      </c>
      <c r="ID68">
        <v>4</v>
      </c>
      <c r="IE68">
        <v>7</v>
      </c>
      <c r="IF68">
        <v>9</v>
      </c>
      <c r="IG68">
        <v>21</v>
      </c>
      <c r="IH68">
        <v>25</v>
      </c>
      <c r="II68">
        <v>15</v>
      </c>
      <c r="IJ68">
        <v>15</v>
      </c>
      <c r="IK68">
        <v>18</v>
      </c>
      <c r="IL68">
        <v>13</v>
      </c>
      <c r="IM68">
        <v>22</v>
      </c>
      <c r="IN68">
        <v>12</v>
      </c>
      <c r="IO68">
        <v>16</v>
      </c>
    </row>
    <row r="69" spans="1:249" x14ac:dyDescent="0.35">
      <c r="A69">
        <v>146.99600000000001</v>
      </c>
      <c r="D69" s="2">
        <v>134.78</v>
      </c>
      <c r="H69">
        <v>292.73200000000003</v>
      </c>
      <c r="BM69">
        <v>56.945999999999998</v>
      </c>
      <c r="BP69" s="2">
        <v>13.023999999999999</v>
      </c>
      <c r="BV69">
        <v>293.27</v>
      </c>
      <c r="DM69">
        <v>82.816999999999993</v>
      </c>
      <c r="DT69">
        <v>354.52699999999999</v>
      </c>
      <c r="GB69">
        <v>325</v>
      </c>
      <c r="GC69">
        <v>31</v>
      </c>
      <c r="GD69">
        <v>11</v>
      </c>
      <c r="GE69">
        <v>27</v>
      </c>
      <c r="GF69">
        <v>4</v>
      </c>
      <c r="GG69">
        <v>10</v>
      </c>
      <c r="GH69">
        <v>13</v>
      </c>
      <c r="GI69">
        <v>12</v>
      </c>
      <c r="GJ69">
        <v>1</v>
      </c>
      <c r="GK69">
        <v>4</v>
      </c>
      <c r="GL69">
        <v>12</v>
      </c>
      <c r="GM69">
        <v>9</v>
      </c>
      <c r="GN69">
        <v>9</v>
      </c>
      <c r="GO69">
        <v>4</v>
      </c>
      <c r="GQ69">
        <v>7</v>
      </c>
      <c r="GR69">
        <v>11</v>
      </c>
      <c r="GS69">
        <v>2</v>
      </c>
      <c r="GT69">
        <v>5</v>
      </c>
      <c r="GU69">
        <v>7</v>
      </c>
      <c r="GV69">
        <v>7</v>
      </c>
      <c r="GW69">
        <v>6</v>
      </c>
      <c r="GX69">
        <v>6</v>
      </c>
      <c r="GY69">
        <v>10</v>
      </c>
      <c r="GZ69">
        <v>4</v>
      </c>
      <c r="HA69">
        <v>13</v>
      </c>
      <c r="HB69">
        <v>16</v>
      </c>
      <c r="HC69">
        <v>12</v>
      </c>
      <c r="HD69">
        <v>11</v>
      </c>
      <c r="HG69">
        <v>325</v>
      </c>
      <c r="HH69">
        <v>8</v>
      </c>
      <c r="HI69">
        <v>20</v>
      </c>
      <c r="HJ69">
        <v>6</v>
      </c>
      <c r="HK69">
        <v>9</v>
      </c>
      <c r="HL69">
        <v>17</v>
      </c>
      <c r="HM69">
        <v>10</v>
      </c>
      <c r="HN69">
        <v>9</v>
      </c>
      <c r="HO69">
        <v>4</v>
      </c>
      <c r="HP69">
        <v>6</v>
      </c>
      <c r="HQ69">
        <v>4</v>
      </c>
      <c r="HR69">
        <v>15</v>
      </c>
      <c r="HS69">
        <v>18</v>
      </c>
      <c r="HT69">
        <v>23</v>
      </c>
      <c r="HU69">
        <v>22</v>
      </c>
      <c r="HV69">
        <v>8</v>
      </c>
      <c r="HY69">
        <v>325</v>
      </c>
      <c r="HZ69">
        <v>10</v>
      </c>
      <c r="IA69">
        <v>12</v>
      </c>
      <c r="IB69">
        <v>6</v>
      </c>
      <c r="IC69">
        <v>21</v>
      </c>
      <c r="ID69">
        <v>3</v>
      </c>
      <c r="IE69">
        <v>5</v>
      </c>
      <c r="IF69">
        <v>9</v>
      </c>
      <c r="IG69">
        <v>29</v>
      </c>
      <c r="IH69">
        <v>26</v>
      </c>
      <c r="II69">
        <v>13</v>
      </c>
      <c r="IJ69">
        <v>14</v>
      </c>
      <c r="IK69">
        <v>15</v>
      </c>
      <c r="IL69">
        <v>13</v>
      </c>
      <c r="IM69">
        <v>22</v>
      </c>
      <c r="IN69">
        <v>12</v>
      </c>
      <c r="IO69">
        <v>17</v>
      </c>
    </row>
    <row r="70" spans="1:249" x14ac:dyDescent="0.35">
      <c r="A70">
        <v>113.113</v>
      </c>
      <c r="D70" s="10">
        <v>132.87799999999999</v>
      </c>
      <c r="H70" s="8">
        <v>292.11599999999999</v>
      </c>
      <c r="BM70">
        <v>171.69399999999999</v>
      </c>
      <c r="BV70">
        <v>291.16800000000001</v>
      </c>
      <c r="DM70">
        <v>58.905000000000001</v>
      </c>
      <c r="DT70">
        <v>347.64499999999998</v>
      </c>
      <c r="GB70">
        <v>330</v>
      </c>
      <c r="GC70">
        <v>35</v>
      </c>
      <c r="GD70">
        <v>12</v>
      </c>
      <c r="GE70">
        <v>34</v>
      </c>
      <c r="GF70">
        <v>4</v>
      </c>
      <c r="GG70">
        <v>3</v>
      </c>
      <c r="GH70">
        <v>14</v>
      </c>
      <c r="GI70">
        <v>12</v>
      </c>
      <c r="GJ70">
        <v>1</v>
      </c>
      <c r="GK70">
        <v>4</v>
      </c>
      <c r="GL70">
        <v>11</v>
      </c>
      <c r="GM70">
        <v>8</v>
      </c>
      <c r="GN70">
        <v>9</v>
      </c>
      <c r="GO70">
        <v>4</v>
      </c>
      <c r="GQ70">
        <v>6</v>
      </c>
      <c r="GR70">
        <v>10</v>
      </c>
      <c r="GS70">
        <v>2</v>
      </c>
      <c r="GT70">
        <v>6</v>
      </c>
      <c r="GU70">
        <v>7</v>
      </c>
      <c r="GV70">
        <v>7</v>
      </c>
      <c r="GW70">
        <v>6</v>
      </c>
      <c r="GX70">
        <v>6</v>
      </c>
      <c r="GY70">
        <v>10</v>
      </c>
      <c r="GZ70">
        <v>4</v>
      </c>
      <c r="HA70">
        <v>12</v>
      </c>
      <c r="HB70">
        <v>17</v>
      </c>
      <c r="HC70">
        <v>12</v>
      </c>
      <c r="HD70">
        <v>10</v>
      </c>
      <c r="HG70">
        <v>330</v>
      </c>
      <c r="HH70">
        <v>8</v>
      </c>
      <c r="HI70">
        <v>20</v>
      </c>
      <c r="HJ70">
        <v>6</v>
      </c>
      <c r="HK70">
        <v>9</v>
      </c>
      <c r="HL70">
        <v>17</v>
      </c>
      <c r="HM70">
        <v>10</v>
      </c>
      <c r="HN70">
        <v>9</v>
      </c>
      <c r="HO70">
        <v>4</v>
      </c>
      <c r="HP70">
        <v>7</v>
      </c>
      <c r="HQ70">
        <v>4</v>
      </c>
      <c r="HR70">
        <v>15</v>
      </c>
      <c r="HS70">
        <v>19</v>
      </c>
      <c r="HT70">
        <v>23</v>
      </c>
      <c r="HU70">
        <v>21</v>
      </c>
      <c r="HV70">
        <v>8</v>
      </c>
      <c r="HY70">
        <v>330</v>
      </c>
      <c r="HZ70">
        <v>9</v>
      </c>
      <c r="IA70">
        <v>12</v>
      </c>
      <c r="IB70">
        <v>6</v>
      </c>
      <c r="IC70">
        <v>21</v>
      </c>
      <c r="ID70">
        <v>3</v>
      </c>
      <c r="IE70">
        <v>5</v>
      </c>
      <c r="IF70">
        <v>9</v>
      </c>
      <c r="IG70">
        <v>22</v>
      </c>
      <c r="IH70">
        <v>24</v>
      </c>
      <c r="II70">
        <v>14</v>
      </c>
      <c r="IJ70">
        <v>13</v>
      </c>
      <c r="IK70">
        <v>15</v>
      </c>
      <c r="IL70">
        <v>15</v>
      </c>
      <c r="IM70">
        <v>23</v>
      </c>
      <c r="IN70">
        <v>12</v>
      </c>
      <c r="IO70">
        <v>17</v>
      </c>
    </row>
    <row r="71" spans="1:249" x14ac:dyDescent="0.35">
      <c r="A71">
        <v>177.91300000000001</v>
      </c>
      <c r="D71" s="2">
        <v>130.773</v>
      </c>
      <c r="H71">
        <v>289.33800000000002</v>
      </c>
      <c r="BM71">
        <v>158.53800000000001</v>
      </c>
      <c r="BV71">
        <v>287.88600000000002</v>
      </c>
      <c r="DM71">
        <v>57.91</v>
      </c>
      <c r="DT71">
        <v>343.83699999999999</v>
      </c>
      <c r="GB71">
        <v>335</v>
      </c>
      <c r="GC71">
        <v>36</v>
      </c>
      <c r="GD71">
        <v>12</v>
      </c>
      <c r="GE71">
        <v>31</v>
      </c>
      <c r="GF71">
        <v>4</v>
      </c>
      <c r="GG71">
        <v>3</v>
      </c>
      <c r="GH71">
        <v>13</v>
      </c>
      <c r="GI71">
        <v>11</v>
      </c>
      <c r="GJ71">
        <v>1</v>
      </c>
      <c r="GK71">
        <v>4</v>
      </c>
      <c r="GL71">
        <v>10</v>
      </c>
      <c r="GM71">
        <v>8</v>
      </c>
      <c r="GN71">
        <v>9</v>
      </c>
      <c r="GO71">
        <v>3</v>
      </c>
      <c r="GQ71">
        <v>6</v>
      </c>
      <c r="GR71">
        <v>10</v>
      </c>
      <c r="GS71">
        <v>2</v>
      </c>
      <c r="GT71">
        <v>6</v>
      </c>
      <c r="GU71">
        <v>9</v>
      </c>
      <c r="GV71">
        <v>9</v>
      </c>
      <c r="GW71">
        <v>8</v>
      </c>
      <c r="GX71">
        <v>6</v>
      </c>
      <c r="GY71">
        <v>9</v>
      </c>
      <c r="GZ71">
        <v>4</v>
      </c>
      <c r="HA71">
        <v>11</v>
      </c>
      <c r="HB71">
        <v>12</v>
      </c>
      <c r="HC71">
        <v>10</v>
      </c>
      <c r="HD71">
        <v>9</v>
      </c>
      <c r="HG71">
        <v>335</v>
      </c>
      <c r="HH71">
        <v>8</v>
      </c>
      <c r="HI71">
        <v>20</v>
      </c>
      <c r="HJ71">
        <v>6</v>
      </c>
      <c r="HK71">
        <v>9</v>
      </c>
      <c r="HL71">
        <v>17</v>
      </c>
      <c r="HM71">
        <v>10</v>
      </c>
      <c r="HN71">
        <v>9</v>
      </c>
      <c r="HO71">
        <v>3</v>
      </c>
      <c r="HP71">
        <v>7</v>
      </c>
      <c r="HQ71">
        <v>4</v>
      </c>
      <c r="HR71">
        <v>15</v>
      </c>
      <c r="HS71">
        <v>19</v>
      </c>
      <c r="HT71">
        <v>22</v>
      </c>
      <c r="HU71">
        <v>21</v>
      </c>
      <c r="HV71">
        <v>8</v>
      </c>
      <c r="HY71">
        <v>335</v>
      </c>
      <c r="HZ71">
        <v>9</v>
      </c>
      <c r="IA71">
        <v>13</v>
      </c>
      <c r="IB71">
        <v>6</v>
      </c>
      <c r="IC71">
        <v>23</v>
      </c>
      <c r="ID71">
        <v>3</v>
      </c>
      <c r="IE71">
        <v>5</v>
      </c>
      <c r="IF71">
        <v>8</v>
      </c>
      <c r="IG71">
        <v>21</v>
      </c>
      <c r="IH71">
        <v>23</v>
      </c>
      <c r="II71">
        <v>13</v>
      </c>
      <c r="IJ71">
        <v>13</v>
      </c>
      <c r="IK71">
        <v>13</v>
      </c>
      <c r="IL71">
        <v>16</v>
      </c>
      <c r="IM71">
        <v>23</v>
      </c>
      <c r="IN71">
        <v>12</v>
      </c>
      <c r="IO71">
        <v>18</v>
      </c>
    </row>
    <row r="72" spans="1:249" x14ac:dyDescent="0.35">
      <c r="A72">
        <v>206.56399999999999</v>
      </c>
      <c r="D72" s="2">
        <v>130.773</v>
      </c>
      <c r="H72">
        <v>283.07499999999999</v>
      </c>
      <c r="BM72">
        <v>47.210999999999999</v>
      </c>
      <c r="BV72">
        <v>284.815</v>
      </c>
      <c r="DM72">
        <v>82.361999999999995</v>
      </c>
      <c r="DT72">
        <v>342.09899999999999</v>
      </c>
      <c r="GB72">
        <v>340</v>
      </c>
      <c r="GC72">
        <v>44</v>
      </c>
      <c r="GD72">
        <v>12</v>
      </c>
      <c r="GE72">
        <v>29</v>
      </c>
      <c r="GF72">
        <v>4</v>
      </c>
      <c r="GG72">
        <v>2</v>
      </c>
      <c r="GH72">
        <v>12</v>
      </c>
      <c r="GI72">
        <v>12</v>
      </c>
      <c r="GJ72">
        <v>1</v>
      </c>
      <c r="GK72">
        <v>4</v>
      </c>
      <c r="GL72">
        <v>10</v>
      </c>
      <c r="GM72">
        <v>9</v>
      </c>
      <c r="GN72">
        <v>9</v>
      </c>
      <c r="GO72">
        <v>3</v>
      </c>
      <c r="GQ72">
        <v>6</v>
      </c>
      <c r="GR72">
        <v>10</v>
      </c>
      <c r="GS72">
        <v>1</v>
      </c>
      <c r="GT72">
        <v>6</v>
      </c>
      <c r="GU72">
        <v>8</v>
      </c>
      <c r="GV72">
        <v>11</v>
      </c>
      <c r="GW72">
        <v>5</v>
      </c>
      <c r="GX72">
        <v>6</v>
      </c>
      <c r="GY72">
        <v>8</v>
      </c>
      <c r="GZ72">
        <v>4</v>
      </c>
      <c r="HA72">
        <v>12</v>
      </c>
      <c r="HB72">
        <v>14</v>
      </c>
      <c r="HC72">
        <v>9</v>
      </c>
      <c r="HD72">
        <v>9</v>
      </c>
      <c r="HG72">
        <v>340</v>
      </c>
      <c r="HH72">
        <v>8</v>
      </c>
      <c r="HI72">
        <v>19</v>
      </c>
      <c r="HJ72">
        <v>6</v>
      </c>
      <c r="HK72">
        <v>9</v>
      </c>
      <c r="HL72">
        <v>17</v>
      </c>
      <c r="HM72">
        <v>8</v>
      </c>
      <c r="HN72">
        <v>9</v>
      </c>
      <c r="HO72">
        <v>3</v>
      </c>
      <c r="HP72">
        <v>10</v>
      </c>
      <c r="HQ72">
        <v>3</v>
      </c>
      <c r="HR72">
        <v>15</v>
      </c>
      <c r="HS72">
        <v>19</v>
      </c>
      <c r="HT72">
        <v>23</v>
      </c>
      <c r="HU72">
        <v>19</v>
      </c>
      <c r="HV72">
        <v>8</v>
      </c>
      <c r="HY72">
        <v>340</v>
      </c>
      <c r="HZ72">
        <v>9</v>
      </c>
      <c r="IA72">
        <v>13</v>
      </c>
      <c r="IB72">
        <v>5</v>
      </c>
      <c r="IC72">
        <v>23</v>
      </c>
      <c r="ID72">
        <v>3</v>
      </c>
      <c r="IE72">
        <v>5</v>
      </c>
      <c r="IF72">
        <v>6</v>
      </c>
      <c r="IG72">
        <v>20</v>
      </c>
      <c r="IH72">
        <v>23</v>
      </c>
      <c r="II72">
        <v>12</v>
      </c>
      <c r="IJ72">
        <v>12</v>
      </c>
      <c r="IK72">
        <v>12</v>
      </c>
      <c r="IL72">
        <v>16</v>
      </c>
      <c r="IM72">
        <v>22</v>
      </c>
      <c r="IN72">
        <v>12</v>
      </c>
      <c r="IO72">
        <v>18</v>
      </c>
    </row>
    <row r="73" spans="1:249" x14ac:dyDescent="0.35">
      <c r="A73">
        <v>44.146999999999998</v>
      </c>
      <c r="D73" s="2">
        <v>126.717</v>
      </c>
      <c r="H73">
        <v>282.26799999999997</v>
      </c>
      <c r="BM73">
        <v>17.274000000000001</v>
      </c>
      <c r="BV73">
        <v>283.80599999999998</v>
      </c>
      <c r="DT73">
        <v>341.06799999999998</v>
      </c>
      <c r="GB73">
        <v>345</v>
      </c>
      <c r="GC73">
        <v>39</v>
      </c>
      <c r="GD73">
        <v>11</v>
      </c>
      <c r="GE73">
        <v>25</v>
      </c>
      <c r="GF73">
        <v>5</v>
      </c>
      <c r="GG73">
        <v>2</v>
      </c>
      <c r="GH73">
        <v>12</v>
      </c>
      <c r="GI73">
        <v>12</v>
      </c>
      <c r="GJ73">
        <v>1</v>
      </c>
      <c r="GK73">
        <v>6</v>
      </c>
      <c r="GL73">
        <v>9</v>
      </c>
      <c r="GM73">
        <v>9</v>
      </c>
      <c r="GN73">
        <v>8</v>
      </c>
      <c r="GO73">
        <v>3</v>
      </c>
      <c r="GQ73">
        <v>5</v>
      </c>
      <c r="GR73">
        <v>10</v>
      </c>
      <c r="GS73">
        <v>1</v>
      </c>
      <c r="GT73">
        <v>6</v>
      </c>
      <c r="GU73">
        <v>8</v>
      </c>
      <c r="GV73">
        <v>13</v>
      </c>
      <c r="GW73">
        <v>5</v>
      </c>
      <c r="GX73">
        <v>6</v>
      </c>
      <c r="GY73">
        <v>7</v>
      </c>
      <c r="GZ73">
        <v>4</v>
      </c>
      <c r="HA73">
        <v>12</v>
      </c>
      <c r="HB73">
        <v>14</v>
      </c>
      <c r="HC73">
        <v>9</v>
      </c>
      <c r="HD73">
        <v>8</v>
      </c>
      <c r="HG73">
        <v>345</v>
      </c>
      <c r="HH73">
        <v>8</v>
      </c>
      <c r="HI73">
        <v>18</v>
      </c>
      <c r="HJ73">
        <v>6</v>
      </c>
      <c r="HK73">
        <v>9</v>
      </c>
      <c r="HL73">
        <v>17</v>
      </c>
      <c r="HM73">
        <v>8</v>
      </c>
      <c r="HN73">
        <v>9</v>
      </c>
      <c r="HO73">
        <v>3</v>
      </c>
      <c r="HP73">
        <v>13</v>
      </c>
      <c r="HQ73">
        <v>3</v>
      </c>
      <c r="HR73">
        <v>16</v>
      </c>
      <c r="HS73">
        <v>19</v>
      </c>
      <c r="HT73">
        <v>22</v>
      </c>
      <c r="HU73">
        <v>15</v>
      </c>
      <c r="HV73">
        <v>8</v>
      </c>
      <c r="HY73">
        <v>345</v>
      </c>
      <c r="HZ73">
        <v>9</v>
      </c>
      <c r="IA73">
        <v>13</v>
      </c>
      <c r="IB73">
        <v>5</v>
      </c>
      <c r="IC73">
        <v>22</v>
      </c>
      <c r="ID73">
        <v>3</v>
      </c>
      <c r="IE73">
        <v>5</v>
      </c>
      <c r="IF73">
        <v>5</v>
      </c>
      <c r="IG73">
        <v>20</v>
      </c>
      <c r="IH73">
        <v>23</v>
      </c>
      <c r="II73">
        <v>10</v>
      </c>
      <c r="IJ73">
        <v>15</v>
      </c>
      <c r="IK73">
        <v>12</v>
      </c>
      <c r="IL73">
        <v>16</v>
      </c>
      <c r="IM73">
        <v>21</v>
      </c>
      <c r="IN73">
        <v>11</v>
      </c>
      <c r="IO73">
        <v>18</v>
      </c>
    </row>
    <row r="74" spans="1:249" x14ac:dyDescent="0.35">
      <c r="A74">
        <v>33.277000000000001</v>
      </c>
      <c r="D74" s="2">
        <v>122.819</v>
      </c>
      <c r="H74" s="8">
        <v>280.92700000000002</v>
      </c>
      <c r="BM74">
        <v>85.477999999999994</v>
      </c>
      <c r="BV74">
        <v>281.39</v>
      </c>
      <c r="DM74">
        <v>195.292</v>
      </c>
      <c r="DT74">
        <v>340.85199999999998</v>
      </c>
      <c r="GB74">
        <v>350</v>
      </c>
      <c r="GC74">
        <v>38</v>
      </c>
      <c r="GD74">
        <v>10</v>
      </c>
      <c r="GE74">
        <v>28</v>
      </c>
      <c r="GF74">
        <v>5</v>
      </c>
      <c r="GG74">
        <v>2</v>
      </c>
      <c r="GH74">
        <v>10</v>
      </c>
      <c r="GI74">
        <v>11</v>
      </c>
      <c r="GJ74">
        <v>1</v>
      </c>
      <c r="GK74">
        <v>5</v>
      </c>
      <c r="GL74">
        <v>9</v>
      </c>
      <c r="GM74">
        <v>7</v>
      </c>
      <c r="GN74">
        <v>8</v>
      </c>
      <c r="GO74">
        <v>3</v>
      </c>
      <c r="GQ74">
        <v>5</v>
      </c>
      <c r="GR74">
        <v>10</v>
      </c>
      <c r="GS74">
        <v>1</v>
      </c>
      <c r="GT74">
        <v>7</v>
      </c>
      <c r="GU74">
        <v>7</v>
      </c>
      <c r="GV74">
        <v>13</v>
      </c>
      <c r="GW74">
        <v>6</v>
      </c>
      <c r="GX74">
        <v>6</v>
      </c>
      <c r="GY74">
        <v>7</v>
      </c>
      <c r="GZ74">
        <v>4</v>
      </c>
      <c r="HA74">
        <v>13</v>
      </c>
      <c r="HB74">
        <v>10</v>
      </c>
      <c r="HC74">
        <v>9</v>
      </c>
      <c r="HD74">
        <v>7</v>
      </c>
      <c r="HG74">
        <v>350</v>
      </c>
      <c r="HH74">
        <v>8</v>
      </c>
      <c r="HI74">
        <v>18</v>
      </c>
      <c r="HJ74">
        <v>6</v>
      </c>
      <c r="HK74">
        <v>10</v>
      </c>
      <c r="HL74">
        <v>15</v>
      </c>
      <c r="HM74">
        <v>7</v>
      </c>
      <c r="HN74">
        <v>9</v>
      </c>
      <c r="HO74">
        <v>3</v>
      </c>
      <c r="HP74">
        <v>13</v>
      </c>
      <c r="HQ74">
        <v>2</v>
      </c>
      <c r="HR74">
        <v>13</v>
      </c>
      <c r="HS74">
        <v>18</v>
      </c>
      <c r="HT74">
        <v>22</v>
      </c>
      <c r="HU74">
        <v>15</v>
      </c>
      <c r="HV74">
        <v>8</v>
      </c>
      <c r="HY74">
        <v>350</v>
      </c>
      <c r="HZ74">
        <v>9</v>
      </c>
      <c r="IA74">
        <v>12</v>
      </c>
      <c r="IB74">
        <v>5</v>
      </c>
      <c r="IC74">
        <v>21</v>
      </c>
      <c r="ID74">
        <v>3</v>
      </c>
      <c r="IE74">
        <v>5</v>
      </c>
      <c r="IF74">
        <v>5</v>
      </c>
      <c r="IG74">
        <v>19</v>
      </c>
      <c r="IH74">
        <v>21</v>
      </c>
      <c r="II74">
        <v>9</v>
      </c>
      <c r="IJ74">
        <v>16</v>
      </c>
      <c r="IK74">
        <v>13</v>
      </c>
      <c r="IL74">
        <v>15</v>
      </c>
      <c r="IM74">
        <v>19</v>
      </c>
      <c r="IN74">
        <v>13</v>
      </c>
      <c r="IO74">
        <v>18</v>
      </c>
    </row>
    <row r="75" spans="1:249" x14ac:dyDescent="0.35">
      <c r="A75">
        <v>75.281999999999996</v>
      </c>
      <c r="D75" s="2">
        <v>118.328</v>
      </c>
      <c r="H75">
        <v>280.20999999999998</v>
      </c>
      <c r="J75" s="8"/>
      <c r="BM75">
        <v>102.43600000000001</v>
      </c>
      <c r="BV75">
        <v>280.52300000000002</v>
      </c>
      <c r="DM75">
        <v>143.30600000000001</v>
      </c>
      <c r="DT75">
        <v>340.04300000000001</v>
      </c>
      <c r="GB75">
        <v>355</v>
      </c>
      <c r="GC75">
        <v>38</v>
      </c>
      <c r="GD75">
        <v>10</v>
      </c>
      <c r="GE75">
        <v>21</v>
      </c>
      <c r="GF75">
        <v>5</v>
      </c>
      <c r="GG75">
        <v>2</v>
      </c>
      <c r="GH75">
        <v>11</v>
      </c>
      <c r="GI75">
        <v>11</v>
      </c>
      <c r="GJ75">
        <v>1</v>
      </c>
      <c r="GK75">
        <v>7</v>
      </c>
      <c r="GL75">
        <v>8</v>
      </c>
      <c r="GM75">
        <v>7</v>
      </c>
      <c r="GN75">
        <v>8</v>
      </c>
      <c r="GO75">
        <v>3</v>
      </c>
      <c r="GQ75">
        <v>4</v>
      </c>
      <c r="GR75">
        <v>10</v>
      </c>
      <c r="GS75">
        <v>1</v>
      </c>
      <c r="GT75">
        <v>7</v>
      </c>
      <c r="GU75">
        <v>6</v>
      </c>
      <c r="GV75">
        <v>12</v>
      </c>
      <c r="GW75">
        <v>6</v>
      </c>
      <c r="GX75">
        <v>6</v>
      </c>
      <c r="GY75">
        <v>7</v>
      </c>
      <c r="GZ75">
        <v>4</v>
      </c>
      <c r="HA75">
        <v>12</v>
      </c>
      <c r="HB75">
        <v>10</v>
      </c>
      <c r="HC75">
        <v>9</v>
      </c>
      <c r="HD75">
        <v>8</v>
      </c>
      <c r="HG75">
        <v>355</v>
      </c>
      <c r="HH75">
        <v>7</v>
      </c>
      <c r="HI75">
        <v>18</v>
      </c>
      <c r="HJ75">
        <v>6</v>
      </c>
      <c r="HK75">
        <v>10</v>
      </c>
      <c r="HL75">
        <v>14</v>
      </c>
      <c r="HM75">
        <v>7</v>
      </c>
      <c r="HN75">
        <v>9</v>
      </c>
      <c r="HO75">
        <v>3</v>
      </c>
      <c r="HP75">
        <v>16</v>
      </c>
      <c r="HQ75">
        <v>2</v>
      </c>
      <c r="HR75">
        <v>13</v>
      </c>
      <c r="HS75">
        <v>17</v>
      </c>
      <c r="HT75">
        <v>21</v>
      </c>
      <c r="HU75">
        <v>15</v>
      </c>
      <c r="HV75">
        <v>8</v>
      </c>
      <c r="HY75">
        <v>355</v>
      </c>
      <c r="HZ75">
        <v>9</v>
      </c>
      <c r="IA75">
        <v>12</v>
      </c>
      <c r="IB75">
        <v>5</v>
      </c>
      <c r="IC75">
        <v>20</v>
      </c>
      <c r="ID75">
        <v>3</v>
      </c>
      <c r="IE75">
        <v>5</v>
      </c>
      <c r="IF75">
        <v>4</v>
      </c>
      <c r="IG75">
        <v>18</v>
      </c>
      <c r="IH75">
        <v>20</v>
      </c>
      <c r="II75">
        <v>9</v>
      </c>
      <c r="IJ75">
        <v>12</v>
      </c>
      <c r="IK75">
        <v>14</v>
      </c>
      <c r="IL75">
        <v>14</v>
      </c>
      <c r="IM75">
        <v>21</v>
      </c>
      <c r="IN75">
        <v>12</v>
      </c>
      <c r="IO75">
        <v>18</v>
      </c>
    </row>
    <row r="76" spans="1:249" x14ac:dyDescent="0.35">
      <c r="A76">
        <v>67.977999999999994</v>
      </c>
      <c r="D76" s="2">
        <v>116.723</v>
      </c>
      <c r="H76">
        <v>278.63200000000001</v>
      </c>
      <c r="BM76">
        <v>81.867000000000004</v>
      </c>
      <c r="BV76">
        <v>278.584</v>
      </c>
      <c r="DM76">
        <v>80.834000000000003</v>
      </c>
      <c r="DT76">
        <v>335.42399999999998</v>
      </c>
      <c r="GB76">
        <v>360</v>
      </c>
      <c r="GC76">
        <v>35</v>
      </c>
      <c r="GD76">
        <v>10</v>
      </c>
      <c r="GE76">
        <v>17</v>
      </c>
      <c r="GF76">
        <v>5</v>
      </c>
      <c r="GG76">
        <v>5</v>
      </c>
      <c r="GH76">
        <v>11</v>
      </c>
      <c r="GI76">
        <v>13</v>
      </c>
      <c r="GJ76">
        <v>1</v>
      </c>
      <c r="GK76">
        <v>5</v>
      </c>
      <c r="GL76">
        <v>7</v>
      </c>
      <c r="GM76">
        <v>7</v>
      </c>
      <c r="GN76">
        <v>7</v>
      </c>
      <c r="GO76">
        <v>3</v>
      </c>
      <c r="GP76">
        <v>1</v>
      </c>
      <c r="GQ76">
        <v>4</v>
      </c>
      <c r="GR76">
        <v>11</v>
      </c>
      <c r="GS76">
        <v>1</v>
      </c>
      <c r="GT76">
        <v>5</v>
      </c>
      <c r="GU76">
        <v>6</v>
      </c>
      <c r="GV76">
        <v>13</v>
      </c>
      <c r="GW76">
        <v>6</v>
      </c>
      <c r="GX76">
        <v>5</v>
      </c>
      <c r="GY76">
        <v>7</v>
      </c>
      <c r="GZ76">
        <v>4</v>
      </c>
      <c r="HA76">
        <v>11</v>
      </c>
      <c r="HB76">
        <v>11</v>
      </c>
      <c r="HC76">
        <v>9</v>
      </c>
      <c r="HD76">
        <v>8</v>
      </c>
      <c r="HG76">
        <v>360</v>
      </c>
      <c r="HH76">
        <v>7</v>
      </c>
      <c r="HI76">
        <v>18</v>
      </c>
      <c r="HJ76">
        <v>6</v>
      </c>
      <c r="HK76">
        <v>10</v>
      </c>
      <c r="HL76">
        <v>13</v>
      </c>
      <c r="HM76">
        <v>7</v>
      </c>
      <c r="HN76">
        <v>10</v>
      </c>
      <c r="HO76">
        <v>3</v>
      </c>
      <c r="HP76">
        <v>17</v>
      </c>
      <c r="HQ76">
        <v>2</v>
      </c>
      <c r="HR76">
        <v>11</v>
      </c>
      <c r="HS76">
        <v>17</v>
      </c>
      <c r="HT76">
        <v>23</v>
      </c>
      <c r="HU76">
        <v>14</v>
      </c>
      <c r="HV76">
        <v>8</v>
      </c>
      <c r="HY76">
        <v>360</v>
      </c>
      <c r="HZ76">
        <v>9</v>
      </c>
      <c r="IA76">
        <v>12</v>
      </c>
      <c r="IB76">
        <v>4</v>
      </c>
      <c r="IC76">
        <v>19</v>
      </c>
      <c r="ID76">
        <v>3</v>
      </c>
      <c r="IE76">
        <v>5</v>
      </c>
      <c r="IF76">
        <v>4</v>
      </c>
      <c r="IG76">
        <v>18</v>
      </c>
      <c r="IH76">
        <v>20</v>
      </c>
      <c r="II76">
        <v>8</v>
      </c>
      <c r="IJ76">
        <v>12</v>
      </c>
      <c r="IK76">
        <v>9</v>
      </c>
      <c r="IL76">
        <v>14</v>
      </c>
      <c r="IM76">
        <v>19</v>
      </c>
      <c r="IN76">
        <v>12</v>
      </c>
      <c r="IO76">
        <v>17</v>
      </c>
    </row>
    <row r="77" spans="1:249" x14ac:dyDescent="0.35">
      <c r="A77">
        <v>93.588999999999999</v>
      </c>
      <c r="D77" s="2">
        <v>111.217</v>
      </c>
      <c r="H77">
        <v>277.613</v>
      </c>
      <c r="BM77">
        <v>81.236999999999995</v>
      </c>
      <c r="BV77">
        <v>278.45499999999998</v>
      </c>
      <c r="DM77">
        <v>45.819000000000003</v>
      </c>
      <c r="DT77">
        <v>335.23099999999999</v>
      </c>
      <c r="GB77">
        <v>365</v>
      </c>
      <c r="GC77">
        <v>40</v>
      </c>
      <c r="GD77">
        <v>10</v>
      </c>
      <c r="GE77">
        <v>12</v>
      </c>
      <c r="GF77">
        <v>5</v>
      </c>
      <c r="GG77">
        <v>5</v>
      </c>
      <c r="GH77">
        <v>11</v>
      </c>
      <c r="GI77">
        <v>11</v>
      </c>
      <c r="GJ77">
        <v>1</v>
      </c>
      <c r="GK77">
        <v>5</v>
      </c>
      <c r="GL77">
        <v>11</v>
      </c>
      <c r="GM77">
        <v>7</v>
      </c>
      <c r="GN77">
        <v>7</v>
      </c>
      <c r="GO77">
        <v>4</v>
      </c>
      <c r="GP77">
        <v>1</v>
      </c>
      <c r="GQ77">
        <v>4</v>
      </c>
      <c r="GR77">
        <v>13</v>
      </c>
      <c r="GS77">
        <v>1</v>
      </c>
      <c r="GT77">
        <v>5</v>
      </c>
      <c r="GU77">
        <v>4</v>
      </c>
      <c r="GV77">
        <v>15</v>
      </c>
      <c r="GW77">
        <v>7</v>
      </c>
      <c r="GX77">
        <v>5</v>
      </c>
      <c r="GY77">
        <v>7</v>
      </c>
      <c r="GZ77">
        <v>3</v>
      </c>
      <c r="HA77">
        <v>11</v>
      </c>
      <c r="HB77">
        <v>13</v>
      </c>
      <c r="HC77">
        <v>9</v>
      </c>
      <c r="HD77">
        <v>7</v>
      </c>
      <c r="HG77">
        <v>365</v>
      </c>
      <c r="HH77">
        <v>7</v>
      </c>
      <c r="HI77">
        <v>17</v>
      </c>
      <c r="HJ77">
        <v>6</v>
      </c>
      <c r="HK77">
        <v>10</v>
      </c>
      <c r="HL77">
        <v>13</v>
      </c>
      <c r="HM77">
        <v>7</v>
      </c>
      <c r="HN77">
        <v>10</v>
      </c>
      <c r="HO77">
        <v>3</v>
      </c>
      <c r="HP77">
        <v>14</v>
      </c>
      <c r="HQ77">
        <v>2</v>
      </c>
      <c r="HR77">
        <v>10</v>
      </c>
      <c r="HS77">
        <v>17</v>
      </c>
      <c r="HT77">
        <v>19</v>
      </c>
      <c r="HU77">
        <v>14</v>
      </c>
      <c r="HV77">
        <v>8</v>
      </c>
      <c r="HY77">
        <v>365</v>
      </c>
      <c r="HZ77">
        <v>9</v>
      </c>
      <c r="IA77">
        <v>12</v>
      </c>
      <c r="IB77">
        <v>2</v>
      </c>
      <c r="IC77">
        <v>19</v>
      </c>
      <c r="ID77">
        <v>3</v>
      </c>
      <c r="IE77">
        <v>5</v>
      </c>
      <c r="IF77">
        <v>4</v>
      </c>
      <c r="IG77">
        <v>18</v>
      </c>
      <c r="IH77">
        <v>20</v>
      </c>
      <c r="II77">
        <v>8</v>
      </c>
      <c r="IJ77">
        <v>12</v>
      </c>
      <c r="IK77">
        <v>8</v>
      </c>
      <c r="IL77">
        <v>14</v>
      </c>
      <c r="IM77">
        <v>18</v>
      </c>
      <c r="IN77">
        <v>12</v>
      </c>
      <c r="IO77">
        <v>16</v>
      </c>
    </row>
    <row r="78" spans="1:249" x14ac:dyDescent="0.35">
      <c r="A78">
        <v>49.345999999999997</v>
      </c>
      <c r="D78" s="2">
        <v>108.25</v>
      </c>
      <c r="H78">
        <v>274.19600000000003</v>
      </c>
      <c r="BM78">
        <v>106.05800000000001</v>
      </c>
      <c r="BV78">
        <v>278.37900000000002</v>
      </c>
      <c r="DM78">
        <v>10.247</v>
      </c>
      <c r="DT78">
        <v>334.61599999999999</v>
      </c>
      <c r="GB78">
        <v>370</v>
      </c>
      <c r="GC78">
        <v>33</v>
      </c>
      <c r="GD78">
        <v>10</v>
      </c>
      <c r="GE78">
        <v>11</v>
      </c>
      <c r="GF78">
        <v>5</v>
      </c>
      <c r="GG78">
        <v>2</v>
      </c>
      <c r="GH78">
        <v>11</v>
      </c>
      <c r="GI78">
        <v>12</v>
      </c>
      <c r="GJ78">
        <v>2</v>
      </c>
      <c r="GK78">
        <v>5</v>
      </c>
      <c r="GL78">
        <v>10</v>
      </c>
      <c r="GM78">
        <v>7</v>
      </c>
      <c r="GN78">
        <v>8</v>
      </c>
      <c r="GO78">
        <v>4</v>
      </c>
      <c r="GP78">
        <v>1</v>
      </c>
      <c r="GQ78">
        <v>4</v>
      </c>
      <c r="GR78">
        <v>12</v>
      </c>
      <c r="GS78">
        <v>1</v>
      </c>
      <c r="GT78">
        <v>5</v>
      </c>
      <c r="GU78">
        <v>4</v>
      </c>
      <c r="GV78">
        <v>16</v>
      </c>
      <c r="GW78">
        <v>7</v>
      </c>
      <c r="GX78">
        <v>6</v>
      </c>
      <c r="GY78">
        <v>6</v>
      </c>
      <c r="GZ78">
        <v>2</v>
      </c>
      <c r="HA78">
        <v>11</v>
      </c>
      <c r="HB78">
        <v>12</v>
      </c>
      <c r="HC78">
        <v>9</v>
      </c>
      <c r="HD78">
        <v>7</v>
      </c>
      <c r="HG78">
        <v>370</v>
      </c>
      <c r="HH78">
        <v>7</v>
      </c>
      <c r="HI78">
        <v>17</v>
      </c>
      <c r="HJ78">
        <v>6</v>
      </c>
      <c r="HK78">
        <v>10</v>
      </c>
      <c r="HL78">
        <v>14</v>
      </c>
      <c r="HM78">
        <v>7</v>
      </c>
      <c r="HN78">
        <v>9</v>
      </c>
      <c r="HO78">
        <v>1</v>
      </c>
      <c r="HP78">
        <v>16</v>
      </c>
      <c r="HQ78">
        <v>2</v>
      </c>
      <c r="HR78">
        <v>9</v>
      </c>
      <c r="HS78">
        <v>16</v>
      </c>
      <c r="HT78">
        <v>19</v>
      </c>
      <c r="HU78">
        <v>14</v>
      </c>
      <c r="HV78">
        <v>7</v>
      </c>
      <c r="HY78">
        <v>370</v>
      </c>
      <c r="HZ78">
        <v>9</v>
      </c>
      <c r="IA78">
        <v>12</v>
      </c>
      <c r="IB78">
        <v>2</v>
      </c>
      <c r="IC78">
        <v>20</v>
      </c>
      <c r="ID78">
        <v>3</v>
      </c>
      <c r="IE78">
        <v>5</v>
      </c>
      <c r="IF78">
        <v>3</v>
      </c>
      <c r="IG78">
        <v>17</v>
      </c>
      <c r="IH78">
        <v>20</v>
      </c>
      <c r="II78">
        <v>8</v>
      </c>
      <c r="IJ78">
        <v>11</v>
      </c>
      <c r="IK78">
        <v>8</v>
      </c>
      <c r="IL78">
        <v>14</v>
      </c>
      <c r="IM78">
        <v>18</v>
      </c>
      <c r="IN78">
        <v>12</v>
      </c>
      <c r="IO78">
        <v>16</v>
      </c>
    </row>
    <row r="79" spans="1:249" x14ac:dyDescent="0.35">
      <c r="A79" s="8">
        <v>61.372</v>
      </c>
      <c r="D79" s="2">
        <v>105.72</v>
      </c>
      <c r="H79">
        <v>274.01400000000001</v>
      </c>
      <c r="BM79">
        <v>178.99700000000001</v>
      </c>
      <c r="BV79">
        <v>277.22199999999998</v>
      </c>
      <c r="DM79">
        <v>123.84699999999999</v>
      </c>
      <c r="DT79">
        <v>332.99799999999999</v>
      </c>
      <c r="GB79">
        <v>375</v>
      </c>
      <c r="GC79">
        <v>34</v>
      </c>
      <c r="GD79">
        <v>11</v>
      </c>
      <c r="GE79">
        <v>10</v>
      </c>
      <c r="GF79">
        <v>5</v>
      </c>
      <c r="GG79">
        <v>7</v>
      </c>
      <c r="GH79">
        <v>11</v>
      </c>
      <c r="GI79">
        <v>12</v>
      </c>
      <c r="GJ79">
        <v>2</v>
      </c>
      <c r="GK79">
        <v>5</v>
      </c>
      <c r="GL79">
        <v>7</v>
      </c>
      <c r="GM79">
        <v>6</v>
      </c>
      <c r="GN79">
        <v>8</v>
      </c>
      <c r="GO79">
        <v>4</v>
      </c>
      <c r="GP79">
        <v>3</v>
      </c>
      <c r="GQ79">
        <v>4</v>
      </c>
      <c r="GR79">
        <v>12</v>
      </c>
      <c r="GS79">
        <v>1</v>
      </c>
      <c r="GT79">
        <v>5</v>
      </c>
      <c r="GU79">
        <v>4</v>
      </c>
      <c r="GV79">
        <v>16</v>
      </c>
      <c r="GW79">
        <v>7</v>
      </c>
      <c r="GX79">
        <v>5</v>
      </c>
      <c r="GY79">
        <v>4</v>
      </c>
      <c r="GZ79">
        <v>5</v>
      </c>
      <c r="HA79">
        <v>11</v>
      </c>
      <c r="HB79">
        <v>14</v>
      </c>
      <c r="HC79">
        <v>9</v>
      </c>
      <c r="HD79">
        <v>7</v>
      </c>
      <c r="HG79">
        <v>375</v>
      </c>
      <c r="HH79">
        <v>7</v>
      </c>
      <c r="HI79">
        <v>17</v>
      </c>
      <c r="HJ79">
        <v>6</v>
      </c>
      <c r="HK79">
        <v>10</v>
      </c>
      <c r="HL79">
        <v>12</v>
      </c>
      <c r="HM79">
        <v>7</v>
      </c>
      <c r="HN79">
        <v>8</v>
      </c>
      <c r="HP79">
        <v>17</v>
      </c>
      <c r="HQ79">
        <v>2</v>
      </c>
      <c r="HR79">
        <v>8</v>
      </c>
      <c r="HS79">
        <v>15</v>
      </c>
      <c r="HT79">
        <v>19</v>
      </c>
      <c r="HU79">
        <v>13</v>
      </c>
      <c r="HV79">
        <v>7</v>
      </c>
      <c r="HY79">
        <v>375</v>
      </c>
      <c r="HZ79">
        <v>9</v>
      </c>
      <c r="IA79">
        <v>12</v>
      </c>
      <c r="IB79">
        <v>2</v>
      </c>
      <c r="IC79">
        <v>19</v>
      </c>
      <c r="ID79">
        <v>3</v>
      </c>
      <c r="IE79">
        <v>5</v>
      </c>
      <c r="IF79">
        <v>3</v>
      </c>
      <c r="IG79">
        <v>17</v>
      </c>
      <c r="IH79">
        <v>19</v>
      </c>
      <c r="II79">
        <v>6</v>
      </c>
      <c r="IJ79">
        <v>12</v>
      </c>
      <c r="IK79">
        <v>7</v>
      </c>
      <c r="IL79">
        <v>14</v>
      </c>
      <c r="IM79">
        <v>18</v>
      </c>
      <c r="IN79">
        <v>12</v>
      </c>
      <c r="IO79">
        <v>16</v>
      </c>
    </row>
    <row r="80" spans="1:249" x14ac:dyDescent="0.35">
      <c r="A80" s="8">
        <v>89.715000000000003</v>
      </c>
      <c r="D80" s="2">
        <v>99.748000000000005</v>
      </c>
      <c r="H80" s="8">
        <v>268.65600000000001</v>
      </c>
      <c r="BM80">
        <v>116.11199999999999</v>
      </c>
      <c r="BV80">
        <v>276.73500000000001</v>
      </c>
      <c r="DM80">
        <v>72.340999999999994</v>
      </c>
      <c r="DT80">
        <v>331.423</v>
      </c>
      <c r="GB80">
        <v>380</v>
      </c>
      <c r="GC80">
        <v>34</v>
      </c>
      <c r="GD80">
        <v>9</v>
      </c>
      <c r="GE80">
        <v>14</v>
      </c>
      <c r="GF80">
        <v>4</v>
      </c>
      <c r="GG80">
        <v>3</v>
      </c>
      <c r="GH80">
        <v>11</v>
      </c>
      <c r="GI80">
        <v>12</v>
      </c>
      <c r="GJ80">
        <v>3</v>
      </c>
      <c r="GK80">
        <v>5</v>
      </c>
      <c r="GL80">
        <v>6</v>
      </c>
      <c r="GM80">
        <v>6</v>
      </c>
      <c r="GN80">
        <v>8</v>
      </c>
      <c r="GO80">
        <v>6</v>
      </c>
      <c r="GP80">
        <v>3</v>
      </c>
      <c r="GQ80">
        <v>4</v>
      </c>
      <c r="GR80">
        <v>10</v>
      </c>
      <c r="GS80">
        <v>1</v>
      </c>
      <c r="GT80">
        <v>5</v>
      </c>
      <c r="GU80">
        <v>4</v>
      </c>
      <c r="GV80">
        <v>16</v>
      </c>
      <c r="GW80">
        <v>6</v>
      </c>
      <c r="GX80">
        <v>5</v>
      </c>
      <c r="GY80">
        <v>3</v>
      </c>
      <c r="GZ80">
        <v>4</v>
      </c>
      <c r="HA80">
        <v>12</v>
      </c>
      <c r="HB80">
        <v>10</v>
      </c>
      <c r="HC80">
        <v>9</v>
      </c>
      <c r="HD80">
        <v>6</v>
      </c>
      <c r="HG80">
        <v>380</v>
      </c>
      <c r="HH80">
        <v>4</v>
      </c>
      <c r="HI80">
        <v>16</v>
      </c>
      <c r="HJ80">
        <v>6</v>
      </c>
      <c r="HK80">
        <v>9</v>
      </c>
      <c r="HL80">
        <v>11</v>
      </c>
      <c r="HM80">
        <v>6</v>
      </c>
      <c r="HN80">
        <v>7</v>
      </c>
      <c r="HP80">
        <v>16</v>
      </c>
      <c r="HQ80">
        <v>2</v>
      </c>
      <c r="HR80">
        <v>8</v>
      </c>
      <c r="HS80">
        <v>15</v>
      </c>
      <c r="HT80">
        <v>20</v>
      </c>
      <c r="HU80">
        <v>13</v>
      </c>
      <c r="HV80">
        <v>6</v>
      </c>
      <c r="HY80">
        <v>380</v>
      </c>
      <c r="HZ80">
        <v>9</v>
      </c>
      <c r="IA80">
        <v>14</v>
      </c>
      <c r="IB80">
        <v>2</v>
      </c>
      <c r="IC80">
        <v>18</v>
      </c>
      <c r="ID80">
        <v>3</v>
      </c>
      <c r="IE80">
        <v>5</v>
      </c>
      <c r="IF80">
        <v>3</v>
      </c>
      <c r="IG80">
        <v>17</v>
      </c>
      <c r="IH80">
        <v>21</v>
      </c>
      <c r="II80">
        <v>6</v>
      </c>
      <c r="IJ80">
        <v>11</v>
      </c>
      <c r="IK80">
        <v>7</v>
      </c>
      <c r="IL80">
        <v>14</v>
      </c>
      <c r="IM80">
        <v>17</v>
      </c>
      <c r="IN80">
        <v>12</v>
      </c>
      <c r="IO80">
        <v>16</v>
      </c>
    </row>
    <row r="81" spans="1:249" x14ac:dyDescent="0.35">
      <c r="A81" s="8">
        <v>113.761</v>
      </c>
      <c r="D81" s="2">
        <v>98.686000000000007</v>
      </c>
      <c r="H81">
        <v>268.37400000000002</v>
      </c>
      <c r="BM81">
        <v>75.48</v>
      </c>
      <c r="BV81">
        <v>276.72300000000001</v>
      </c>
      <c r="DM81">
        <v>127.08199999999999</v>
      </c>
      <c r="DT81">
        <v>326.94499999999999</v>
      </c>
      <c r="GB81">
        <v>385</v>
      </c>
      <c r="GC81">
        <v>37</v>
      </c>
      <c r="GD81">
        <v>9</v>
      </c>
      <c r="GE81">
        <v>9</v>
      </c>
      <c r="GF81">
        <v>4</v>
      </c>
      <c r="GG81">
        <v>3</v>
      </c>
      <c r="GH81">
        <v>11</v>
      </c>
      <c r="GI81">
        <v>13</v>
      </c>
      <c r="GJ81">
        <v>4</v>
      </c>
      <c r="GK81">
        <v>6</v>
      </c>
      <c r="GL81">
        <v>6</v>
      </c>
      <c r="GM81">
        <v>6</v>
      </c>
      <c r="GN81">
        <v>8</v>
      </c>
      <c r="GO81">
        <v>5</v>
      </c>
      <c r="GP81">
        <v>5</v>
      </c>
      <c r="GQ81">
        <v>4</v>
      </c>
      <c r="GR81">
        <v>8</v>
      </c>
      <c r="GS81">
        <v>1</v>
      </c>
      <c r="GT81">
        <v>4</v>
      </c>
      <c r="GU81">
        <v>3</v>
      </c>
      <c r="GV81">
        <v>17</v>
      </c>
      <c r="GW81">
        <v>6</v>
      </c>
      <c r="GX81">
        <v>5</v>
      </c>
      <c r="GY81">
        <v>3</v>
      </c>
      <c r="GZ81">
        <v>4</v>
      </c>
      <c r="HA81">
        <v>13</v>
      </c>
      <c r="HB81">
        <v>10</v>
      </c>
      <c r="HC81">
        <v>9</v>
      </c>
      <c r="HD81">
        <v>6</v>
      </c>
      <c r="HG81">
        <v>385</v>
      </c>
      <c r="HH81">
        <v>3</v>
      </c>
      <c r="HI81">
        <v>16</v>
      </c>
      <c r="HJ81">
        <v>6</v>
      </c>
      <c r="HK81">
        <v>9</v>
      </c>
      <c r="HL81">
        <v>11</v>
      </c>
      <c r="HM81">
        <v>6</v>
      </c>
      <c r="HN81">
        <v>5</v>
      </c>
      <c r="HP81">
        <v>14</v>
      </c>
      <c r="HQ81">
        <v>2</v>
      </c>
      <c r="HR81">
        <v>8</v>
      </c>
      <c r="HS81">
        <v>14</v>
      </c>
      <c r="HT81">
        <v>16</v>
      </c>
      <c r="HU81">
        <v>11</v>
      </c>
      <c r="HV81">
        <v>6</v>
      </c>
      <c r="HY81">
        <v>385</v>
      </c>
      <c r="HZ81">
        <v>9</v>
      </c>
      <c r="IA81">
        <v>14</v>
      </c>
      <c r="IB81">
        <v>2</v>
      </c>
      <c r="IC81">
        <v>18</v>
      </c>
      <c r="ID81">
        <v>3</v>
      </c>
      <c r="IE81">
        <v>5</v>
      </c>
      <c r="IF81">
        <v>3</v>
      </c>
      <c r="IG81">
        <v>17</v>
      </c>
      <c r="IH81">
        <v>20</v>
      </c>
      <c r="II81">
        <v>6</v>
      </c>
      <c r="IJ81">
        <v>11</v>
      </c>
      <c r="IK81">
        <v>7</v>
      </c>
      <c r="IL81">
        <v>12</v>
      </c>
      <c r="IM81">
        <v>17</v>
      </c>
      <c r="IN81">
        <v>12</v>
      </c>
      <c r="IO81">
        <v>14</v>
      </c>
    </row>
    <row r="82" spans="1:249" x14ac:dyDescent="0.35">
      <c r="A82" s="8">
        <v>55.317</v>
      </c>
      <c r="D82" s="2">
        <v>96.674000000000007</v>
      </c>
      <c r="H82">
        <v>268.36200000000002</v>
      </c>
      <c r="BM82">
        <v>66.474000000000004</v>
      </c>
      <c r="BV82">
        <v>276.60700000000003</v>
      </c>
      <c r="DM82">
        <v>39.814</v>
      </c>
      <c r="DT82">
        <v>324.29700000000003</v>
      </c>
      <c r="GB82">
        <v>390</v>
      </c>
      <c r="GC82">
        <v>44</v>
      </c>
      <c r="GD82">
        <v>9</v>
      </c>
      <c r="GE82">
        <v>8</v>
      </c>
      <c r="GF82">
        <v>5</v>
      </c>
      <c r="GG82">
        <v>2</v>
      </c>
      <c r="GH82">
        <v>11</v>
      </c>
      <c r="GI82">
        <v>10</v>
      </c>
      <c r="GJ82">
        <v>8</v>
      </c>
      <c r="GK82">
        <v>6</v>
      </c>
      <c r="GL82">
        <v>6</v>
      </c>
      <c r="GM82">
        <v>6</v>
      </c>
      <c r="GN82">
        <v>8</v>
      </c>
      <c r="GO82">
        <v>5</v>
      </c>
      <c r="GP82">
        <v>5</v>
      </c>
      <c r="GQ82">
        <v>4</v>
      </c>
      <c r="GR82">
        <v>7</v>
      </c>
      <c r="GS82">
        <v>1</v>
      </c>
      <c r="GT82">
        <v>5</v>
      </c>
      <c r="GU82">
        <v>4</v>
      </c>
      <c r="GV82">
        <v>15</v>
      </c>
      <c r="GW82">
        <v>7</v>
      </c>
      <c r="GX82">
        <v>4</v>
      </c>
      <c r="GY82">
        <v>4</v>
      </c>
      <c r="GZ82">
        <v>4</v>
      </c>
      <c r="HA82">
        <v>13</v>
      </c>
      <c r="HB82">
        <v>9</v>
      </c>
      <c r="HC82">
        <v>9</v>
      </c>
      <c r="HD82">
        <v>6</v>
      </c>
      <c r="HG82">
        <v>390</v>
      </c>
      <c r="HH82">
        <v>3</v>
      </c>
      <c r="HI82">
        <v>15</v>
      </c>
      <c r="HJ82">
        <v>6</v>
      </c>
      <c r="HK82">
        <v>9</v>
      </c>
      <c r="HL82">
        <v>10</v>
      </c>
      <c r="HM82">
        <v>6</v>
      </c>
      <c r="HN82">
        <v>3</v>
      </c>
      <c r="HP82">
        <v>14</v>
      </c>
      <c r="HQ82">
        <v>1</v>
      </c>
      <c r="HR82">
        <v>8</v>
      </c>
      <c r="HS82">
        <v>15</v>
      </c>
      <c r="HT82">
        <v>12</v>
      </c>
      <c r="HU82">
        <v>11</v>
      </c>
      <c r="HV82">
        <v>6</v>
      </c>
      <c r="HY82">
        <v>390</v>
      </c>
      <c r="HZ82">
        <v>9</v>
      </c>
      <c r="IA82">
        <v>12</v>
      </c>
      <c r="IB82">
        <v>2</v>
      </c>
      <c r="IC82">
        <v>18</v>
      </c>
      <c r="ID82">
        <v>3</v>
      </c>
      <c r="IE82">
        <v>5</v>
      </c>
      <c r="IF82">
        <v>3</v>
      </c>
      <c r="IG82">
        <v>17</v>
      </c>
      <c r="IH82">
        <v>18</v>
      </c>
      <c r="II82">
        <v>4</v>
      </c>
      <c r="IJ82">
        <v>11</v>
      </c>
      <c r="IK82">
        <v>7</v>
      </c>
      <c r="IL82">
        <v>12</v>
      </c>
      <c r="IM82">
        <v>17</v>
      </c>
      <c r="IN82">
        <v>12</v>
      </c>
      <c r="IO82">
        <v>13</v>
      </c>
    </row>
    <row r="83" spans="1:249" x14ac:dyDescent="0.35">
      <c r="A83" s="8">
        <v>62.786999999999999</v>
      </c>
      <c r="D83" s="2">
        <v>84.046999999999997</v>
      </c>
      <c r="H83">
        <v>268.20299999999997</v>
      </c>
      <c r="BM83">
        <v>17.789000000000001</v>
      </c>
      <c r="BV83">
        <v>276.15899999999999</v>
      </c>
      <c r="DM83">
        <v>86.012</v>
      </c>
      <c r="DT83">
        <v>321.685</v>
      </c>
      <c r="GB83">
        <v>395</v>
      </c>
      <c r="GC83">
        <v>27</v>
      </c>
      <c r="GD83">
        <v>9</v>
      </c>
      <c r="GE83">
        <v>9</v>
      </c>
      <c r="GF83">
        <v>12</v>
      </c>
      <c r="GG83">
        <v>1</v>
      </c>
      <c r="GH83">
        <v>12</v>
      </c>
      <c r="GI83">
        <v>10</v>
      </c>
      <c r="GJ83">
        <v>6</v>
      </c>
      <c r="GK83">
        <v>5</v>
      </c>
      <c r="GL83">
        <v>6</v>
      </c>
      <c r="GM83">
        <v>7</v>
      </c>
      <c r="GN83">
        <v>7</v>
      </c>
      <c r="GO83">
        <v>5</v>
      </c>
      <c r="GP83">
        <v>5</v>
      </c>
      <c r="GQ83">
        <v>3</v>
      </c>
      <c r="GR83">
        <v>8</v>
      </c>
      <c r="GS83">
        <v>1</v>
      </c>
      <c r="GT83">
        <v>5</v>
      </c>
      <c r="GU83">
        <v>4</v>
      </c>
      <c r="GV83">
        <v>17</v>
      </c>
      <c r="GW83">
        <v>7</v>
      </c>
      <c r="GX83">
        <v>4</v>
      </c>
      <c r="GY83">
        <v>4</v>
      </c>
      <c r="GZ83">
        <v>2</v>
      </c>
      <c r="HA83">
        <v>12</v>
      </c>
      <c r="HB83">
        <v>9</v>
      </c>
      <c r="HC83">
        <v>8</v>
      </c>
      <c r="HD83">
        <v>6</v>
      </c>
      <c r="HG83">
        <v>395</v>
      </c>
      <c r="HH83">
        <v>2</v>
      </c>
      <c r="HI83">
        <v>15</v>
      </c>
      <c r="HJ83">
        <v>6</v>
      </c>
      <c r="HK83">
        <v>9</v>
      </c>
      <c r="HL83">
        <v>7</v>
      </c>
      <c r="HM83">
        <v>6</v>
      </c>
      <c r="HN83">
        <v>3</v>
      </c>
      <c r="HP83">
        <v>13</v>
      </c>
      <c r="HQ83">
        <v>1</v>
      </c>
      <c r="HR83">
        <v>7</v>
      </c>
      <c r="HS83">
        <v>15</v>
      </c>
      <c r="HT83">
        <v>12</v>
      </c>
      <c r="HU83">
        <v>11</v>
      </c>
      <c r="HV83">
        <v>6</v>
      </c>
      <c r="HY83">
        <v>395</v>
      </c>
      <c r="HZ83">
        <v>9</v>
      </c>
      <c r="IA83">
        <v>13</v>
      </c>
      <c r="IB83">
        <v>1</v>
      </c>
      <c r="IC83">
        <v>16</v>
      </c>
      <c r="ID83">
        <v>3</v>
      </c>
      <c r="IE83">
        <v>5</v>
      </c>
      <c r="IF83">
        <v>2</v>
      </c>
      <c r="IG83">
        <v>17</v>
      </c>
      <c r="IH83">
        <v>18</v>
      </c>
      <c r="II83">
        <v>4</v>
      </c>
      <c r="IJ83">
        <v>11</v>
      </c>
      <c r="IK83">
        <v>7</v>
      </c>
      <c r="IL83">
        <v>12</v>
      </c>
      <c r="IM83">
        <v>17</v>
      </c>
      <c r="IN83">
        <v>12</v>
      </c>
      <c r="IO83">
        <v>12</v>
      </c>
    </row>
    <row r="84" spans="1:249" x14ac:dyDescent="0.35">
      <c r="A84" s="8">
        <v>71.361999999999995</v>
      </c>
      <c r="D84" s="2">
        <v>79.198999999999998</v>
      </c>
      <c r="H84" s="8">
        <v>267.49299999999999</v>
      </c>
      <c r="BM84">
        <v>74.578999999999994</v>
      </c>
      <c r="BV84">
        <v>273.20600000000002</v>
      </c>
      <c r="DM84">
        <v>201.709</v>
      </c>
      <c r="DT84">
        <v>317.71499999999997</v>
      </c>
      <c r="GB84">
        <v>400</v>
      </c>
      <c r="GC84">
        <v>27</v>
      </c>
      <c r="GD84">
        <v>8</v>
      </c>
      <c r="GE84">
        <v>12</v>
      </c>
      <c r="GF84">
        <v>14</v>
      </c>
      <c r="GG84">
        <v>1</v>
      </c>
      <c r="GH84">
        <v>12</v>
      </c>
      <c r="GI84">
        <v>10</v>
      </c>
      <c r="GJ84">
        <v>6</v>
      </c>
      <c r="GK84">
        <v>5</v>
      </c>
      <c r="GL84">
        <v>6</v>
      </c>
      <c r="GM84">
        <v>7</v>
      </c>
      <c r="GN84">
        <v>6</v>
      </c>
      <c r="GO84">
        <v>5</v>
      </c>
      <c r="GP84">
        <v>7</v>
      </c>
      <c r="GQ84">
        <v>3</v>
      </c>
      <c r="GR84">
        <v>7</v>
      </c>
      <c r="GS84">
        <v>2</v>
      </c>
      <c r="GT84">
        <v>5</v>
      </c>
      <c r="GU84">
        <v>3</v>
      </c>
      <c r="GV84">
        <v>18</v>
      </c>
      <c r="GW84">
        <v>7</v>
      </c>
      <c r="GX84">
        <v>4</v>
      </c>
      <c r="GY84">
        <v>4</v>
      </c>
      <c r="GZ84">
        <v>3</v>
      </c>
      <c r="HA84">
        <v>12</v>
      </c>
      <c r="HB84">
        <v>9</v>
      </c>
      <c r="HC84">
        <v>8</v>
      </c>
      <c r="HD84">
        <v>6</v>
      </c>
      <c r="HG84">
        <v>400</v>
      </c>
      <c r="HH84">
        <v>1</v>
      </c>
      <c r="HI84">
        <v>14</v>
      </c>
      <c r="HJ84">
        <v>5</v>
      </c>
      <c r="HK84">
        <v>8</v>
      </c>
      <c r="HL84">
        <v>7</v>
      </c>
      <c r="HM84">
        <v>4</v>
      </c>
      <c r="HN84">
        <v>2</v>
      </c>
      <c r="HP84">
        <v>13</v>
      </c>
      <c r="HQ84">
        <v>1</v>
      </c>
      <c r="HR84">
        <v>7</v>
      </c>
      <c r="HS84">
        <v>14</v>
      </c>
      <c r="HT84">
        <v>10</v>
      </c>
      <c r="HU84">
        <v>10</v>
      </c>
      <c r="HV84">
        <v>6</v>
      </c>
      <c r="HY84">
        <v>400</v>
      </c>
      <c r="HZ84">
        <v>9</v>
      </c>
      <c r="IA84">
        <v>10</v>
      </c>
      <c r="IB84">
        <v>1</v>
      </c>
      <c r="IC84">
        <v>16</v>
      </c>
      <c r="ID84">
        <v>3</v>
      </c>
      <c r="IE84">
        <v>5</v>
      </c>
      <c r="IF84">
        <v>2</v>
      </c>
      <c r="IG84">
        <v>19</v>
      </c>
      <c r="IH84">
        <v>17</v>
      </c>
      <c r="II84">
        <v>4</v>
      </c>
      <c r="IJ84">
        <v>9</v>
      </c>
      <c r="IK84">
        <v>6</v>
      </c>
      <c r="IL84">
        <v>12</v>
      </c>
      <c r="IM84">
        <v>17</v>
      </c>
      <c r="IN84">
        <v>12</v>
      </c>
      <c r="IO84">
        <v>11</v>
      </c>
    </row>
    <row r="85" spans="1:249" x14ac:dyDescent="0.35">
      <c r="A85" s="8">
        <v>67.373000000000005</v>
      </c>
      <c r="D85" s="2">
        <v>78.090999999999994</v>
      </c>
      <c r="H85">
        <v>266.75099999999998</v>
      </c>
      <c r="BM85">
        <v>119.467</v>
      </c>
      <c r="BV85">
        <v>271.43200000000002</v>
      </c>
      <c r="DM85">
        <v>151.88999999999999</v>
      </c>
      <c r="DT85">
        <v>317.166</v>
      </c>
      <c r="GB85">
        <v>405</v>
      </c>
      <c r="GC85">
        <v>21</v>
      </c>
      <c r="GD85">
        <v>8</v>
      </c>
      <c r="GE85">
        <v>11</v>
      </c>
      <c r="GF85">
        <v>9</v>
      </c>
      <c r="GG85">
        <v>1</v>
      </c>
      <c r="GH85">
        <v>11</v>
      </c>
      <c r="GI85">
        <v>11</v>
      </c>
      <c r="GJ85">
        <v>4</v>
      </c>
      <c r="GK85">
        <v>5</v>
      </c>
      <c r="GL85">
        <v>7</v>
      </c>
      <c r="GM85">
        <v>7</v>
      </c>
      <c r="GN85">
        <v>6</v>
      </c>
      <c r="GO85">
        <v>6</v>
      </c>
      <c r="GP85">
        <v>7</v>
      </c>
      <c r="GQ85">
        <v>3</v>
      </c>
      <c r="GR85">
        <v>5</v>
      </c>
      <c r="GS85">
        <v>2</v>
      </c>
      <c r="GT85">
        <v>4</v>
      </c>
      <c r="GU85">
        <v>3</v>
      </c>
      <c r="GV85">
        <v>14</v>
      </c>
      <c r="GW85">
        <v>7</v>
      </c>
      <c r="GX85">
        <v>4</v>
      </c>
      <c r="GY85">
        <v>5</v>
      </c>
      <c r="GZ85">
        <v>3</v>
      </c>
      <c r="HA85">
        <v>13</v>
      </c>
      <c r="HB85">
        <v>9</v>
      </c>
      <c r="HC85">
        <v>6</v>
      </c>
      <c r="HD85">
        <v>6</v>
      </c>
      <c r="HG85">
        <v>405</v>
      </c>
      <c r="HI85">
        <v>13</v>
      </c>
      <c r="HJ85">
        <v>5</v>
      </c>
      <c r="HK85">
        <v>8</v>
      </c>
      <c r="HL85">
        <v>6</v>
      </c>
      <c r="HM85">
        <v>4</v>
      </c>
      <c r="HN85">
        <v>2</v>
      </c>
      <c r="HP85">
        <v>12</v>
      </c>
      <c r="HQ85">
        <v>1</v>
      </c>
      <c r="HR85">
        <v>6</v>
      </c>
      <c r="HS85">
        <v>13</v>
      </c>
      <c r="HT85">
        <v>10</v>
      </c>
      <c r="HU85">
        <v>8</v>
      </c>
      <c r="HV85">
        <v>7</v>
      </c>
      <c r="HY85">
        <v>405</v>
      </c>
      <c r="HZ85">
        <v>8</v>
      </c>
      <c r="IA85">
        <v>9</v>
      </c>
      <c r="IB85">
        <v>1</v>
      </c>
      <c r="IC85">
        <v>14</v>
      </c>
      <c r="ID85">
        <v>3</v>
      </c>
      <c r="IE85">
        <v>5</v>
      </c>
      <c r="IF85">
        <v>2</v>
      </c>
      <c r="IG85">
        <v>19</v>
      </c>
      <c r="IH85">
        <v>17</v>
      </c>
      <c r="II85">
        <v>3</v>
      </c>
      <c r="IJ85">
        <v>8</v>
      </c>
      <c r="IK85">
        <v>5</v>
      </c>
      <c r="IL85">
        <v>11</v>
      </c>
      <c r="IM85">
        <v>17</v>
      </c>
      <c r="IN85">
        <v>12</v>
      </c>
      <c r="IO85">
        <v>10</v>
      </c>
    </row>
    <row r="86" spans="1:249" x14ac:dyDescent="0.35">
      <c r="A86" s="8">
        <v>53.966999999999999</v>
      </c>
      <c r="D86" s="2">
        <v>77.512</v>
      </c>
      <c r="H86">
        <v>266.03500000000003</v>
      </c>
      <c r="BM86">
        <v>167.85900000000001</v>
      </c>
      <c r="BV86">
        <v>267.93799999999999</v>
      </c>
      <c r="DM86">
        <v>208.58</v>
      </c>
      <c r="DT86">
        <v>315.43099999999998</v>
      </c>
      <c r="GB86">
        <v>410</v>
      </c>
      <c r="GC86">
        <v>19</v>
      </c>
      <c r="GD86">
        <v>9</v>
      </c>
      <c r="GE86">
        <v>7</v>
      </c>
      <c r="GF86">
        <v>9</v>
      </c>
      <c r="GG86">
        <v>1</v>
      </c>
      <c r="GH86">
        <v>10</v>
      </c>
      <c r="GI86">
        <v>11</v>
      </c>
      <c r="GJ86">
        <v>4</v>
      </c>
      <c r="GK86">
        <v>5</v>
      </c>
      <c r="GL86">
        <v>6</v>
      </c>
      <c r="GM86">
        <v>5</v>
      </c>
      <c r="GN86">
        <v>6</v>
      </c>
      <c r="GO86">
        <v>6</v>
      </c>
      <c r="GP86">
        <v>7</v>
      </c>
      <c r="GQ86">
        <v>3</v>
      </c>
      <c r="GR86">
        <v>6</v>
      </c>
      <c r="GS86">
        <v>2</v>
      </c>
      <c r="GT86">
        <v>4</v>
      </c>
      <c r="GU86">
        <v>3</v>
      </c>
      <c r="GV86">
        <v>13</v>
      </c>
      <c r="GW86">
        <v>6</v>
      </c>
      <c r="GX86">
        <v>4</v>
      </c>
      <c r="GY86">
        <v>6</v>
      </c>
      <c r="GZ86">
        <v>2</v>
      </c>
      <c r="HA86">
        <v>12</v>
      </c>
      <c r="HB86">
        <v>8</v>
      </c>
      <c r="HC86">
        <v>8</v>
      </c>
      <c r="HD86">
        <v>6</v>
      </c>
      <c r="HG86">
        <v>410</v>
      </c>
      <c r="HI86">
        <v>14</v>
      </c>
      <c r="HJ86">
        <v>5</v>
      </c>
      <c r="HK86">
        <v>8</v>
      </c>
      <c r="HL86">
        <v>5</v>
      </c>
      <c r="HM86">
        <v>4</v>
      </c>
      <c r="HN86">
        <v>2</v>
      </c>
      <c r="HP86">
        <v>12</v>
      </c>
      <c r="HQ86">
        <v>1</v>
      </c>
      <c r="HR86">
        <v>5</v>
      </c>
      <c r="HS86">
        <v>13</v>
      </c>
      <c r="HT86">
        <v>10</v>
      </c>
      <c r="HU86">
        <v>8</v>
      </c>
      <c r="HV86">
        <v>6</v>
      </c>
      <c r="HY86">
        <v>410</v>
      </c>
      <c r="HZ86">
        <v>8</v>
      </c>
      <c r="IA86">
        <v>8</v>
      </c>
      <c r="IB86">
        <v>1</v>
      </c>
      <c r="IC86">
        <v>15</v>
      </c>
      <c r="ID86">
        <v>4</v>
      </c>
      <c r="IE86">
        <v>5</v>
      </c>
      <c r="IF86">
        <v>2</v>
      </c>
      <c r="IG86">
        <v>19</v>
      </c>
      <c r="IH86">
        <v>17</v>
      </c>
      <c r="II86">
        <v>3</v>
      </c>
      <c r="IJ86">
        <v>10</v>
      </c>
      <c r="IK86">
        <v>4</v>
      </c>
      <c r="IL86">
        <v>11</v>
      </c>
      <c r="IM86">
        <v>19</v>
      </c>
      <c r="IN86">
        <v>12</v>
      </c>
      <c r="IO86">
        <v>10</v>
      </c>
    </row>
    <row r="87" spans="1:249" x14ac:dyDescent="0.35">
      <c r="A87" s="8">
        <v>103.821</v>
      </c>
      <c r="D87" s="2">
        <v>71.897000000000006</v>
      </c>
      <c r="H87">
        <v>266.00799999999998</v>
      </c>
      <c r="BM87">
        <v>243.25800000000001</v>
      </c>
      <c r="BV87">
        <v>267.38900000000001</v>
      </c>
      <c r="DM87">
        <v>48.232999999999997</v>
      </c>
      <c r="DT87">
        <v>314.52199999999999</v>
      </c>
      <c r="GB87">
        <v>415</v>
      </c>
      <c r="GC87">
        <v>20</v>
      </c>
      <c r="GD87">
        <v>10</v>
      </c>
      <c r="GE87">
        <v>8</v>
      </c>
      <c r="GF87">
        <v>9</v>
      </c>
      <c r="GG87">
        <v>1</v>
      </c>
      <c r="GH87">
        <v>10</v>
      </c>
      <c r="GI87">
        <v>11</v>
      </c>
      <c r="GJ87">
        <v>5</v>
      </c>
      <c r="GK87">
        <v>5</v>
      </c>
      <c r="GL87">
        <v>6</v>
      </c>
      <c r="GM87">
        <v>6</v>
      </c>
      <c r="GN87">
        <v>6</v>
      </c>
      <c r="GO87">
        <v>5</v>
      </c>
      <c r="GP87">
        <v>10</v>
      </c>
      <c r="GQ87">
        <v>3</v>
      </c>
      <c r="GR87">
        <v>5</v>
      </c>
      <c r="GS87">
        <v>2</v>
      </c>
      <c r="GT87">
        <v>5</v>
      </c>
      <c r="GU87">
        <v>2</v>
      </c>
      <c r="GV87">
        <v>16</v>
      </c>
      <c r="GW87">
        <v>6</v>
      </c>
      <c r="GX87">
        <v>4</v>
      </c>
      <c r="GY87">
        <v>4</v>
      </c>
      <c r="GZ87">
        <v>2</v>
      </c>
      <c r="HA87">
        <v>13</v>
      </c>
      <c r="HB87">
        <v>8</v>
      </c>
      <c r="HC87">
        <v>8</v>
      </c>
      <c r="HD87">
        <v>5</v>
      </c>
      <c r="HG87">
        <v>415</v>
      </c>
      <c r="HI87">
        <v>13</v>
      </c>
      <c r="HJ87">
        <v>5</v>
      </c>
      <c r="HK87">
        <v>7</v>
      </c>
      <c r="HL87">
        <v>5</v>
      </c>
      <c r="HM87">
        <v>3</v>
      </c>
      <c r="HN87">
        <v>2</v>
      </c>
      <c r="HP87">
        <v>12</v>
      </c>
      <c r="HQ87">
        <v>1</v>
      </c>
      <c r="HR87">
        <v>4</v>
      </c>
      <c r="HS87">
        <v>13</v>
      </c>
      <c r="HT87">
        <v>10</v>
      </c>
      <c r="HU87">
        <v>7</v>
      </c>
      <c r="HV87">
        <v>6</v>
      </c>
      <c r="HY87">
        <v>415</v>
      </c>
      <c r="HZ87">
        <v>8</v>
      </c>
      <c r="IA87">
        <v>7</v>
      </c>
      <c r="IB87">
        <v>1</v>
      </c>
      <c r="IC87">
        <v>16</v>
      </c>
      <c r="ID87">
        <v>4</v>
      </c>
      <c r="IE87">
        <v>5</v>
      </c>
      <c r="IF87">
        <v>2</v>
      </c>
      <c r="IG87">
        <v>19</v>
      </c>
      <c r="IH87">
        <v>16</v>
      </c>
      <c r="II87">
        <v>4</v>
      </c>
      <c r="IJ87">
        <v>8</v>
      </c>
      <c r="IK87">
        <v>5</v>
      </c>
      <c r="IL87">
        <v>11</v>
      </c>
      <c r="IM87">
        <v>16</v>
      </c>
      <c r="IN87">
        <v>12</v>
      </c>
      <c r="IO87">
        <v>9</v>
      </c>
    </row>
    <row r="88" spans="1:249" x14ac:dyDescent="0.35">
      <c r="A88" s="8">
        <v>50.402999999999999</v>
      </c>
      <c r="D88" s="2">
        <v>69.436000000000007</v>
      </c>
      <c r="H88">
        <v>264.08</v>
      </c>
      <c r="BM88">
        <v>232.84399999999999</v>
      </c>
      <c r="BV88">
        <v>267.101</v>
      </c>
      <c r="DM88">
        <v>165.34700000000001</v>
      </c>
      <c r="DT88">
        <v>314.07299999999998</v>
      </c>
      <c r="GB88">
        <v>420</v>
      </c>
      <c r="GC88">
        <v>21</v>
      </c>
      <c r="GD88">
        <v>10</v>
      </c>
      <c r="GE88">
        <v>4</v>
      </c>
      <c r="GF88">
        <v>14</v>
      </c>
      <c r="GG88">
        <v>1</v>
      </c>
      <c r="GH88">
        <v>10</v>
      </c>
      <c r="GI88">
        <v>11</v>
      </c>
      <c r="GJ88">
        <v>6</v>
      </c>
      <c r="GK88">
        <v>5</v>
      </c>
      <c r="GL88">
        <v>7</v>
      </c>
      <c r="GM88">
        <v>6</v>
      </c>
      <c r="GN88">
        <v>6</v>
      </c>
      <c r="GO88">
        <v>5</v>
      </c>
      <c r="GP88">
        <v>7</v>
      </c>
      <c r="GQ88">
        <v>3</v>
      </c>
      <c r="GR88">
        <v>5</v>
      </c>
      <c r="GS88">
        <v>2</v>
      </c>
      <c r="GT88">
        <v>5</v>
      </c>
      <c r="GU88">
        <v>2</v>
      </c>
      <c r="GV88">
        <v>17</v>
      </c>
      <c r="GW88">
        <v>6</v>
      </c>
      <c r="GX88">
        <v>4</v>
      </c>
      <c r="GY88">
        <v>2</v>
      </c>
      <c r="GZ88">
        <v>2</v>
      </c>
      <c r="HA88">
        <v>12</v>
      </c>
      <c r="HB88">
        <v>7</v>
      </c>
      <c r="HC88">
        <v>9</v>
      </c>
      <c r="HD88">
        <v>5</v>
      </c>
      <c r="HG88">
        <v>420</v>
      </c>
      <c r="HI88">
        <v>12</v>
      </c>
      <c r="HJ88">
        <v>4</v>
      </c>
      <c r="HK88">
        <v>7</v>
      </c>
      <c r="HL88">
        <v>5</v>
      </c>
      <c r="HM88">
        <v>3</v>
      </c>
      <c r="HN88">
        <v>2</v>
      </c>
      <c r="HP88">
        <v>12</v>
      </c>
      <c r="HR88">
        <v>4</v>
      </c>
      <c r="HS88">
        <v>13</v>
      </c>
      <c r="HT88">
        <v>10</v>
      </c>
      <c r="HU88">
        <v>6</v>
      </c>
      <c r="HV88">
        <v>6</v>
      </c>
      <c r="HY88">
        <v>420</v>
      </c>
      <c r="HZ88">
        <v>8</v>
      </c>
      <c r="IA88">
        <v>7</v>
      </c>
      <c r="IC88">
        <v>15</v>
      </c>
      <c r="ID88">
        <v>4</v>
      </c>
      <c r="IE88">
        <v>4</v>
      </c>
      <c r="IF88">
        <v>2</v>
      </c>
      <c r="IG88">
        <v>19</v>
      </c>
      <c r="IH88">
        <v>15</v>
      </c>
      <c r="II88">
        <v>4</v>
      </c>
      <c r="IJ88">
        <v>8</v>
      </c>
      <c r="IK88">
        <v>5</v>
      </c>
      <c r="IL88">
        <v>11</v>
      </c>
      <c r="IM88">
        <v>15</v>
      </c>
      <c r="IN88">
        <v>12</v>
      </c>
      <c r="IO88">
        <v>9</v>
      </c>
    </row>
    <row r="89" spans="1:249" x14ac:dyDescent="0.35">
      <c r="A89" s="8">
        <v>112.617</v>
      </c>
      <c r="D89" s="10">
        <v>69.194999999999993</v>
      </c>
      <c r="H89">
        <v>262.00299999999999</v>
      </c>
      <c r="BM89">
        <v>59.459000000000003</v>
      </c>
      <c r="BV89">
        <v>266.61700000000002</v>
      </c>
      <c r="DM89">
        <v>116.44799999999999</v>
      </c>
      <c r="DT89">
        <v>312.065</v>
      </c>
      <c r="GB89">
        <v>425</v>
      </c>
      <c r="GC89">
        <v>22</v>
      </c>
      <c r="GD89">
        <v>9</v>
      </c>
      <c r="GE89">
        <v>4</v>
      </c>
      <c r="GF89">
        <v>12</v>
      </c>
      <c r="GG89">
        <v>1</v>
      </c>
      <c r="GH89">
        <v>11</v>
      </c>
      <c r="GI89">
        <v>10</v>
      </c>
      <c r="GJ89">
        <v>7</v>
      </c>
      <c r="GK89">
        <v>5</v>
      </c>
      <c r="GL89">
        <v>5</v>
      </c>
      <c r="GM89">
        <v>5</v>
      </c>
      <c r="GN89">
        <v>6</v>
      </c>
      <c r="GO89">
        <v>5</v>
      </c>
      <c r="GP89">
        <v>8</v>
      </c>
      <c r="GQ89">
        <v>3</v>
      </c>
      <c r="GR89">
        <v>5</v>
      </c>
      <c r="GS89">
        <v>2</v>
      </c>
      <c r="GT89">
        <v>4</v>
      </c>
      <c r="GU89">
        <v>2</v>
      </c>
      <c r="GV89">
        <v>22</v>
      </c>
      <c r="GW89">
        <v>6</v>
      </c>
      <c r="GX89">
        <v>4</v>
      </c>
      <c r="GY89">
        <v>2</v>
      </c>
      <c r="GZ89">
        <v>2</v>
      </c>
      <c r="HA89">
        <v>12</v>
      </c>
      <c r="HB89">
        <v>7</v>
      </c>
      <c r="HC89">
        <v>8</v>
      </c>
      <c r="HD89">
        <v>5</v>
      </c>
      <c r="HG89">
        <v>425</v>
      </c>
      <c r="HI89">
        <v>11</v>
      </c>
      <c r="HJ89">
        <v>4</v>
      </c>
      <c r="HK89">
        <v>7</v>
      </c>
      <c r="HL89">
        <v>5</v>
      </c>
      <c r="HM89">
        <v>3</v>
      </c>
      <c r="HN89">
        <v>2</v>
      </c>
      <c r="HP89">
        <v>15</v>
      </c>
      <c r="HR89">
        <v>4</v>
      </c>
      <c r="HS89">
        <v>14</v>
      </c>
      <c r="HT89">
        <v>10</v>
      </c>
      <c r="HU89">
        <v>6</v>
      </c>
      <c r="HV89">
        <v>6</v>
      </c>
      <c r="HY89">
        <v>425</v>
      </c>
      <c r="HZ89">
        <v>8</v>
      </c>
      <c r="IA89">
        <v>7</v>
      </c>
      <c r="IC89">
        <v>16</v>
      </c>
      <c r="ID89">
        <v>4</v>
      </c>
      <c r="IE89">
        <v>4</v>
      </c>
      <c r="IF89">
        <v>2</v>
      </c>
      <c r="IG89">
        <v>19</v>
      </c>
      <c r="IH89">
        <v>15</v>
      </c>
      <c r="II89">
        <v>4</v>
      </c>
      <c r="IJ89">
        <v>8</v>
      </c>
      <c r="IK89">
        <v>6</v>
      </c>
      <c r="IL89">
        <v>11</v>
      </c>
      <c r="IM89">
        <v>14</v>
      </c>
      <c r="IN89">
        <v>12</v>
      </c>
      <c r="IO89">
        <v>9</v>
      </c>
    </row>
    <row r="90" spans="1:249" x14ac:dyDescent="0.35">
      <c r="A90" s="8">
        <v>70.843999999999994</v>
      </c>
      <c r="D90" s="2">
        <v>68.805999999999997</v>
      </c>
      <c r="H90" s="8">
        <v>261.92200000000003</v>
      </c>
      <c r="BM90">
        <v>130.27699999999999</v>
      </c>
      <c r="BV90">
        <v>266.15499999999997</v>
      </c>
      <c r="DM90">
        <v>170.93700000000001</v>
      </c>
      <c r="DT90">
        <v>311.05</v>
      </c>
      <c r="GB90">
        <v>430</v>
      </c>
      <c r="GC90">
        <v>25</v>
      </c>
      <c r="GD90">
        <v>8</v>
      </c>
      <c r="GE90">
        <v>3</v>
      </c>
      <c r="GF90">
        <v>11</v>
      </c>
      <c r="GG90">
        <v>1</v>
      </c>
      <c r="GH90">
        <v>10</v>
      </c>
      <c r="GI90">
        <v>10</v>
      </c>
      <c r="GJ90">
        <v>7</v>
      </c>
      <c r="GK90">
        <v>5</v>
      </c>
      <c r="GL90">
        <v>5</v>
      </c>
      <c r="GM90">
        <v>5</v>
      </c>
      <c r="GN90">
        <v>6</v>
      </c>
      <c r="GO90">
        <v>5</v>
      </c>
      <c r="GP90">
        <v>9</v>
      </c>
      <c r="GQ90">
        <v>3</v>
      </c>
      <c r="GR90">
        <v>4</v>
      </c>
      <c r="GS90">
        <v>2</v>
      </c>
      <c r="GT90">
        <v>3</v>
      </c>
      <c r="GU90">
        <v>2</v>
      </c>
      <c r="GV90">
        <v>16</v>
      </c>
      <c r="GW90">
        <v>8</v>
      </c>
      <c r="GX90">
        <v>4</v>
      </c>
      <c r="GY90">
        <v>2</v>
      </c>
      <c r="GZ90">
        <v>2</v>
      </c>
      <c r="HA90">
        <v>12</v>
      </c>
      <c r="HB90">
        <v>6</v>
      </c>
      <c r="HC90">
        <v>8</v>
      </c>
      <c r="HD90">
        <v>5</v>
      </c>
      <c r="HG90">
        <v>430</v>
      </c>
      <c r="HI90">
        <v>11</v>
      </c>
      <c r="HJ90">
        <v>4</v>
      </c>
      <c r="HK90">
        <v>7</v>
      </c>
      <c r="HL90">
        <v>3</v>
      </c>
      <c r="HM90">
        <v>2</v>
      </c>
      <c r="HN90">
        <v>2</v>
      </c>
      <c r="HP90">
        <v>11</v>
      </c>
      <c r="HR90">
        <v>4</v>
      </c>
      <c r="HS90">
        <v>18</v>
      </c>
      <c r="HT90">
        <v>10</v>
      </c>
      <c r="HU90">
        <v>6</v>
      </c>
      <c r="HV90">
        <v>5</v>
      </c>
      <c r="HY90">
        <v>430</v>
      </c>
      <c r="HZ90">
        <v>8</v>
      </c>
      <c r="IA90">
        <v>7</v>
      </c>
      <c r="IC90">
        <v>21</v>
      </c>
      <c r="ID90">
        <v>4</v>
      </c>
      <c r="IE90">
        <v>4</v>
      </c>
      <c r="IF90">
        <v>2</v>
      </c>
      <c r="IG90">
        <v>19</v>
      </c>
      <c r="IH90">
        <v>16</v>
      </c>
      <c r="II90">
        <v>4</v>
      </c>
      <c r="IJ90">
        <v>7</v>
      </c>
      <c r="IK90">
        <v>4</v>
      </c>
      <c r="IL90">
        <v>11</v>
      </c>
      <c r="IM90">
        <v>14</v>
      </c>
      <c r="IN90">
        <v>12</v>
      </c>
      <c r="IO90">
        <v>9</v>
      </c>
    </row>
    <row r="91" spans="1:249" x14ac:dyDescent="0.35">
      <c r="A91" s="8">
        <v>144.25899999999999</v>
      </c>
      <c r="D91" s="10">
        <v>67.373000000000005</v>
      </c>
      <c r="H91" s="8">
        <v>261.69499999999999</v>
      </c>
      <c r="BM91">
        <v>157.15299999999999</v>
      </c>
      <c r="BV91">
        <v>264.101</v>
      </c>
      <c r="DM91">
        <v>121.43600000000001</v>
      </c>
      <c r="DT91">
        <v>310.50099999999998</v>
      </c>
      <c r="GB91">
        <v>435</v>
      </c>
      <c r="GC91">
        <v>20</v>
      </c>
      <c r="GD91">
        <v>10</v>
      </c>
      <c r="GE91">
        <v>3</v>
      </c>
      <c r="GF91">
        <v>11</v>
      </c>
      <c r="GG91">
        <v>1</v>
      </c>
      <c r="GH91">
        <v>10</v>
      </c>
      <c r="GI91">
        <v>8</v>
      </c>
      <c r="GJ91">
        <v>7</v>
      </c>
      <c r="GK91">
        <v>4</v>
      </c>
      <c r="GL91">
        <v>5</v>
      </c>
      <c r="GM91">
        <v>6</v>
      </c>
      <c r="GN91">
        <v>6</v>
      </c>
      <c r="GO91">
        <v>5</v>
      </c>
      <c r="GP91">
        <v>8</v>
      </c>
      <c r="GQ91">
        <v>3</v>
      </c>
      <c r="GR91">
        <v>4</v>
      </c>
      <c r="GS91">
        <v>2</v>
      </c>
      <c r="GT91">
        <v>3</v>
      </c>
      <c r="GU91">
        <v>2</v>
      </c>
      <c r="GV91">
        <v>19</v>
      </c>
      <c r="GW91">
        <v>7</v>
      </c>
      <c r="GX91">
        <v>4</v>
      </c>
      <c r="GY91">
        <v>2</v>
      </c>
      <c r="GZ91">
        <v>2</v>
      </c>
      <c r="HA91">
        <v>12</v>
      </c>
      <c r="HB91">
        <v>6</v>
      </c>
      <c r="HC91">
        <v>7</v>
      </c>
      <c r="HD91">
        <v>5</v>
      </c>
      <c r="HG91">
        <v>435</v>
      </c>
      <c r="HI91">
        <v>12</v>
      </c>
      <c r="HJ91">
        <v>4</v>
      </c>
      <c r="HK91">
        <v>7</v>
      </c>
      <c r="HL91">
        <v>2</v>
      </c>
      <c r="HM91">
        <v>2</v>
      </c>
      <c r="HN91">
        <v>2</v>
      </c>
      <c r="HP91">
        <v>13</v>
      </c>
      <c r="HR91">
        <v>4</v>
      </c>
      <c r="HS91">
        <v>15</v>
      </c>
      <c r="HT91">
        <v>10</v>
      </c>
      <c r="HU91">
        <v>5</v>
      </c>
      <c r="HV91">
        <v>5</v>
      </c>
      <c r="HY91">
        <v>435</v>
      </c>
      <c r="HZ91">
        <v>7</v>
      </c>
      <c r="IA91">
        <v>7</v>
      </c>
      <c r="IC91">
        <v>15</v>
      </c>
      <c r="ID91">
        <v>4</v>
      </c>
      <c r="IE91">
        <v>3</v>
      </c>
      <c r="IF91">
        <v>2</v>
      </c>
      <c r="IG91">
        <v>19</v>
      </c>
      <c r="IH91">
        <v>16</v>
      </c>
      <c r="II91">
        <v>4</v>
      </c>
      <c r="IJ91">
        <v>7</v>
      </c>
      <c r="IK91">
        <v>4</v>
      </c>
      <c r="IL91">
        <v>11</v>
      </c>
      <c r="IM91">
        <v>13</v>
      </c>
      <c r="IN91">
        <v>12</v>
      </c>
      <c r="IO91">
        <v>9</v>
      </c>
    </row>
    <row r="92" spans="1:249" x14ac:dyDescent="0.35">
      <c r="A92" s="8">
        <v>114.69</v>
      </c>
      <c r="D92" s="2">
        <v>64.888999999999996</v>
      </c>
      <c r="H92">
        <v>261.63499999999999</v>
      </c>
      <c r="BM92">
        <v>37.786000000000001</v>
      </c>
      <c r="BV92">
        <v>263.13900000000001</v>
      </c>
      <c r="DM92">
        <v>67.980999999999995</v>
      </c>
      <c r="DT92">
        <v>307.685</v>
      </c>
      <c r="GB92">
        <v>440</v>
      </c>
      <c r="GC92">
        <v>16</v>
      </c>
      <c r="GD92">
        <v>10</v>
      </c>
      <c r="GE92">
        <v>3</v>
      </c>
      <c r="GF92">
        <v>10</v>
      </c>
      <c r="GG92">
        <v>1</v>
      </c>
      <c r="GH92">
        <v>10</v>
      </c>
      <c r="GI92">
        <v>8</v>
      </c>
      <c r="GJ92">
        <v>9</v>
      </c>
      <c r="GK92">
        <v>4</v>
      </c>
      <c r="GL92">
        <v>5</v>
      </c>
      <c r="GM92">
        <v>6</v>
      </c>
      <c r="GN92">
        <v>6</v>
      </c>
      <c r="GO92">
        <v>5</v>
      </c>
      <c r="GP92">
        <v>7</v>
      </c>
      <c r="GQ92">
        <v>3</v>
      </c>
      <c r="GR92">
        <v>4</v>
      </c>
      <c r="GS92">
        <v>2</v>
      </c>
      <c r="GT92">
        <v>2</v>
      </c>
      <c r="GU92">
        <v>2</v>
      </c>
      <c r="GV92">
        <v>13</v>
      </c>
      <c r="GW92">
        <v>6</v>
      </c>
      <c r="GX92">
        <v>4</v>
      </c>
      <c r="GY92">
        <v>2</v>
      </c>
      <c r="GZ92">
        <v>2</v>
      </c>
      <c r="HA92">
        <v>11</v>
      </c>
      <c r="HB92">
        <v>5</v>
      </c>
      <c r="HC92">
        <v>7</v>
      </c>
      <c r="HD92">
        <v>5</v>
      </c>
      <c r="HG92">
        <v>440</v>
      </c>
      <c r="HI92">
        <v>10</v>
      </c>
      <c r="HJ92">
        <v>4</v>
      </c>
      <c r="HK92">
        <v>7</v>
      </c>
      <c r="HL92">
        <v>2</v>
      </c>
      <c r="HM92">
        <v>1</v>
      </c>
      <c r="HN92">
        <v>2</v>
      </c>
      <c r="HP92">
        <v>9</v>
      </c>
      <c r="HR92">
        <v>4</v>
      </c>
      <c r="HS92">
        <v>13</v>
      </c>
      <c r="HT92">
        <v>10</v>
      </c>
      <c r="HU92">
        <v>5</v>
      </c>
      <c r="HV92">
        <v>5</v>
      </c>
      <c r="HY92">
        <v>440</v>
      </c>
      <c r="HZ92">
        <v>5</v>
      </c>
      <c r="IA92">
        <v>6</v>
      </c>
      <c r="IC92">
        <v>14</v>
      </c>
      <c r="ID92">
        <v>4</v>
      </c>
      <c r="IE92">
        <v>2</v>
      </c>
      <c r="IF92">
        <v>2</v>
      </c>
      <c r="IG92">
        <v>19</v>
      </c>
      <c r="IH92">
        <v>18</v>
      </c>
      <c r="II92">
        <v>5</v>
      </c>
      <c r="IJ92">
        <v>8</v>
      </c>
      <c r="IK92">
        <v>2</v>
      </c>
      <c r="IL92">
        <v>10</v>
      </c>
      <c r="IM92">
        <v>13</v>
      </c>
      <c r="IN92">
        <v>11</v>
      </c>
      <c r="IO92">
        <v>9</v>
      </c>
    </row>
    <row r="93" spans="1:249" x14ac:dyDescent="0.35">
      <c r="A93" s="8">
        <v>160.16</v>
      </c>
      <c r="D93" s="2">
        <v>64.774000000000001</v>
      </c>
      <c r="H93">
        <v>258.07400000000001</v>
      </c>
      <c r="BM93">
        <v>81.096000000000004</v>
      </c>
      <c r="BV93">
        <v>262.58300000000003</v>
      </c>
      <c r="DM93">
        <v>121.986</v>
      </c>
      <c r="DT93">
        <v>307.34699999999998</v>
      </c>
      <c r="GB93">
        <v>445</v>
      </c>
      <c r="GC93">
        <v>15</v>
      </c>
      <c r="GD93">
        <v>9</v>
      </c>
      <c r="GE93">
        <v>3</v>
      </c>
      <c r="GF93">
        <v>9</v>
      </c>
      <c r="GG93">
        <v>2</v>
      </c>
      <c r="GH93">
        <v>9</v>
      </c>
      <c r="GI93">
        <v>7</v>
      </c>
      <c r="GJ93">
        <v>8</v>
      </c>
      <c r="GK93">
        <v>4</v>
      </c>
      <c r="GL93">
        <v>5</v>
      </c>
      <c r="GM93">
        <v>9</v>
      </c>
      <c r="GN93">
        <v>6</v>
      </c>
      <c r="GO93">
        <v>6</v>
      </c>
      <c r="GP93">
        <v>6</v>
      </c>
      <c r="GQ93">
        <v>3</v>
      </c>
      <c r="GR93">
        <v>4</v>
      </c>
      <c r="GS93">
        <v>1</v>
      </c>
      <c r="GT93">
        <v>2</v>
      </c>
      <c r="GU93">
        <v>2</v>
      </c>
      <c r="GV93">
        <v>20</v>
      </c>
      <c r="GW93">
        <v>6</v>
      </c>
      <c r="GX93">
        <v>4</v>
      </c>
      <c r="GY93">
        <v>2</v>
      </c>
      <c r="GZ93">
        <v>1</v>
      </c>
      <c r="HA93">
        <v>12</v>
      </c>
      <c r="HB93">
        <v>5</v>
      </c>
      <c r="HC93">
        <v>7</v>
      </c>
      <c r="HD93">
        <v>5</v>
      </c>
      <c r="HG93">
        <v>445</v>
      </c>
      <c r="HI93">
        <v>10</v>
      </c>
      <c r="HJ93">
        <v>4</v>
      </c>
      <c r="HK93">
        <v>7</v>
      </c>
      <c r="HL93">
        <v>1</v>
      </c>
      <c r="HM93">
        <v>1</v>
      </c>
      <c r="HN93">
        <v>2</v>
      </c>
      <c r="HP93">
        <v>8</v>
      </c>
      <c r="HR93">
        <v>4</v>
      </c>
      <c r="HS93">
        <v>10</v>
      </c>
      <c r="HT93">
        <v>12</v>
      </c>
      <c r="HU93">
        <v>5</v>
      </c>
      <c r="HV93">
        <v>5</v>
      </c>
      <c r="HY93">
        <v>445</v>
      </c>
      <c r="HZ93">
        <v>5</v>
      </c>
      <c r="IA93">
        <v>6</v>
      </c>
      <c r="IC93">
        <v>14</v>
      </c>
      <c r="ID93">
        <v>4</v>
      </c>
      <c r="IE93">
        <v>2</v>
      </c>
      <c r="IF93">
        <v>2</v>
      </c>
      <c r="IG93">
        <v>18</v>
      </c>
      <c r="IH93">
        <v>16</v>
      </c>
      <c r="II93">
        <v>5</v>
      </c>
      <c r="IJ93">
        <v>8</v>
      </c>
      <c r="IK93">
        <v>1</v>
      </c>
      <c r="IL93">
        <v>10</v>
      </c>
      <c r="IM93">
        <v>12</v>
      </c>
      <c r="IN93">
        <v>10</v>
      </c>
      <c r="IO93">
        <v>9</v>
      </c>
    </row>
    <row r="94" spans="1:249" x14ac:dyDescent="0.35">
      <c r="A94" s="8">
        <v>156.13300000000001</v>
      </c>
      <c r="D94" s="2">
        <v>61.131999999999998</v>
      </c>
      <c r="H94">
        <v>257.04399999999998</v>
      </c>
      <c r="BM94">
        <v>109.925</v>
      </c>
      <c r="BV94">
        <v>261.00400000000002</v>
      </c>
      <c r="DT94">
        <v>307.13600000000002</v>
      </c>
      <c r="GB94">
        <v>450</v>
      </c>
      <c r="GC94">
        <v>15</v>
      </c>
      <c r="GD94">
        <v>9</v>
      </c>
      <c r="GE94">
        <v>3</v>
      </c>
      <c r="GF94">
        <v>11</v>
      </c>
      <c r="GG94">
        <v>2</v>
      </c>
      <c r="GH94">
        <v>9</v>
      </c>
      <c r="GI94">
        <v>10</v>
      </c>
      <c r="GJ94">
        <v>8</v>
      </c>
      <c r="GK94">
        <v>3</v>
      </c>
      <c r="GL94">
        <v>4</v>
      </c>
      <c r="GM94">
        <v>9</v>
      </c>
      <c r="GN94">
        <v>6</v>
      </c>
      <c r="GO94">
        <v>6</v>
      </c>
      <c r="GP94">
        <v>9</v>
      </c>
      <c r="GQ94">
        <v>3</v>
      </c>
      <c r="GR94">
        <v>3</v>
      </c>
      <c r="GS94">
        <v>1</v>
      </c>
      <c r="GT94">
        <v>2</v>
      </c>
      <c r="GU94">
        <v>2</v>
      </c>
      <c r="GV94">
        <v>13</v>
      </c>
      <c r="GW94">
        <v>7</v>
      </c>
      <c r="GX94">
        <v>4</v>
      </c>
      <c r="GY94">
        <v>2</v>
      </c>
      <c r="GZ94">
        <v>2</v>
      </c>
      <c r="HA94">
        <v>12</v>
      </c>
      <c r="HB94">
        <v>4</v>
      </c>
      <c r="HC94">
        <v>7</v>
      </c>
      <c r="HD94">
        <v>6</v>
      </c>
      <c r="HG94">
        <v>450</v>
      </c>
      <c r="HI94">
        <v>9</v>
      </c>
      <c r="HJ94">
        <v>4</v>
      </c>
      <c r="HK94">
        <v>8</v>
      </c>
      <c r="HL94">
        <v>1</v>
      </c>
      <c r="HM94">
        <v>1</v>
      </c>
      <c r="HN94">
        <v>2</v>
      </c>
      <c r="HP94">
        <v>7</v>
      </c>
      <c r="HR94">
        <v>4</v>
      </c>
      <c r="HS94">
        <v>10</v>
      </c>
      <c r="HT94">
        <v>12</v>
      </c>
      <c r="HU94">
        <v>4</v>
      </c>
      <c r="HV94">
        <v>5</v>
      </c>
      <c r="HY94">
        <v>450</v>
      </c>
      <c r="HZ94">
        <v>5</v>
      </c>
      <c r="IA94">
        <v>6</v>
      </c>
      <c r="IC94">
        <v>14</v>
      </c>
      <c r="ID94">
        <v>4</v>
      </c>
      <c r="IE94">
        <v>2</v>
      </c>
      <c r="IF94">
        <v>3</v>
      </c>
      <c r="IG94">
        <v>18</v>
      </c>
      <c r="IH94">
        <v>16</v>
      </c>
      <c r="II94">
        <v>5</v>
      </c>
      <c r="IJ94">
        <v>8</v>
      </c>
      <c r="IK94">
        <v>1</v>
      </c>
      <c r="IL94">
        <v>9</v>
      </c>
      <c r="IM94">
        <v>12</v>
      </c>
      <c r="IN94">
        <v>11</v>
      </c>
      <c r="IO94">
        <v>8</v>
      </c>
    </row>
    <row r="95" spans="1:249" x14ac:dyDescent="0.35">
      <c r="A95" s="8">
        <v>92.912000000000006</v>
      </c>
      <c r="D95" s="2">
        <v>59.561</v>
      </c>
      <c r="H95">
        <v>255.67</v>
      </c>
      <c r="BM95">
        <v>276.72300000000001</v>
      </c>
      <c r="BV95">
        <v>260.714</v>
      </c>
      <c r="DM95">
        <v>47.963000000000001</v>
      </c>
      <c r="DT95">
        <v>305.67</v>
      </c>
      <c r="GB95">
        <v>455</v>
      </c>
      <c r="GC95">
        <v>16</v>
      </c>
      <c r="GD95">
        <v>8</v>
      </c>
      <c r="GE95">
        <v>3</v>
      </c>
      <c r="GF95">
        <v>11</v>
      </c>
      <c r="GG95">
        <v>2</v>
      </c>
      <c r="GH95">
        <v>9</v>
      </c>
      <c r="GI95">
        <v>7</v>
      </c>
      <c r="GJ95">
        <v>8</v>
      </c>
      <c r="GK95">
        <v>3</v>
      </c>
      <c r="GL95">
        <v>4</v>
      </c>
      <c r="GM95">
        <v>14</v>
      </c>
      <c r="GN95">
        <v>6</v>
      </c>
      <c r="GO95">
        <v>4</v>
      </c>
      <c r="GP95">
        <v>9</v>
      </c>
      <c r="GQ95">
        <v>3</v>
      </c>
      <c r="GR95">
        <v>3</v>
      </c>
      <c r="GS95">
        <v>1</v>
      </c>
      <c r="GT95">
        <v>2</v>
      </c>
      <c r="GU95">
        <v>2</v>
      </c>
      <c r="GV95">
        <v>11</v>
      </c>
      <c r="GW95">
        <v>7</v>
      </c>
      <c r="GX95">
        <v>4</v>
      </c>
      <c r="GY95">
        <v>2</v>
      </c>
      <c r="GZ95">
        <v>2</v>
      </c>
      <c r="HA95">
        <v>10</v>
      </c>
      <c r="HB95">
        <v>6</v>
      </c>
      <c r="HC95">
        <v>7</v>
      </c>
      <c r="HD95">
        <v>5</v>
      </c>
      <c r="HG95">
        <v>455</v>
      </c>
      <c r="HI95">
        <v>9</v>
      </c>
      <c r="HJ95">
        <v>4</v>
      </c>
      <c r="HK95">
        <v>7</v>
      </c>
      <c r="HL95">
        <v>1</v>
      </c>
      <c r="HM95">
        <v>1</v>
      </c>
      <c r="HN95">
        <v>2</v>
      </c>
      <c r="HP95">
        <v>6</v>
      </c>
      <c r="HR95">
        <v>4</v>
      </c>
      <c r="HS95">
        <v>9</v>
      </c>
      <c r="HT95">
        <v>11</v>
      </c>
      <c r="HU95">
        <v>2</v>
      </c>
      <c r="HV95">
        <v>5</v>
      </c>
      <c r="HY95">
        <v>455</v>
      </c>
      <c r="HZ95">
        <v>4</v>
      </c>
      <c r="IA95">
        <v>6</v>
      </c>
      <c r="IC95">
        <v>14</v>
      </c>
      <c r="ID95">
        <v>4</v>
      </c>
      <c r="IE95">
        <v>1</v>
      </c>
      <c r="IF95">
        <v>3</v>
      </c>
      <c r="IG95">
        <v>17</v>
      </c>
      <c r="IH95">
        <v>16</v>
      </c>
      <c r="II95">
        <v>7</v>
      </c>
      <c r="IJ95">
        <v>8</v>
      </c>
      <c r="IK95">
        <v>1</v>
      </c>
      <c r="IL95">
        <v>9</v>
      </c>
      <c r="IM95">
        <v>12</v>
      </c>
      <c r="IN95">
        <v>11</v>
      </c>
      <c r="IO95">
        <v>8</v>
      </c>
    </row>
    <row r="96" spans="1:249" x14ac:dyDescent="0.35">
      <c r="A96" s="8">
        <v>162.58000000000001</v>
      </c>
      <c r="D96" s="2">
        <v>58.253999999999998</v>
      </c>
      <c r="H96">
        <v>255.035</v>
      </c>
      <c r="BM96">
        <v>163.36199999999999</v>
      </c>
      <c r="BV96">
        <v>259.88</v>
      </c>
      <c r="DM96">
        <v>54.969000000000001</v>
      </c>
      <c r="DT96">
        <v>304.40300000000002</v>
      </c>
      <c r="GB96">
        <v>460</v>
      </c>
      <c r="GC96">
        <v>14</v>
      </c>
      <c r="GD96">
        <v>9</v>
      </c>
      <c r="GE96">
        <v>2</v>
      </c>
      <c r="GF96">
        <v>19</v>
      </c>
      <c r="GG96">
        <v>2</v>
      </c>
      <c r="GH96">
        <v>10</v>
      </c>
      <c r="GI96">
        <v>7</v>
      </c>
      <c r="GJ96">
        <v>11</v>
      </c>
      <c r="GK96">
        <v>2</v>
      </c>
      <c r="GL96">
        <v>4</v>
      </c>
      <c r="GM96">
        <v>12</v>
      </c>
      <c r="GN96">
        <v>6</v>
      </c>
      <c r="GO96">
        <v>5</v>
      </c>
      <c r="GP96">
        <v>10</v>
      </c>
      <c r="GQ96">
        <v>3</v>
      </c>
      <c r="GR96">
        <v>3</v>
      </c>
      <c r="GS96">
        <v>1</v>
      </c>
      <c r="GT96">
        <v>2</v>
      </c>
      <c r="GU96">
        <v>2</v>
      </c>
      <c r="GV96">
        <v>15</v>
      </c>
      <c r="GW96">
        <v>7</v>
      </c>
      <c r="GX96">
        <v>4</v>
      </c>
      <c r="GY96">
        <v>2</v>
      </c>
      <c r="GZ96">
        <v>2</v>
      </c>
      <c r="HA96">
        <v>11</v>
      </c>
      <c r="HB96">
        <v>3</v>
      </c>
      <c r="HC96">
        <v>6</v>
      </c>
      <c r="HD96">
        <v>4</v>
      </c>
      <c r="HG96">
        <v>460</v>
      </c>
      <c r="HI96">
        <v>8</v>
      </c>
      <c r="HJ96">
        <v>4</v>
      </c>
      <c r="HK96">
        <v>7</v>
      </c>
      <c r="HL96">
        <v>1</v>
      </c>
      <c r="HM96">
        <v>1</v>
      </c>
      <c r="HN96">
        <v>2</v>
      </c>
      <c r="HP96">
        <v>3</v>
      </c>
      <c r="HR96">
        <v>3</v>
      </c>
      <c r="HS96">
        <v>9</v>
      </c>
      <c r="HT96">
        <v>10</v>
      </c>
      <c r="HU96">
        <v>2</v>
      </c>
      <c r="HV96">
        <v>5</v>
      </c>
      <c r="HY96">
        <v>460</v>
      </c>
      <c r="HZ96">
        <v>4</v>
      </c>
      <c r="IA96">
        <v>4</v>
      </c>
      <c r="IC96">
        <v>14</v>
      </c>
      <c r="ID96">
        <v>4</v>
      </c>
      <c r="IE96">
        <v>1</v>
      </c>
      <c r="IF96">
        <v>4</v>
      </c>
      <c r="IG96">
        <v>15</v>
      </c>
      <c r="IH96">
        <v>17</v>
      </c>
      <c r="II96">
        <v>3</v>
      </c>
      <c r="IJ96">
        <v>8</v>
      </c>
      <c r="IK96">
        <v>1</v>
      </c>
      <c r="IL96">
        <v>8</v>
      </c>
      <c r="IM96">
        <v>12</v>
      </c>
      <c r="IN96">
        <v>11</v>
      </c>
      <c r="IO96">
        <v>8</v>
      </c>
    </row>
    <row r="97" spans="1:249" x14ac:dyDescent="0.35">
      <c r="A97" s="8">
        <v>75.176000000000002</v>
      </c>
      <c r="D97" s="10">
        <v>57.027999999999999</v>
      </c>
      <c r="H97">
        <v>254.00299999999999</v>
      </c>
      <c r="BM97">
        <v>244.33600000000001</v>
      </c>
      <c r="BV97">
        <v>257.32499999999999</v>
      </c>
      <c r="DM97">
        <v>70.947999999999993</v>
      </c>
      <c r="DT97">
        <v>303.51799999999997</v>
      </c>
      <c r="GB97">
        <v>465</v>
      </c>
      <c r="GC97">
        <v>11</v>
      </c>
      <c r="GD97">
        <v>9</v>
      </c>
      <c r="GE97">
        <v>1</v>
      </c>
      <c r="GF97">
        <v>13</v>
      </c>
      <c r="GG97">
        <v>4</v>
      </c>
      <c r="GH97">
        <v>10</v>
      </c>
      <c r="GI97">
        <v>7</v>
      </c>
      <c r="GJ97">
        <v>11</v>
      </c>
      <c r="GK97">
        <v>2</v>
      </c>
      <c r="GL97">
        <v>4</v>
      </c>
      <c r="GM97">
        <v>10</v>
      </c>
      <c r="GN97">
        <v>6</v>
      </c>
      <c r="GO97">
        <v>5</v>
      </c>
      <c r="GP97">
        <v>9</v>
      </c>
      <c r="GQ97">
        <v>3</v>
      </c>
      <c r="GR97">
        <v>3</v>
      </c>
      <c r="GS97">
        <v>1</v>
      </c>
      <c r="GT97">
        <v>3</v>
      </c>
      <c r="GU97">
        <v>2</v>
      </c>
      <c r="GV97">
        <v>13</v>
      </c>
      <c r="GW97">
        <v>7</v>
      </c>
      <c r="GX97">
        <v>4</v>
      </c>
      <c r="GY97">
        <v>2</v>
      </c>
      <c r="GZ97">
        <v>2</v>
      </c>
      <c r="HA97">
        <v>12</v>
      </c>
      <c r="HB97">
        <v>3</v>
      </c>
      <c r="HC97">
        <v>5</v>
      </c>
      <c r="HD97">
        <v>4</v>
      </c>
      <c r="HG97">
        <v>465</v>
      </c>
      <c r="HI97">
        <v>8</v>
      </c>
      <c r="HJ97">
        <v>4</v>
      </c>
      <c r="HK97">
        <v>7</v>
      </c>
      <c r="HL97">
        <v>1</v>
      </c>
      <c r="HM97">
        <v>1</v>
      </c>
      <c r="HN97">
        <v>2</v>
      </c>
      <c r="HP97">
        <v>3</v>
      </c>
      <c r="HR97">
        <v>3</v>
      </c>
      <c r="HS97">
        <v>8</v>
      </c>
      <c r="HT97">
        <v>10</v>
      </c>
      <c r="HU97">
        <v>1</v>
      </c>
      <c r="HV97">
        <v>5</v>
      </c>
      <c r="HY97">
        <v>465</v>
      </c>
      <c r="HZ97">
        <v>4</v>
      </c>
      <c r="IA97">
        <v>3</v>
      </c>
      <c r="IC97">
        <v>15</v>
      </c>
      <c r="ID97">
        <v>4</v>
      </c>
      <c r="IE97">
        <v>1</v>
      </c>
      <c r="IF97">
        <v>2</v>
      </c>
      <c r="IG97">
        <v>14</v>
      </c>
      <c r="IH97">
        <v>16</v>
      </c>
      <c r="II97">
        <v>3</v>
      </c>
      <c r="IJ97">
        <v>8</v>
      </c>
      <c r="IK97">
        <v>2</v>
      </c>
      <c r="IL97">
        <v>8</v>
      </c>
      <c r="IM97">
        <v>12</v>
      </c>
      <c r="IN97">
        <v>10</v>
      </c>
      <c r="IO97">
        <v>8</v>
      </c>
    </row>
    <row r="98" spans="1:249" x14ac:dyDescent="0.35">
      <c r="A98" s="8">
        <v>23.617000000000001</v>
      </c>
      <c r="D98" s="2">
        <v>56.976999999999997</v>
      </c>
      <c r="H98">
        <v>252.53299999999999</v>
      </c>
      <c r="BM98">
        <v>162.06200000000001</v>
      </c>
      <c r="BV98">
        <v>256.99200000000002</v>
      </c>
      <c r="DM98">
        <v>46.423999999999999</v>
      </c>
      <c r="DT98">
        <v>302.44900000000001</v>
      </c>
      <c r="GB98">
        <v>470</v>
      </c>
      <c r="GC98">
        <v>12</v>
      </c>
      <c r="GD98">
        <v>9</v>
      </c>
      <c r="GE98">
        <v>1</v>
      </c>
      <c r="GF98">
        <v>19</v>
      </c>
      <c r="GG98">
        <v>4</v>
      </c>
      <c r="GH98">
        <v>10</v>
      </c>
      <c r="GI98">
        <v>6</v>
      </c>
      <c r="GJ98">
        <v>10</v>
      </c>
      <c r="GK98">
        <v>2</v>
      </c>
      <c r="GL98">
        <v>4</v>
      </c>
      <c r="GM98">
        <v>12</v>
      </c>
      <c r="GN98">
        <v>7</v>
      </c>
      <c r="GO98">
        <v>5</v>
      </c>
      <c r="GP98">
        <v>10</v>
      </c>
      <c r="GQ98">
        <v>3</v>
      </c>
      <c r="GR98">
        <v>3</v>
      </c>
      <c r="GT98">
        <v>2</v>
      </c>
      <c r="GU98">
        <v>2</v>
      </c>
      <c r="GV98">
        <v>13</v>
      </c>
      <c r="GW98">
        <v>7</v>
      </c>
      <c r="GX98">
        <v>4</v>
      </c>
      <c r="GY98">
        <v>2</v>
      </c>
      <c r="GZ98">
        <v>2</v>
      </c>
      <c r="HA98">
        <v>10</v>
      </c>
      <c r="HB98">
        <v>3</v>
      </c>
      <c r="HC98">
        <v>5</v>
      </c>
      <c r="HD98">
        <v>4</v>
      </c>
      <c r="HG98">
        <v>470</v>
      </c>
      <c r="HI98">
        <v>6</v>
      </c>
      <c r="HJ98">
        <v>3</v>
      </c>
      <c r="HK98">
        <v>7</v>
      </c>
      <c r="HL98">
        <v>1</v>
      </c>
      <c r="HM98">
        <v>1</v>
      </c>
      <c r="HN98">
        <v>2</v>
      </c>
      <c r="HP98">
        <v>2</v>
      </c>
      <c r="HR98">
        <v>2</v>
      </c>
      <c r="HS98">
        <v>7</v>
      </c>
      <c r="HT98">
        <v>10</v>
      </c>
      <c r="HU98">
        <v>1</v>
      </c>
      <c r="HV98">
        <v>5</v>
      </c>
      <c r="HY98">
        <v>470</v>
      </c>
      <c r="HZ98">
        <v>4</v>
      </c>
      <c r="IA98">
        <v>2</v>
      </c>
      <c r="IC98">
        <v>15</v>
      </c>
      <c r="ID98">
        <v>4</v>
      </c>
      <c r="IE98">
        <v>1</v>
      </c>
      <c r="IF98">
        <v>2</v>
      </c>
      <c r="IG98">
        <v>13</v>
      </c>
      <c r="IH98">
        <v>16</v>
      </c>
      <c r="II98">
        <v>1</v>
      </c>
      <c r="IJ98">
        <v>8</v>
      </c>
      <c r="IK98">
        <v>2</v>
      </c>
      <c r="IL98">
        <v>6</v>
      </c>
      <c r="IM98">
        <v>12</v>
      </c>
      <c r="IN98">
        <v>10</v>
      </c>
      <c r="IO98">
        <v>7</v>
      </c>
    </row>
    <row r="99" spans="1:249" x14ac:dyDescent="0.35">
      <c r="A99" s="8">
        <v>73.835999999999999</v>
      </c>
      <c r="D99" s="2">
        <v>56.383000000000003</v>
      </c>
      <c r="H99">
        <v>251.749</v>
      </c>
      <c r="BM99">
        <v>78.194999999999993</v>
      </c>
      <c r="BV99">
        <v>255.684</v>
      </c>
      <c r="DM99">
        <v>60.722000000000001</v>
      </c>
      <c r="DT99">
        <v>302.15199999999999</v>
      </c>
      <c r="GB99">
        <v>475</v>
      </c>
      <c r="GC99">
        <v>12</v>
      </c>
      <c r="GD99">
        <v>9</v>
      </c>
      <c r="GE99">
        <v>1</v>
      </c>
      <c r="GF99">
        <v>14</v>
      </c>
      <c r="GG99">
        <v>4</v>
      </c>
      <c r="GH99">
        <v>8</v>
      </c>
      <c r="GI99">
        <v>6</v>
      </c>
      <c r="GJ99">
        <v>8</v>
      </c>
      <c r="GK99">
        <v>2</v>
      </c>
      <c r="GL99">
        <v>4</v>
      </c>
      <c r="GM99">
        <v>9</v>
      </c>
      <c r="GN99">
        <v>7</v>
      </c>
      <c r="GO99">
        <v>5</v>
      </c>
      <c r="GP99">
        <v>10</v>
      </c>
      <c r="GQ99">
        <v>3</v>
      </c>
      <c r="GR99">
        <v>3</v>
      </c>
      <c r="GT99">
        <v>3</v>
      </c>
      <c r="GU99">
        <v>2</v>
      </c>
      <c r="GV99">
        <v>12</v>
      </c>
      <c r="GW99">
        <v>7</v>
      </c>
      <c r="GX99">
        <v>4</v>
      </c>
      <c r="GY99">
        <v>2</v>
      </c>
      <c r="GZ99">
        <v>2</v>
      </c>
      <c r="HA99">
        <v>9</v>
      </c>
      <c r="HB99">
        <v>3</v>
      </c>
      <c r="HC99">
        <v>4</v>
      </c>
      <c r="HD99">
        <v>4</v>
      </c>
      <c r="HG99">
        <v>475</v>
      </c>
      <c r="HI99">
        <v>4</v>
      </c>
      <c r="HJ99">
        <v>3</v>
      </c>
      <c r="HK99">
        <v>6</v>
      </c>
      <c r="HL99">
        <v>1</v>
      </c>
      <c r="HM99">
        <v>1</v>
      </c>
      <c r="HN99">
        <v>2</v>
      </c>
      <c r="HP99">
        <v>2</v>
      </c>
      <c r="HR99">
        <v>2</v>
      </c>
      <c r="HS99">
        <v>5</v>
      </c>
      <c r="HT99">
        <v>9</v>
      </c>
      <c r="HU99">
        <v>1</v>
      </c>
      <c r="HV99">
        <v>5</v>
      </c>
      <c r="HY99">
        <v>475</v>
      </c>
      <c r="HZ99">
        <v>4</v>
      </c>
      <c r="IA99">
        <v>2</v>
      </c>
      <c r="IC99">
        <v>15</v>
      </c>
      <c r="ID99">
        <v>4</v>
      </c>
      <c r="IE99">
        <v>1</v>
      </c>
      <c r="IF99">
        <v>1</v>
      </c>
      <c r="IG99">
        <v>12</v>
      </c>
      <c r="IH99">
        <v>15</v>
      </c>
      <c r="II99">
        <v>1</v>
      </c>
      <c r="IJ99">
        <v>7</v>
      </c>
      <c r="IK99">
        <v>2</v>
      </c>
      <c r="IL99">
        <v>6</v>
      </c>
      <c r="IM99">
        <v>12</v>
      </c>
      <c r="IN99">
        <v>8</v>
      </c>
      <c r="IO99">
        <v>6</v>
      </c>
    </row>
    <row r="100" spans="1:249" x14ac:dyDescent="0.35">
      <c r="A100" s="8">
        <v>261.92200000000003</v>
      </c>
      <c r="D100" s="10">
        <v>55.456000000000003</v>
      </c>
      <c r="H100" s="8">
        <v>251.56299999999999</v>
      </c>
      <c r="BM100">
        <v>66.599999999999994</v>
      </c>
      <c r="BV100">
        <v>254.565</v>
      </c>
      <c r="DM100">
        <v>38.929000000000002</v>
      </c>
      <c r="DT100">
        <v>300.83999999999997</v>
      </c>
      <c r="GB100">
        <v>480</v>
      </c>
      <c r="GC100">
        <v>11</v>
      </c>
      <c r="GD100">
        <v>9</v>
      </c>
      <c r="GE100">
        <v>1</v>
      </c>
      <c r="GF100">
        <v>11</v>
      </c>
      <c r="GG100">
        <v>3</v>
      </c>
      <c r="GH100">
        <v>8</v>
      </c>
      <c r="GI100">
        <v>6</v>
      </c>
      <c r="GJ100">
        <v>9</v>
      </c>
      <c r="GK100">
        <v>2</v>
      </c>
      <c r="GL100">
        <v>4</v>
      </c>
      <c r="GM100">
        <v>13</v>
      </c>
      <c r="GN100">
        <v>7</v>
      </c>
      <c r="GO100">
        <v>5</v>
      </c>
      <c r="GP100">
        <v>12</v>
      </c>
      <c r="GQ100">
        <v>3</v>
      </c>
      <c r="GR100">
        <v>2</v>
      </c>
      <c r="GT100">
        <v>2</v>
      </c>
      <c r="GU100">
        <v>2</v>
      </c>
      <c r="GV100">
        <v>11</v>
      </c>
      <c r="GW100">
        <v>7</v>
      </c>
      <c r="GX100">
        <v>4</v>
      </c>
      <c r="GY100">
        <v>2</v>
      </c>
      <c r="GZ100">
        <v>2</v>
      </c>
      <c r="HA100">
        <v>12</v>
      </c>
      <c r="HB100">
        <v>3</v>
      </c>
      <c r="HC100">
        <v>4</v>
      </c>
      <c r="HD100">
        <v>4</v>
      </c>
      <c r="HG100">
        <v>480</v>
      </c>
      <c r="HI100">
        <v>4</v>
      </c>
      <c r="HJ100">
        <v>2</v>
      </c>
      <c r="HK100">
        <v>6</v>
      </c>
      <c r="HL100">
        <v>1</v>
      </c>
      <c r="HM100">
        <v>1</v>
      </c>
      <c r="HN100">
        <v>2</v>
      </c>
      <c r="HP100">
        <v>2</v>
      </c>
      <c r="HR100">
        <v>2</v>
      </c>
      <c r="HS100">
        <v>5</v>
      </c>
      <c r="HT100">
        <v>11</v>
      </c>
      <c r="HU100">
        <v>1</v>
      </c>
      <c r="HV100">
        <v>5</v>
      </c>
      <c r="HY100">
        <v>480</v>
      </c>
      <c r="HZ100">
        <v>2</v>
      </c>
      <c r="IA100">
        <v>1</v>
      </c>
      <c r="IC100">
        <v>13</v>
      </c>
      <c r="ID100">
        <v>4</v>
      </c>
      <c r="IE100">
        <v>1</v>
      </c>
      <c r="IF100">
        <v>1</v>
      </c>
      <c r="IG100">
        <v>12</v>
      </c>
      <c r="IH100">
        <v>15</v>
      </c>
      <c r="II100">
        <v>1</v>
      </c>
      <c r="IJ100">
        <v>7</v>
      </c>
      <c r="IK100">
        <v>2</v>
      </c>
      <c r="IL100">
        <v>4</v>
      </c>
      <c r="IM100">
        <v>12</v>
      </c>
      <c r="IN100">
        <v>8</v>
      </c>
      <c r="IO100">
        <v>5</v>
      </c>
    </row>
    <row r="101" spans="1:249" x14ac:dyDescent="0.35">
      <c r="A101" s="8">
        <v>268.65600000000001</v>
      </c>
      <c r="D101" s="2">
        <v>52.087000000000003</v>
      </c>
      <c r="H101">
        <v>249.60599999999999</v>
      </c>
      <c r="BM101">
        <v>121.831</v>
      </c>
      <c r="BV101">
        <v>253.49199999999999</v>
      </c>
      <c r="DM101">
        <v>203.73699999999999</v>
      </c>
      <c r="DT101">
        <v>297.06299999999999</v>
      </c>
      <c r="DU101">
        <f>115*2</f>
        <v>230</v>
      </c>
      <c r="DV101">
        <v>1</v>
      </c>
      <c r="GB101">
        <v>485</v>
      </c>
      <c r="GC101">
        <v>13</v>
      </c>
      <c r="GD101">
        <v>8</v>
      </c>
      <c r="GE101">
        <v>1</v>
      </c>
      <c r="GF101">
        <v>10</v>
      </c>
      <c r="GG101">
        <v>3</v>
      </c>
      <c r="GH101">
        <v>8</v>
      </c>
      <c r="GI101">
        <v>6</v>
      </c>
      <c r="GJ101">
        <v>7</v>
      </c>
      <c r="GK101">
        <v>2</v>
      </c>
      <c r="GL101">
        <v>4</v>
      </c>
      <c r="GM101">
        <v>15</v>
      </c>
      <c r="GN101">
        <v>7</v>
      </c>
      <c r="GO101">
        <v>4</v>
      </c>
      <c r="GP101">
        <v>13</v>
      </c>
      <c r="GQ101">
        <v>3</v>
      </c>
      <c r="GR101">
        <v>2</v>
      </c>
      <c r="GT101">
        <v>2</v>
      </c>
      <c r="GU101">
        <v>1</v>
      </c>
      <c r="GV101">
        <v>11</v>
      </c>
      <c r="GW101">
        <v>8</v>
      </c>
      <c r="GX101">
        <v>3</v>
      </c>
      <c r="GY101">
        <v>2</v>
      </c>
      <c r="GZ101">
        <v>2</v>
      </c>
      <c r="HA101">
        <v>9</v>
      </c>
      <c r="HB101">
        <v>3</v>
      </c>
      <c r="HC101">
        <v>4</v>
      </c>
      <c r="HD101">
        <v>4</v>
      </c>
      <c r="HG101">
        <v>485</v>
      </c>
      <c r="HI101">
        <v>3</v>
      </c>
      <c r="HJ101">
        <v>2</v>
      </c>
      <c r="HK101">
        <v>5</v>
      </c>
      <c r="HL101">
        <v>1</v>
      </c>
      <c r="HM101">
        <v>1</v>
      </c>
      <c r="HN101">
        <v>2</v>
      </c>
      <c r="HP101">
        <v>2</v>
      </c>
      <c r="HR101">
        <v>2</v>
      </c>
      <c r="HS101">
        <v>3</v>
      </c>
      <c r="HT101">
        <v>8</v>
      </c>
      <c r="HU101">
        <v>1</v>
      </c>
      <c r="HV101">
        <v>4</v>
      </c>
      <c r="HY101">
        <v>485</v>
      </c>
      <c r="HZ101">
        <v>2</v>
      </c>
      <c r="IA101">
        <v>1</v>
      </c>
      <c r="IC101">
        <v>13</v>
      </c>
      <c r="ID101">
        <v>4</v>
      </c>
      <c r="IE101">
        <v>1</v>
      </c>
      <c r="IF101">
        <v>1</v>
      </c>
      <c r="IG101">
        <v>11</v>
      </c>
      <c r="IH101">
        <v>15</v>
      </c>
      <c r="II101">
        <v>1</v>
      </c>
      <c r="IJ101">
        <v>7</v>
      </c>
      <c r="IK101">
        <v>2</v>
      </c>
      <c r="IL101">
        <v>4</v>
      </c>
      <c r="IM101">
        <v>12</v>
      </c>
      <c r="IN101">
        <v>7</v>
      </c>
      <c r="IO101">
        <v>5</v>
      </c>
    </row>
    <row r="102" spans="1:249" x14ac:dyDescent="0.35">
      <c r="A102" s="8">
        <v>292.11599999999999</v>
      </c>
      <c r="D102" s="2">
        <v>43.667999999999999</v>
      </c>
      <c r="H102">
        <v>249.11500000000001</v>
      </c>
      <c r="J102" s="8"/>
      <c r="BM102">
        <v>25.722999999999999</v>
      </c>
      <c r="BV102">
        <v>252.113</v>
      </c>
      <c r="DM102">
        <v>110.119</v>
      </c>
      <c r="DT102">
        <v>296.791</v>
      </c>
      <c r="GB102">
        <v>490</v>
      </c>
      <c r="GC102">
        <v>13</v>
      </c>
      <c r="GD102">
        <v>7</v>
      </c>
      <c r="GE102">
        <v>1</v>
      </c>
      <c r="GF102">
        <v>19</v>
      </c>
      <c r="GG102">
        <v>3</v>
      </c>
      <c r="GH102">
        <v>8</v>
      </c>
      <c r="GI102">
        <v>6</v>
      </c>
      <c r="GJ102">
        <v>9</v>
      </c>
      <c r="GK102">
        <v>2</v>
      </c>
      <c r="GL102">
        <v>4</v>
      </c>
      <c r="GM102">
        <v>13</v>
      </c>
      <c r="GN102">
        <v>7</v>
      </c>
      <c r="GO102">
        <v>5</v>
      </c>
      <c r="GP102">
        <v>16</v>
      </c>
      <c r="GQ102">
        <v>3</v>
      </c>
      <c r="GR102">
        <v>2</v>
      </c>
      <c r="GT102">
        <v>2</v>
      </c>
      <c r="GU102">
        <v>1</v>
      </c>
      <c r="GV102">
        <v>10</v>
      </c>
      <c r="GW102">
        <v>9</v>
      </c>
      <c r="GX102">
        <v>3</v>
      </c>
      <c r="GY102">
        <v>2</v>
      </c>
      <c r="GZ102">
        <v>2</v>
      </c>
      <c r="HA102">
        <v>9</v>
      </c>
      <c r="HB102">
        <v>3</v>
      </c>
      <c r="HC102">
        <v>4</v>
      </c>
      <c r="HD102">
        <v>3</v>
      </c>
      <c r="HG102">
        <v>490</v>
      </c>
      <c r="HI102">
        <v>3</v>
      </c>
      <c r="HJ102">
        <v>2</v>
      </c>
      <c r="HK102">
        <v>4</v>
      </c>
      <c r="HL102">
        <v>1</v>
      </c>
      <c r="HM102">
        <v>1</v>
      </c>
      <c r="HN102">
        <v>2</v>
      </c>
      <c r="HP102">
        <v>2</v>
      </c>
      <c r="HR102">
        <v>2</v>
      </c>
      <c r="HS102">
        <v>3</v>
      </c>
      <c r="HT102">
        <v>8</v>
      </c>
      <c r="HU102">
        <v>1</v>
      </c>
      <c r="HV102">
        <v>4</v>
      </c>
      <c r="HY102">
        <v>490</v>
      </c>
      <c r="HZ102">
        <v>2</v>
      </c>
      <c r="IA102">
        <v>1</v>
      </c>
      <c r="IC102">
        <v>12</v>
      </c>
      <c r="ID102">
        <v>4</v>
      </c>
      <c r="IE102">
        <v>1</v>
      </c>
      <c r="IF102">
        <v>1</v>
      </c>
      <c r="IG102">
        <v>11</v>
      </c>
      <c r="IH102">
        <v>15</v>
      </c>
      <c r="II102">
        <v>1</v>
      </c>
      <c r="IJ102">
        <v>7</v>
      </c>
      <c r="IK102">
        <v>2</v>
      </c>
      <c r="IL102">
        <v>4</v>
      </c>
      <c r="IM102">
        <v>12</v>
      </c>
      <c r="IN102">
        <v>7</v>
      </c>
      <c r="IO102">
        <v>5</v>
      </c>
    </row>
    <row r="103" spans="1:249" x14ac:dyDescent="0.35">
      <c r="A103" s="8">
        <v>52.959000000000003</v>
      </c>
      <c r="D103" s="2">
        <v>41.534999999999997</v>
      </c>
      <c r="H103">
        <v>248.90700000000001</v>
      </c>
      <c r="BM103">
        <v>99.673000000000002</v>
      </c>
      <c r="BV103">
        <v>252.042</v>
      </c>
      <c r="DM103">
        <v>179.489</v>
      </c>
      <c r="DT103">
        <v>296.202</v>
      </c>
      <c r="GB103">
        <v>495</v>
      </c>
      <c r="GC103">
        <v>9</v>
      </c>
      <c r="GD103">
        <v>7</v>
      </c>
      <c r="GE103">
        <v>1</v>
      </c>
      <c r="GF103">
        <v>11</v>
      </c>
      <c r="GG103">
        <v>3</v>
      </c>
      <c r="GH103">
        <v>11</v>
      </c>
      <c r="GI103">
        <v>6</v>
      </c>
      <c r="GJ103">
        <v>8</v>
      </c>
      <c r="GK103">
        <v>2</v>
      </c>
      <c r="GL103">
        <v>4</v>
      </c>
      <c r="GM103">
        <v>15</v>
      </c>
      <c r="GN103">
        <v>9</v>
      </c>
      <c r="GO103">
        <v>5</v>
      </c>
      <c r="GP103">
        <v>14</v>
      </c>
      <c r="GQ103">
        <v>3</v>
      </c>
      <c r="GR103">
        <v>2</v>
      </c>
      <c r="GT103">
        <v>1</v>
      </c>
      <c r="GU103">
        <v>1</v>
      </c>
      <c r="GV103">
        <v>10</v>
      </c>
      <c r="GW103">
        <v>7</v>
      </c>
      <c r="GX103">
        <v>2</v>
      </c>
      <c r="GY103">
        <v>2</v>
      </c>
      <c r="GZ103">
        <v>2</v>
      </c>
      <c r="HA103">
        <v>9</v>
      </c>
      <c r="HB103">
        <v>3</v>
      </c>
      <c r="HC103">
        <v>4</v>
      </c>
      <c r="HD103">
        <v>3</v>
      </c>
      <c r="HG103">
        <v>495</v>
      </c>
      <c r="HI103">
        <v>3</v>
      </c>
      <c r="HJ103">
        <v>1</v>
      </c>
      <c r="HK103">
        <v>4</v>
      </c>
      <c r="HM103">
        <v>1</v>
      </c>
      <c r="HN103">
        <v>2</v>
      </c>
      <c r="HP103">
        <v>2</v>
      </c>
      <c r="HR103">
        <v>2</v>
      </c>
      <c r="HS103">
        <v>3</v>
      </c>
      <c r="HT103">
        <v>8</v>
      </c>
      <c r="HU103">
        <v>1</v>
      </c>
      <c r="HV103">
        <v>4</v>
      </c>
      <c r="HY103">
        <v>495</v>
      </c>
      <c r="HZ103">
        <v>2</v>
      </c>
      <c r="IA103">
        <v>1</v>
      </c>
      <c r="IC103">
        <v>12</v>
      </c>
      <c r="ID103">
        <v>3</v>
      </c>
      <c r="IE103">
        <v>1</v>
      </c>
      <c r="IF103">
        <v>1</v>
      </c>
      <c r="IG103">
        <v>11</v>
      </c>
      <c r="IH103">
        <v>14</v>
      </c>
      <c r="II103">
        <v>1</v>
      </c>
      <c r="IJ103">
        <v>7</v>
      </c>
      <c r="IK103">
        <v>2</v>
      </c>
      <c r="IL103">
        <v>3</v>
      </c>
      <c r="IM103">
        <v>12</v>
      </c>
      <c r="IN103">
        <v>7</v>
      </c>
      <c r="IO103">
        <v>4</v>
      </c>
    </row>
    <row r="104" spans="1:249" x14ac:dyDescent="0.35">
      <c r="A104" s="8">
        <v>86.820999999999998</v>
      </c>
      <c r="D104" s="2">
        <v>38.975999999999999</v>
      </c>
      <c r="H104">
        <v>248.42400000000001</v>
      </c>
      <c r="BM104">
        <v>85.504999999999995</v>
      </c>
      <c r="BV104">
        <v>251.77699999999999</v>
      </c>
      <c r="DM104">
        <v>116.254</v>
      </c>
      <c r="DT104">
        <v>295.76900000000001</v>
      </c>
      <c r="GB104">
        <v>500</v>
      </c>
      <c r="GC104">
        <v>10</v>
      </c>
      <c r="GD104">
        <v>7</v>
      </c>
      <c r="GE104">
        <v>1</v>
      </c>
      <c r="GF104">
        <v>11</v>
      </c>
      <c r="GG104">
        <v>3</v>
      </c>
      <c r="GH104">
        <v>10</v>
      </c>
      <c r="GI104">
        <v>6</v>
      </c>
      <c r="GJ104">
        <v>9</v>
      </c>
      <c r="GK104">
        <v>2</v>
      </c>
      <c r="GL104">
        <v>5</v>
      </c>
      <c r="GM104">
        <v>21</v>
      </c>
      <c r="GN104">
        <v>9</v>
      </c>
      <c r="GO104">
        <v>5</v>
      </c>
      <c r="GP104">
        <v>18</v>
      </c>
      <c r="GQ104">
        <v>3</v>
      </c>
      <c r="GR104">
        <v>2</v>
      </c>
      <c r="GT104">
        <v>1</v>
      </c>
      <c r="GU104">
        <v>1</v>
      </c>
      <c r="GV104">
        <v>8</v>
      </c>
      <c r="GW104">
        <v>6</v>
      </c>
      <c r="GX104">
        <v>2</v>
      </c>
      <c r="GY104">
        <v>2</v>
      </c>
      <c r="GZ104">
        <v>2</v>
      </c>
      <c r="HA104">
        <v>12</v>
      </c>
      <c r="HB104">
        <v>3</v>
      </c>
      <c r="HC104">
        <v>4</v>
      </c>
      <c r="HD104">
        <v>3</v>
      </c>
      <c r="HG104">
        <v>500</v>
      </c>
      <c r="HI104">
        <v>3</v>
      </c>
      <c r="HJ104">
        <v>1</v>
      </c>
      <c r="HK104">
        <v>4</v>
      </c>
      <c r="HM104">
        <v>1</v>
      </c>
      <c r="HN104">
        <v>2</v>
      </c>
      <c r="HP104">
        <v>2</v>
      </c>
      <c r="HR104">
        <v>2</v>
      </c>
      <c r="HS104">
        <v>2</v>
      </c>
      <c r="HT104">
        <v>6</v>
      </c>
      <c r="HU104">
        <v>1</v>
      </c>
      <c r="HV104">
        <v>4</v>
      </c>
      <c r="HY104">
        <v>500</v>
      </c>
      <c r="HZ104">
        <v>1</v>
      </c>
      <c r="IA104">
        <v>1</v>
      </c>
      <c r="IC104">
        <v>12</v>
      </c>
      <c r="ID104">
        <v>3</v>
      </c>
      <c r="IE104">
        <v>1</v>
      </c>
      <c r="IF104">
        <v>1</v>
      </c>
      <c r="IG104">
        <v>11</v>
      </c>
      <c r="IH104">
        <v>14</v>
      </c>
      <c r="II104">
        <v>1</v>
      </c>
      <c r="IJ104">
        <v>6</v>
      </c>
      <c r="IK104">
        <v>4</v>
      </c>
      <c r="IL104">
        <v>3</v>
      </c>
      <c r="IM104">
        <v>11</v>
      </c>
      <c r="IN104">
        <v>7</v>
      </c>
      <c r="IO104">
        <v>4</v>
      </c>
    </row>
    <row r="105" spans="1:249" x14ac:dyDescent="0.35">
      <c r="A105" s="8">
        <v>37.549999999999997</v>
      </c>
      <c r="D105" s="2">
        <v>37.959000000000003</v>
      </c>
      <c r="H105">
        <v>246.16200000000001</v>
      </c>
      <c r="BM105">
        <v>131.077</v>
      </c>
      <c r="BV105">
        <v>248.828</v>
      </c>
      <c r="DM105">
        <v>17.32</v>
      </c>
      <c r="DT105">
        <v>294.22699999999998</v>
      </c>
      <c r="GB105">
        <v>505</v>
      </c>
      <c r="GC105">
        <v>8</v>
      </c>
      <c r="GD105">
        <v>6</v>
      </c>
      <c r="GE105">
        <v>1</v>
      </c>
      <c r="GF105">
        <v>8</v>
      </c>
      <c r="GG105">
        <v>3</v>
      </c>
      <c r="GH105">
        <v>10</v>
      </c>
      <c r="GI105">
        <v>6</v>
      </c>
      <c r="GJ105">
        <v>10</v>
      </c>
      <c r="GK105">
        <v>2</v>
      </c>
      <c r="GL105">
        <v>4</v>
      </c>
      <c r="GM105">
        <v>20</v>
      </c>
      <c r="GN105">
        <v>7</v>
      </c>
      <c r="GO105">
        <v>5</v>
      </c>
      <c r="GP105">
        <v>20</v>
      </c>
      <c r="GQ105">
        <v>3</v>
      </c>
      <c r="GR105">
        <v>2</v>
      </c>
      <c r="GT105">
        <v>1</v>
      </c>
      <c r="GU105">
        <v>1</v>
      </c>
      <c r="GV105">
        <v>9</v>
      </c>
      <c r="GW105">
        <v>7</v>
      </c>
      <c r="GX105">
        <v>2</v>
      </c>
      <c r="GY105">
        <v>1</v>
      </c>
      <c r="GZ105">
        <v>2</v>
      </c>
      <c r="HA105">
        <v>12</v>
      </c>
      <c r="HB105">
        <v>3</v>
      </c>
      <c r="HC105">
        <v>4</v>
      </c>
      <c r="HD105">
        <v>3</v>
      </c>
      <c r="HG105">
        <v>505</v>
      </c>
      <c r="HI105">
        <v>3</v>
      </c>
      <c r="HJ105">
        <v>1</v>
      </c>
      <c r="HK105">
        <v>4</v>
      </c>
      <c r="HM105">
        <v>1</v>
      </c>
      <c r="HN105">
        <v>2</v>
      </c>
      <c r="HP105">
        <v>2</v>
      </c>
      <c r="HR105">
        <v>2</v>
      </c>
      <c r="HS105">
        <v>2</v>
      </c>
      <c r="HT105">
        <v>6</v>
      </c>
      <c r="HU105">
        <v>1</v>
      </c>
      <c r="HV105">
        <v>4</v>
      </c>
      <c r="HY105">
        <v>505</v>
      </c>
      <c r="HZ105">
        <v>1</v>
      </c>
      <c r="IA105">
        <v>1</v>
      </c>
      <c r="IC105">
        <v>10</v>
      </c>
      <c r="ID105">
        <v>3</v>
      </c>
      <c r="IE105">
        <v>1</v>
      </c>
      <c r="IF105">
        <v>1</v>
      </c>
      <c r="IG105">
        <v>11</v>
      </c>
      <c r="IH105">
        <v>13</v>
      </c>
      <c r="II105">
        <v>1</v>
      </c>
      <c r="IJ105">
        <v>6</v>
      </c>
      <c r="IL105">
        <v>3</v>
      </c>
      <c r="IM105">
        <v>10</v>
      </c>
      <c r="IN105">
        <v>7</v>
      </c>
      <c r="IO105">
        <v>4</v>
      </c>
    </row>
    <row r="106" spans="1:249" x14ac:dyDescent="0.35">
      <c r="A106" s="8">
        <v>36.893000000000001</v>
      </c>
      <c r="D106" s="10">
        <v>37.549999999999997</v>
      </c>
      <c r="H106">
        <v>245.393</v>
      </c>
      <c r="J106" s="8"/>
      <c r="BM106">
        <v>283.80599999999998</v>
      </c>
      <c r="BV106">
        <v>248.67699999999999</v>
      </c>
      <c r="DM106">
        <v>58.337000000000003</v>
      </c>
      <c r="DT106">
        <v>294.11399999999998</v>
      </c>
      <c r="GB106">
        <v>510</v>
      </c>
      <c r="GC106">
        <v>8</v>
      </c>
      <c r="GD106">
        <v>6</v>
      </c>
      <c r="GE106">
        <v>1</v>
      </c>
      <c r="GF106">
        <v>7</v>
      </c>
      <c r="GG106">
        <v>3</v>
      </c>
      <c r="GH106">
        <v>10</v>
      </c>
      <c r="GI106">
        <v>6</v>
      </c>
      <c r="GJ106">
        <v>11</v>
      </c>
      <c r="GK106">
        <v>2</v>
      </c>
      <c r="GL106">
        <v>3</v>
      </c>
      <c r="GM106">
        <v>17</v>
      </c>
      <c r="GN106">
        <v>7</v>
      </c>
      <c r="GO106">
        <v>5</v>
      </c>
      <c r="GP106">
        <v>21</v>
      </c>
      <c r="GQ106">
        <v>3</v>
      </c>
      <c r="GR106">
        <v>3</v>
      </c>
      <c r="GT106">
        <v>1</v>
      </c>
      <c r="GU106">
        <v>1</v>
      </c>
      <c r="GV106">
        <v>7</v>
      </c>
      <c r="GW106">
        <v>7</v>
      </c>
      <c r="GX106">
        <v>2</v>
      </c>
      <c r="GY106">
        <v>1</v>
      </c>
      <c r="GZ106">
        <v>2</v>
      </c>
      <c r="HA106">
        <v>12</v>
      </c>
      <c r="HB106">
        <v>3</v>
      </c>
      <c r="HC106">
        <v>4</v>
      </c>
      <c r="HD106">
        <v>3</v>
      </c>
      <c r="HG106">
        <v>510</v>
      </c>
      <c r="HI106">
        <v>3</v>
      </c>
      <c r="HJ106">
        <v>1</v>
      </c>
      <c r="HK106">
        <v>4</v>
      </c>
      <c r="HM106">
        <v>1</v>
      </c>
      <c r="HN106">
        <v>2</v>
      </c>
      <c r="HP106">
        <v>2</v>
      </c>
      <c r="HR106">
        <v>2</v>
      </c>
      <c r="HS106">
        <v>2</v>
      </c>
      <c r="HT106">
        <v>4</v>
      </c>
      <c r="HU106">
        <v>1</v>
      </c>
      <c r="HV106">
        <v>4</v>
      </c>
      <c r="HY106">
        <v>510</v>
      </c>
      <c r="HZ106">
        <v>1</v>
      </c>
      <c r="IA106">
        <v>1</v>
      </c>
      <c r="IC106">
        <v>9</v>
      </c>
      <c r="ID106">
        <v>3</v>
      </c>
      <c r="IE106">
        <v>1</v>
      </c>
      <c r="IF106">
        <v>1</v>
      </c>
      <c r="IG106">
        <v>9</v>
      </c>
      <c r="IH106">
        <v>13</v>
      </c>
      <c r="II106">
        <v>1</v>
      </c>
      <c r="IJ106">
        <v>5</v>
      </c>
      <c r="IL106">
        <v>3</v>
      </c>
      <c r="IM106">
        <v>10</v>
      </c>
      <c r="IN106">
        <v>7</v>
      </c>
      <c r="IO106">
        <v>4</v>
      </c>
    </row>
    <row r="107" spans="1:249" x14ac:dyDescent="0.35">
      <c r="A107" s="8">
        <v>84.896000000000001</v>
      </c>
      <c r="D107" s="2">
        <v>36.277000000000001</v>
      </c>
      <c r="H107">
        <v>244.69900000000001</v>
      </c>
      <c r="BM107">
        <v>173.511</v>
      </c>
      <c r="BV107">
        <v>245.40899999999999</v>
      </c>
      <c r="DM107">
        <v>140.44900000000001</v>
      </c>
      <c r="DT107">
        <v>293.94499999999999</v>
      </c>
      <c r="GB107">
        <v>515</v>
      </c>
      <c r="GC107">
        <v>7</v>
      </c>
      <c r="GD107">
        <v>7</v>
      </c>
      <c r="GE107">
        <v>1</v>
      </c>
      <c r="GF107">
        <v>5</v>
      </c>
      <c r="GG107">
        <v>2</v>
      </c>
      <c r="GH107">
        <v>13</v>
      </c>
      <c r="GI107">
        <v>7</v>
      </c>
      <c r="GJ107">
        <v>12</v>
      </c>
      <c r="GK107">
        <v>2</v>
      </c>
      <c r="GL107">
        <v>3</v>
      </c>
      <c r="GM107">
        <v>16</v>
      </c>
      <c r="GN107">
        <v>7</v>
      </c>
      <c r="GO107">
        <v>5</v>
      </c>
      <c r="GP107">
        <v>24</v>
      </c>
      <c r="GQ107">
        <v>3</v>
      </c>
      <c r="GR107">
        <v>3</v>
      </c>
      <c r="GT107">
        <v>1</v>
      </c>
      <c r="GU107">
        <v>1</v>
      </c>
      <c r="GV107">
        <v>7</v>
      </c>
      <c r="GW107">
        <v>5</v>
      </c>
      <c r="GX107">
        <v>2</v>
      </c>
      <c r="GY107">
        <v>1</v>
      </c>
      <c r="GZ107">
        <v>2</v>
      </c>
      <c r="HA107">
        <v>10</v>
      </c>
      <c r="HB107">
        <v>3</v>
      </c>
      <c r="HC107">
        <v>4</v>
      </c>
      <c r="HD107">
        <v>3</v>
      </c>
      <c r="HG107">
        <v>515</v>
      </c>
      <c r="HI107">
        <v>2</v>
      </c>
      <c r="HK107">
        <v>4</v>
      </c>
      <c r="HM107">
        <v>1</v>
      </c>
      <c r="HN107">
        <v>2</v>
      </c>
      <c r="HP107">
        <v>1</v>
      </c>
      <c r="HR107">
        <v>2</v>
      </c>
      <c r="HS107">
        <v>2</v>
      </c>
      <c r="HT107">
        <v>4</v>
      </c>
      <c r="HU107">
        <v>1</v>
      </c>
      <c r="HV107">
        <v>4</v>
      </c>
      <c r="HY107">
        <v>515</v>
      </c>
      <c r="HZ107">
        <v>1</v>
      </c>
      <c r="IA107">
        <v>1</v>
      </c>
      <c r="IC107">
        <v>9</v>
      </c>
      <c r="ID107">
        <v>3</v>
      </c>
      <c r="IE107">
        <v>1</v>
      </c>
      <c r="IG107">
        <v>8</v>
      </c>
      <c r="IH107">
        <v>13</v>
      </c>
      <c r="II107">
        <v>1</v>
      </c>
      <c r="IJ107">
        <v>6</v>
      </c>
      <c r="IL107">
        <v>3</v>
      </c>
      <c r="IM107">
        <v>9</v>
      </c>
      <c r="IN107">
        <v>6</v>
      </c>
      <c r="IO107">
        <v>2</v>
      </c>
    </row>
    <row r="108" spans="1:249" x14ac:dyDescent="0.35">
      <c r="A108" s="8">
        <v>75.248999999999995</v>
      </c>
      <c r="D108" s="2">
        <v>34.948</v>
      </c>
      <c r="H108">
        <v>243.28899999999999</v>
      </c>
      <c r="BM108">
        <v>257.32499999999999</v>
      </c>
      <c r="BV108">
        <v>244.43100000000001</v>
      </c>
      <c r="DM108">
        <v>40.293999999999997</v>
      </c>
      <c r="DT108">
        <v>292.78300000000002</v>
      </c>
      <c r="GB108">
        <v>520</v>
      </c>
      <c r="GC108">
        <v>8</v>
      </c>
      <c r="GD108">
        <v>6</v>
      </c>
      <c r="GE108">
        <v>1</v>
      </c>
      <c r="GF108">
        <v>5</v>
      </c>
      <c r="GG108">
        <v>4</v>
      </c>
      <c r="GH108">
        <v>14</v>
      </c>
      <c r="GI108">
        <v>6</v>
      </c>
      <c r="GJ108">
        <v>12</v>
      </c>
      <c r="GK108">
        <v>3</v>
      </c>
      <c r="GL108">
        <v>3</v>
      </c>
      <c r="GM108">
        <v>14</v>
      </c>
      <c r="GN108">
        <v>7</v>
      </c>
      <c r="GO108">
        <v>4</v>
      </c>
      <c r="GP108">
        <v>24</v>
      </c>
      <c r="GQ108">
        <v>3</v>
      </c>
      <c r="GR108">
        <v>3</v>
      </c>
      <c r="GT108">
        <v>1</v>
      </c>
      <c r="GU108">
        <v>1</v>
      </c>
      <c r="GV108">
        <v>8</v>
      </c>
      <c r="GW108">
        <v>5</v>
      </c>
      <c r="GX108">
        <v>2</v>
      </c>
      <c r="GY108">
        <v>1</v>
      </c>
      <c r="GZ108">
        <v>2</v>
      </c>
      <c r="HA108">
        <v>11</v>
      </c>
      <c r="HB108">
        <v>3</v>
      </c>
      <c r="HC108">
        <v>3</v>
      </c>
      <c r="HD108">
        <v>3</v>
      </c>
      <c r="HG108">
        <v>520</v>
      </c>
      <c r="HI108">
        <v>2</v>
      </c>
      <c r="HK108">
        <v>4</v>
      </c>
      <c r="HM108">
        <v>1</v>
      </c>
      <c r="HN108">
        <v>2</v>
      </c>
      <c r="HP108">
        <v>1</v>
      </c>
      <c r="HR108">
        <v>2</v>
      </c>
      <c r="HS108">
        <v>2</v>
      </c>
      <c r="HT108">
        <v>4</v>
      </c>
      <c r="HU108">
        <v>1</v>
      </c>
      <c r="HV108">
        <v>4</v>
      </c>
      <c r="HY108">
        <v>520</v>
      </c>
      <c r="HZ108">
        <v>1</v>
      </c>
      <c r="IA108">
        <v>1</v>
      </c>
      <c r="IC108">
        <v>9</v>
      </c>
      <c r="ID108">
        <v>3</v>
      </c>
      <c r="IE108">
        <v>1</v>
      </c>
      <c r="IG108">
        <v>7</v>
      </c>
      <c r="IH108">
        <v>12</v>
      </c>
      <c r="II108">
        <v>1</v>
      </c>
      <c r="IJ108">
        <v>6</v>
      </c>
      <c r="IL108">
        <v>3</v>
      </c>
      <c r="IM108">
        <v>9</v>
      </c>
      <c r="IN108">
        <v>6</v>
      </c>
      <c r="IO108">
        <v>2</v>
      </c>
    </row>
    <row r="109" spans="1:249" x14ac:dyDescent="0.35">
      <c r="A109" s="8">
        <v>62.341000000000001</v>
      </c>
      <c r="D109" s="2">
        <v>33.985999999999997</v>
      </c>
      <c r="H109">
        <v>243.27</v>
      </c>
      <c r="BM109">
        <v>57.375999999999998</v>
      </c>
      <c r="BV109">
        <v>244.39699999999999</v>
      </c>
      <c r="DM109">
        <v>114.15</v>
      </c>
      <c r="DT109">
        <v>291.05599999999998</v>
      </c>
      <c r="GB109">
        <v>525</v>
      </c>
      <c r="GC109">
        <v>7</v>
      </c>
      <c r="GD109">
        <v>6</v>
      </c>
      <c r="GE109">
        <v>1</v>
      </c>
      <c r="GF109">
        <v>5</v>
      </c>
      <c r="GG109">
        <v>3</v>
      </c>
      <c r="GH109">
        <v>10</v>
      </c>
      <c r="GI109">
        <v>6</v>
      </c>
      <c r="GJ109">
        <v>12</v>
      </c>
      <c r="GK109">
        <v>2</v>
      </c>
      <c r="GL109">
        <v>3</v>
      </c>
      <c r="GM109">
        <v>16</v>
      </c>
      <c r="GN109">
        <v>7</v>
      </c>
      <c r="GO109">
        <v>4</v>
      </c>
      <c r="GP109">
        <v>32</v>
      </c>
      <c r="GQ109">
        <v>3</v>
      </c>
      <c r="GR109">
        <v>2</v>
      </c>
      <c r="GT109">
        <v>1</v>
      </c>
      <c r="GU109">
        <v>1</v>
      </c>
      <c r="GV109">
        <v>8</v>
      </c>
      <c r="GW109">
        <v>5</v>
      </c>
      <c r="GX109">
        <v>2</v>
      </c>
      <c r="GY109">
        <v>1</v>
      </c>
      <c r="GZ109">
        <v>2</v>
      </c>
      <c r="HA109">
        <v>9</v>
      </c>
      <c r="HB109">
        <v>3</v>
      </c>
      <c r="HC109">
        <v>3</v>
      </c>
      <c r="HD109">
        <v>3</v>
      </c>
      <c r="HG109">
        <v>525</v>
      </c>
      <c r="HI109">
        <v>2</v>
      </c>
      <c r="HK109">
        <v>4</v>
      </c>
      <c r="HM109">
        <v>1</v>
      </c>
      <c r="HN109">
        <v>2</v>
      </c>
      <c r="HP109">
        <v>1</v>
      </c>
      <c r="HR109">
        <v>2</v>
      </c>
      <c r="HS109">
        <v>2</v>
      </c>
      <c r="HT109">
        <v>4</v>
      </c>
      <c r="HU109">
        <v>1</v>
      </c>
      <c r="HV109">
        <v>4</v>
      </c>
      <c r="HY109">
        <v>525</v>
      </c>
      <c r="HZ109">
        <v>1</v>
      </c>
      <c r="IA109">
        <v>1</v>
      </c>
      <c r="IC109">
        <v>9</v>
      </c>
      <c r="ID109">
        <v>3</v>
      </c>
      <c r="IE109">
        <v>1</v>
      </c>
      <c r="IG109">
        <v>6</v>
      </c>
      <c r="IH109">
        <v>12</v>
      </c>
      <c r="II109">
        <v>1</v>
      </c>
      <c r="IJ109">
        <v>6</v>
      </c>
      <c r="IL109">
        <v>3</v>
      </c>
      <c r="IM109">
        <v>8</v>
      </c>
      <c r="IN109">
        <v>5</v>
      </c>
      <c r="IO109">
        <v>2</v>
      </c>
    </row>
    <row r="110" spans="1:249" x14ac:dyDescent="0.35">
      <c r="A110" s="8">
        <v>26.484000000000002</v>
      </c>
      <c r="D110" s="2">
        <v>33.277000000000001</v>
      </c>
      <c r="H110">
        <v>243.17599999999999</v>
      </c>
      <c r="BM110">
        <v>198.40199999999999</v>
      </c>
      <c r="BV110">
        <v>244.33600000000001</v>
      </c>
      <c r="DM110">
        <v>104.717</v>
      </c>
      <c r="DT110">
        <v>290.95999999999998</v>
      </c>
      <c r="GB110">
        <v>530</v>
      </c>
      <c r="GC110">
        <v>6</v>
      </c>
      <c r="GD110">
        <v>5</v>
      </c>
      <c r="GE110">
        <v>1</v>
      </c>
      <c r="GF110">
        <v>3</v>
      </c>
      <c r="GG110">
        <v>3</v>
      </c>
      <c r="GH110">
        <v>9</v>
      </c>
      <c r="GI110">
        <v>6</v>
      </c>
      <c r="GJ110">
        <v>18</v>
      </c>
      <c r="GK110">
        <v>2</v>
      </c>
      <c r="GL110">
        <v>3</v>
      </c>
      <c r="GM110">
        <v>11</v>
      </c>
      <c r="GN110">
        <v>7</v>
      </c>
      <c r="GO110">
        <v>4</v>
      </c>
      <c r="GP110">
        <v>22</v>
      </c>
      <c r="GQ110">
        <v>3</v>
      </c>
      <c r="GR110">
        <v>2</v>
      </c>
      <c r="GT110">
        <v>1</v>
      </c>
      <c r="GU110">
        <v>1</v>
      </c>
      <c r="GV110">
        <v>8</v>
      </c>
      <c r="GW110">
        <v>6</v>
      </c>
      <c r="GX110">
        <v>2</v>
      </c>
      <c r="GY110">
        <v>1</v>
      </c>
      <c r="GZ110">
        <v>4</v>
      </c>
      <c r="HA110">
        <v>9</v>
      </c>
      <c r="HB110">
        <v>3</v>
      </c>
      <c r="HC110">
        <v>3</v>
      </c>
      <c r="HD110">
        <v>3</v>
      </c>
      <c r="HG110">
        <v>530</v>
      </c>
      <c r="HI110">
        <v>2</v>
      </c>
      <c r="HK110">
        <v>4</v>
      </c>
      <c r="HM110">
        <v>1</v>
      </c>
      <c r="HN110">
        <v>2</v>
      </c>
      <c r="HP110">
        <v>1</v>
      </c>
      <c r="HR110">
        <v>2</v>
      </c>
      <c r="HS110">
        <v>2</v>
      </c>
      <c r="HT110">
        <v>4</v>
      </c>
      <c r="HU110">
        <v>1</v>
      </c>
      <c r="HV110">
        <v>4</v>
      </c>
      <c r="HY110">
        <v>530</v>
      </c>
      <c r="HZ110">
        <v>1</v>
      </c>
      <c r="IA110">
        <v>1</v>
      </c>
      <c r="IC110">
        <v>6</v>
      </c>
      <c r="ID110">
        <v>3</v>
      </c>
      <c r="IE110">
        <v>1</v>
      </c>
      <c r="IG110">
        <v>6</v>
      </c>
      <c r="IH110">
        <v>12</v>
      </c>
      <c r="II110">
        <v>1</v>
      </c>
      <c r="IJ110">
        <v>6</v>
      </c>
      <c r="IL110">
        <v>3</v>
      </c>
      <c r="IM110">
        <v>8</v>
      </c>
      <c r="IN110">
        <v>5</v>
      </c>
      <c r="IO110">
        <v>2</v>
      </c>
    </row>
    <row r="111" spans="1:249" x14ac:dyDescent="0.35">
      <c r="A111" s="8">
        <v>82.090999999999994</v>
      </c>
      <c r="D111" s="2">
        <v>32.048000000000002</v>
      </c>
      <c r="H111">
        <v>242.94200000000001</v>
      </c>
      <c r="J111" s="8"/>
      <c r="BM111">
        <v>87.683000000000007</v>
      </c>
      <c r="BV111">
        <v>243.25800000000001</v>
      </c>
      <c r="DM111">
        <v>74.838999999999999</v>
      </c>
      <c r="DT111">
        <v>290.28800000000001</v>
      </c>
      <c r="GB111">
        <v>535</v>
      </c>
      <c r="GC111">
        <v>6</v>
      </c>
      <c r="GD111">
        <v>5</v>
      </c>
      <c r="GE111">
        <v>1</v>
      </c>
      <c r="GF111">
        <v>1</v>
      </c>
      <c r="GG111">
        <v>3</v>
      </c>
      <c r="GH111">
        <v>8</v>
      </c>
      <c r="GI111">
        <v>6</v>
      </c>
      <c r="GJ111">
        <v>20</v>
      </c>
      <c r="GK111">
        <v>2</v>
      </c>
      <c r="GL111">
        <v>4</v>
      </c>
      <c r="GM111">
        <v>12</v>
      </c>
      <c r="GN111">
        <v>7</v>
      </c>
      <c r="GO111">
        <v>6</v>
      </c>
      <c r="GP111">
        <v>23</v>
      </c>
      <c r="GQ111">
        <v>3</v>
      </c>
      <c r="GR111">
        <v>2</v>
      </c>
      <c r="GT111">
        <v>1</v>
      </c>
      <c r="GU111">
        <v>1</v>
      </c>
      <c r="GV111">
        <v>5</v>
      </c>
      <c r="GW111">
        <v>8</v>
      </c>
      <c r="GX111">
        <v>2</v>
      </c>
      <c r="GY111">
        <v>1</v>
      </c>
      <c r="GZ111">
        <v>3</v>
      </c>
      <c r="HA111">
        <v>8</v>
      </c>
      <c r="HB111">
        <v>2</v>
      </c>
      <c r="HC111">
        <v>3</v>
      </c>
      <c r="HD111">
        <v>3</v>
      </c>
      <c r="HG111">
        <v>535</v>
      </c>
      <c r="HI111">
        <v>2</v>
      </c>
      <c r="HK111">
        <v>4</v>
      </c>
      <c r="HM111">
        <v>1</v>
      </c>
      <c r="HN111">
        <v>2</v>
      </c>
      <c r="HP111">
        <v>1</v>
      </c>
      <c r="HR111">
        <v>2</v>
      </c>
      <c r="HS111">
        <v>2</v>
      </c>
      <c r="HT111">
        <v>3</v>
      </c>
      <c r="HU111">
        <v>1</v>
      </c>
      <c r="HV111">
        <v>4</v>
      </c>
      <c r="HY111">
        <v>535</v>
      </c>
      <c r="HZ111">
        <v>1</v>
      </c>
      <c r="IA111">
        <v>1</v>
      </c>
      <c r="IC111">
        <v>6</v>
      </c>
      <c r="ID111">
        <v>3</v>
      </c>
      <c r="IE111">
        <v>1</v>
      </c>
      <c r="IG111">
        <v>5</v>
      </c>
      <c r="IH111">
        <v>12</v>
      </c>
      <c r="II111">
        <v>1</v>
      </c>
      <c r="IJ111">
        <v>5</v>
      </c>
      <c r="IL111">
        <v>3</v>
      </c>
      <c r="IM111">
        <v>8</v>
      </c>
      <c r="IN111">
        <v>4</v>
      </c>
      <c r="IO111">
        <v>2</v>
      </c>
    </row>
    <row r="112" spans="1:249" x14ac:dyDescent="0.35">
      <c r="A112" s="8">
        <v>91.596999999999994</v>
      </c>
      <c r="D112" s="2">
        <v>24.411999999999999</v>
      </c>
      <c r="H112">
        <v>240.369</v>
      </c>
      <c r="J112" s="8"/>
      <c r="BM112">
        <v>171.13300000000001</v>
      </c>
      <c r="BV112">
        <v>241.07900000000001</v>
      </c>
      <c r="DM112">
        <v>246.541</v>
      </c>
      <c r="DT112">
        <v>289.84100000000001</v>
      </c>
      <c r="GB112">
        <v>540</v>
      </c>
      <c r="GC112">
        <v>6</v>
      </c>
      <c r="GD112">
        <v>4</v>
      </c>
      <c r="GE112">
        <v>1</v>
      </c>
      <c r="GF112">
        <v>1</v>
      </c>
      <c r="GG112">
        <v>2</v>
      </c>
      <c r="GH112">
        <v>9</v>
      </c>
      <c r="GI112">
        <v>6</v>
      </c>
      <c r="GJ112">
        <v>25</v>
      </c>
      <c r="GK112">
        <v>2</v>
      </c>
      <c r="GL112">
        <v>4</v>
      </c>
      <c r="GM112">
        <v>16</v>
      </c>
      <c r="GN112">
        <v>7</v>
      </c>
      <c r="GO112">
        <v>5</v>
      </c>
      <c r="GP112">
        <v>27</v>
      </c>
      <c r="GQ112">
        <v>3</v>
      </c>
      <c r="GR112">
        <v>2</v>
      </c>
      <c r="GT112">
        <v>2</v>
      </c>
      <c r="GU112">
        <v>1</v>
      </c>
      <c r="GV112">
        <v>3</v>
      </c>
      <c r="GW112">
        <v>6</v>
      </c>
      <c r="GX112">
        <v>2</v>
      </c>
      <c r="GY112">
        <v>1</v>
      </c>
      <c r="GZ112">
        <v>4</v>
      </c>
      <c r="HA112">
        <v>7</v>
      </c>
      <c r="HB112">
        <v>3</v>
      </c>
      <c r="HC112">
        <v>3</v>
      </c>
      <c r="HD112">
        <v>3</v>
      </c>
      <c r="HG112">
        <v>540</v>
      </c>
      <c r="HI112">
        <v>2</v>
      </c>
      <c r="HK112">
        <v>4</v>
      </c>
      <c r="HM112">
        <v>1</v>
      </c>
      <c r="HN112">
        <v>2</v>
      </c>
      <c r="HP112">
        <v>1</v>
      </c>
      <c r="HR112">
        <v>2</v>
      </c>
      <c r="HS112">
        <v>1</v>
      </c>
      <c r="HT112">
        <v>3</v>
      </c>
      <c r="HU112">
        <v>1</v>
      </c>
      <c r="HV112">
        <v>4</v>
      </c>
      <c r="HY112">
        <v>540</v>
      </c>
      <c r="HZ112">
        <v>1</v>
      </c>
      <c r="IA112">
        <v>1</v>
      </c>
      <c r="IC112">
        <v>8</v>
      </c>
      <c r="ID112">
        <v>3</v>
      </c>
      <c r="IE112">
        <v>1</v>
      </c>
      <c r="IG112">
        <v>3</v>
      </c>
      <c r="IH112">
        <v>12</v>
      </c>
      <c r="II112">
        <v>1</v>
      </c>
      <c r="IJ112">
        <v>5</v>
      </c>
      <c r="IL112">
        <v>2</v>
      </c>
      <c r="IM112">
        <v>8</v>
      </c>
      <c r="IN112">
        <v>4</v>
      </c>
      <c r="IO112">
        <v>2</v>
      </c>
    </row>
    <row r="113" spans="1:249" x14ac:dyDescent="0.35">
      <c r="A113" s="8">
        <v>102.117</v>
      </c>
      <c r="D113" s="2">
        <v>19.565999999999999</v>
      </c>
      <c r="H113">
        <v>240.279</v>
      </c>
      <c r="BM113">
        <v>174.11600000000001</v>
      </c>
      <c r="BV113">
        <v>239.654</v>
      </c>
      <c r="DM113">
        <v>156.233</v>
      </c>
      <c r="DT113">
        <v>286.02499999999998</v>
      </c>
      <c r="GB113">
        <v>545</v>
      </c>
      <c r="GC113">
        <v>6</v>
      </c>
      <c r="GD113">
        <v>4</v>
      </c>
      <c r="GE113">
        <v>1</v>
      </c>
      <c r="GF113">
        <v>2</v>
      </c>
      <c r="GG113">
        <v>4</v>
      </c>
      <c r="GH113">
        <v>10</v>
      </c>
      <c r="GI113">
        <v>6</v>
      </c>
      <c r="GJ113">
        <v>22</v>
      </c>
      <c r="GK113">
        <v>2</v>
      </c>
      <c r="GL113">
        <v>4</v>
      </c>
      <c r="GM113">
        <v>11</v>
      </c>
      <c r="GN113">
        <v>6</v>
      </c>
      <c r="GO113">
        <v>5</v>
      </c>
      <c r="GP113">
        <v>21</v>
      </c>
      <c r="GQ113">
        <v>2</v>
      </c>
      <c r="GR113">
        <v>2</v>
      </c>
      <c r="GT113">
        <v>2</v>
      </c>
      <c r="GU113">
        <v>1</v>
      </c>
      <c r="GV113">
        <v>3</v>
      </c>
      <c r="GW113">
        <v>6</v>
      </c>
      <c r="GX113">
        <v>2</v>
      </c>
      <c r="GY113">
        <v>1</v>
      </c>
      <c r="GZ113">
        <v>5</v>
      </c>
      <c r="HA113">
        <v>7</v>
      </c>
      <c r="HB113">
        <v>3</v>
      </c>
      <c r="HC113">
        <v>3</v>
      </c>
      <c r="HD113">
        <v>4</v>
      </c>
      <c r="HG113">
        <v>545</v>
      </c>
      <c r="HI113">
        <v>2</v>
      </c>
      <c r="HK113">
        <v>4</v>
      </c>
      <c r="HM113">
        <v>1</v>
      </c>
      <c r="HN113">
        <v>1</v>
      </c>
      <c r="HP113">
        <v>1</v>
      </c>
      <c r="HR113">
        <v>2</v>
      </c>
      <c r="HS113">
        <v>1</v>
      </c>
      <c r="HT113">
        <v>3</v>
      </c>
      <c r="HU113">
        <v>1</v>
      </c>
      <c r="HV113">
        <v>4</v>
      </c>
      <c r="HY113">
        <v>545</v>
      </c>
      <c r="HZ113">
        <v>1</v>
      </c>
      <c r="IA113">
        <v>1</v>
      </c>
      <c r="IC113">
        <v>4</v>
      </c>
      <c r="ID113">
        <v>3</v>
      </c>
      <c r="IE113">
        <v>1</v>
      </c>
      <c r="IG113">
        <v>2</v>
      </c>
      <c r="IH113">
        <v>11</v>
      </c>
      <c r="II113">
        <v>1</v>
      </c>
      <c r="IJ113">
        <v>5</v>
      </c>
      <c r="IL113">
        <v>2</v>
      </c>
      <c r="IM113">
        <v>8</v>
      </c>
      <c r="IN113">
        <v>3</v>
      </c>
      <c r="IO113">
        <v>2</v>
      </c>
    </row>
    <row r="114" spans="1:249" x14ac:dyDescent="0.35">
      <c r="A114" s="8">
        <v>75.953000000000003</v>
      </c>
      <c r="D114" s="2">
        <v>19.163</v>
      </c>
      <c r="H114">
        <v>239.197</v>
      </c>
      <c r="BM114">
        <v>59.322000000000003</v>
      </c>
      <c r="BV114">
        <v>238.80099999999999</v>
      </c>
      <c r="DM114">
        <v>223.012</v>
      </c>
      <c r="DT114">
        <v>285.96899999999999</v>
      </c>
      <c r="GB114">
        <v>550</v>
      </c>
      <c r="GC114">
        <v>6</v>
      </c>
      <c r="GD114">
        <v>3</v>
      </c>
      <c r="GE114">
        <v>1</v>
      </c>
      <c r="GF114">
        <v>2</v>
      </c>
      <c r="GG114">
        <v>3</v>
      </c>
      <c r="GH114">
        <v>9</v>
      </c>
      <c r="GI114">
        <v>6</v>
      </c>
      <c r="GJ114">
        <v>23</v>
      </c>
      <c r="GK114">
        <v>2</v>
      </c>
      <c r="GL114">
        <v>4</v>
      </c>
      <c r="GM114">
        <v>8</v>
      </c>
      <c r="GN114">
        <v>6</v>
      </c>
      <c r="GO114">
        <v>5</v>
      </c>
      <c r="GP114">
        <v>20</v>
      </c>
      <c r="GQ114">
        <v>2</v>
      </c>
      <c r="GR114">
        <v>2</v>
      </c>
      <c r="GT114">
        <v>2</v>
      </c>
      <c r="GU114">
        <v>1</v>
      </c>
      <c r="GV114">
        <v>5</v>
      </c>
      <c r="GW114">
        <v>6</v>
      </c>
      <c r="GX114">
        <v>2</v>
      </c>
      <c r="GY114">
        <v>1</v>
      </c>
      <c r="GZ114">
        <v>3</v>
      </c>
      <c r="HA114">
        <v>6</v>
      </c>
      <c r="HB114">
        <v>3</v>
      </c>
      <c r="HC114">
        <v>3</v>
      </c>
      <c r="HD114">
        <v>6</v>
      </c>
      <c r="HG114">
        <v>550</v>
      </c>
      <c r="HI114">
        <v>2</v>
      </c>
      <c r="HK114">
        <v>4</v>
      </c>
      <c r="HM114">
        <v>1</v>
      </c>
      <c r="HN114">
        <v>1</v>
      </c>
      <c r="HP114">
        <v>1</v>
      </c>
      <c r="HR114">
        <v>2</v>
      </c>
      <c r="HS114">
        <v>1</v>
      </c>
      <c r="HT114">
        <v>4</v>
      </c>
      <c r="HU114">
        <v>1</v>
      </c>
      <c r="HV114">
        <v>5</v>
      </c>
      <c r="HY114">
        <v>550</v>
      </c>
      <c r="HZ114">
        <v>1</v>
      </c>
      <c r="IA114">
        <v>1</v>
      </c>
      <c r="IC114">
        <v>3</v>
      </c>
      <c r="ID114">
        <v>3</v>
      </c>
      <c r="IE114">
        <v>1</v>
      </c>
      <c r="IG114">
        <v>2</v>
      </c>
      <c r="IH114">
        <v>10</v>
      </c>
      <c r="II114">
        <v>1</v>
      </c>
      <c r="IJ114">
        <v>4</v>
      </c>
      <c r="IL114">
        <v>1</v>
      </c>
      <c r="IM114">
        <v>7</v>
      </c>
      <c r="IN114">
        <v>3</v>
      </c>
      <c r="IO114">
        <v>2</v>
      </c>
    </row>
    <row r="115" spans="1:249" x14ac:dyDescent="0.35">
      <c r="A115" s="8">
        <v>80.545000000000002</v>
      </c>
      <c r="H115" s="8">
        <v>239.18299999999999</v>
      </c>
      <c r="BM115">
        <v>136.55699999999999</v>
      </c>
      <c r="BV115">
        <v>236.16800000000001</v>
      </c>
      <c r="DT115">
        <v>285.91500000000002</v>
      </c>
      <c r="GB115">
        <v>555</v>
      </c>
      <c r="GC115">
        <v>6</v>
      </c>
      <c r="GD115">
        <v>3</v>
      </c>
      <c r="GE115">
        <v>1</v>
      </c>
      <c r="GF115">
        <v>2</v>
      </c>
      <c r="GG115">
        <v>2</v>
      </c>
      <c r="GH115">
        <v>7</v>
      </c>
      <c r="GI115">
        <v>6</v>
      </c>
      <c r="GJ115">
        <v>17</v>
      </c>
      <c r="GK115">
        <v>2</v>
      </c>
      <c r="GL115">
        <v>4</v>
      </c>
      <c r="GM115">
        <v>7</v>
      </c>
      <c r="GN115">
        <v>6</v>
      </c>
      <c r="GO115">
        <v>5</v>
      </c>
      <c r="GP115">
        <v>19</v>
      </c>
      <c r="GQ115">
        <v>2</v>
      </c>
      <c r="GR115">
        <v>2</v>
      </c>
      <c r="GT115">
        <v>2</v>
      </c>
      <c r="GU115">
        <v>1</v>
      </c>
      <c r="GV115">
        <v>5</v>
      </c>
      <c r="GW115">
        <v>6</v>
      </c>
      <c r="GX115">
        <v>2</v>
      </c>
      <c r="GY115">
        <v>1</v>
      </c>
      <c r="GZ115">
        <v>3</v>
      </c>
      <c r="HA115">
        <v>5</v>
      </c>
      <c r="HB115">
        <v>3</v>
      </c>
      <c r="HC115">
        <v>3</v>
      </c>
      <c r="HD115">
        <v>6</v>
      </c>
      <c r="HG115">
        <v>555</v>
      </c>
      <c r="HI115">
        <v>2</v>
      </c>
      <c r="HK115">
        <v>4</v>
      </c>
      <c r="HM115">
        <v>1</v>
      </c>
      <c r="HN115">
        <v>1</v>
      </c>
      <c r="HP115">
        <v>1</v>
      </c>
      <c r="HR115">
        <v>2</v>
      </c>
      <c r="HS115">
        <v>1</v>
      </c>
      <c r="HT115">
        <v>4</v>
      </c>
      <c r="HU115">
        <v>1</v>
      </c>
      <c r="HV115">
        <v>4</v>
      </c>
      <c r="HY115">
        <v>555</v>
      </c>
      <c r="HZ115">
        <v>1</v>
      </c>
      <c r="IC115">
        <v>2</v>
      </c>
      <c r="ID115">
        <v>3</v>
      </c>
      <c r="IE115">
        <v>1</v>
      </c>
      <c r="IG115">
        <v>2</v>
      </c>
      <c r="IH115">
        <v>9</v>
      </c>
      <c r="II115">
        <v>1</v>
      </c>
      <c r="IJ115">
        <v>4</v>
      </c>
      <c r="IL115">
        <v>1</v>
      </c>
      <c r="IM115">
        <v>7</v>
      </c>
      <c r="IN115">
        <v>3</v>
      </c>
      <c r="IO115">
        <v>2</v>
      </c>
    </row>
    <row r="116" spans="1:249" x14ac:dyDescent="0.35">
      <c r="A116" s="8">
        <v>28.484000000000002</v>
      </c>
      <c r="H116">
        <v>238.28399999999999</v>
      </c>
      <c r="BM116">
        <v>113.928</v>
      </c>
      <c r="BV116">
        <v>235.357</v>
      </c>
      <c r="DM116">
        <v>147.45500000000001</v>
      </c>
      <c r="DT116">
        <v>285.73099999999999</v>
      </c>
      <c r="GB116">
        <v>560</v>
      </c>
      <c r="GC116">
        <v>6</v>
      </c>
      <c r="GD116">
        <v>3</v>
      </c>
      <c r="GE116">
        <v>1</v>
      </c>
      <c r="GF116">
        <v>2</v>
      </c>
      <c r="GG116">
        <v>2</v>
      </c>
      <c r="GH116">
        <v>7</v>
      </c>
      <c r="GI116">
        <v>6</v>
      </c>
      <c r="GJ116">
        <v>15</v>
      </c>
      <c r="GK116">
        <v>2</v>
      </c>
      <c r="GL116">
        <v>4</v>
      </c>
      <c r="GM116">
        <v>11</v>
      </c>
      <c r="GN116">
        <v>5</v>
      </c>
      <c r="GO116">
        <v>6</v>
      </c>
      <c r="GP116">
        <v>18</v>
      </c>
      <c r="GQ116">
        <v>2</v>
      </c>
      <c r="GR116">
        <v>2</v>
      </c>
      <c r="GU116">
        <v>1</v>
      </c>
      <c r="GV116">
        <v>5</v>
      </c>
      <c r="GW116">
        <v>6</v>
      </c>
      <c r="GX116">
        <v>2</v>
      </c>
      <c r="GY116">
        <v>1</v>
      </c>
      <c r="GZ116">
        <v>3</v>
      </c>
      <c r="HA116">
        <v>4</v>
      </c>
      <c r="HB116">
        <v>3</v>
      </c>
      <c r="HC116">
        <v>3</v>
      </c>
      <c r="HD116">
        <v>5</v>
      </c>
      <c r="HG116">
        <v>560</v>
      </c>
      <c r="HI116">
        <v>2</v>
      </c>
      <c r="HK116">
        <v>4</v>
      </c>
      <c r="HM116">
        <v>1</v>
      </c>
      <c r="HN116">
        <v>1</v>
      </c>
      <c r="HP116">
        <v>1</v>
      </c>
      <c r="HR116">
        <v>2</v>
      </c>
      <c r="HS116">
        <v>1</v>
      </c>
      <c r="HT116">
        <v>4</v>
      </c>
      <c r="HU116">
        <v>1</v>
      </c>
      <c r="HV116">
        <v>4</v>
      </c>
      <c r="HY116">
        <v>560</v>
      </c>
      <c r="HZ116">
        <v>1</v>
      </c>
      <c r="IC116">
        <v>2</v>
      </c>
      <c r="ID116">
        <v>3</v>
      </c>
      <c r="IE116">
        <v>1</v>
      </c>
      <c r="IG116">
        <v>2</v>
      </c>
      <c r="IH116">
        <v>7</v>
      </c>
      <c r="II116">
        <v>1</v>
      </c>
      <c r="IJ116">
        <v>4</v>
      </c>
      <c r="IL116">
        <v>1</v>
      </c>
      <c r="IM116">
        <v>7</v>
      </c>
      <c r="IN116">
        <v>3</v>
      </c>
      <c r="IO116">
        <v>2</v>
      </c>
    </row>
    <row r="117" spans="1:249" x14ac:dyDescent="0.35">
      <c r="A117" s="8">
        <v>102.643</v>
      </c>
      <c r="H117">
        <v>237.61</v>
      </c>
      <c r="BM117">
        <v>51.417000000000002</v>
      </c>
      <c r="BV117">
        <v>233.34899999999999</v>
      </c>
      <c r="DM117">
        <v>51.680999999999997</v>
      </c>
      <c r="DT117">
        <v>285.40800000000002</v>
      </c>
      <c r="GB117">
        <v>565</v>
      </c>
      <c r="GC117">
        <v>5</v>
      </c>
      <c r="GD117">
        <v>2</v>
      </c>
      <c r="GE117">
        <v>1</v>
      </c>
      <c r="GF117">
        <v>3</v>
      </c>
      <c r="GG117">
        <v>2</v>
      </c>
      <c r="GH117">
        <v>7</v>
      </c>
      <c r="GI117">
        <v>7</v>
      </c>
      <c r="GJ117">
        <v>11</v>
      </c>
      <c r="GK117">
        <v>2</v>
      </c>
      <c r="GL117">
        <v>4</v>
      </c>
      <c r="GM117">
        <v>5</v>
      </c>
      <c r="GN117">
        <v>5</v>
      </c>
      <c r="GO117">
        <v>6</v>
      </c>
      <c r="GP117">
        <v>21</v>
      </c>
      <c r="GQ117">
        <v>2</v>
      </c>
      <c r="GR117">
        <v>2</v>
      </c>
      <c r="GU117">
        <v>1</v>
      </c>
      <c r="GV117">
        <v>6</v>
      </c>
      <c r="GW117">
        <v>5</v>
      </c>
      <c r="GX117">
        <v>2</v>
      </c>
      <c r="GY117">
        <v>1</v>
      </c>
      <c r="GZ117">
        <v>3</v>
      </c>
      <c r="HA117">
        <v>3</v>
      </c>
      <c r="HB117">
        <v>3</v>
      </c>
      <c r="HC117">
        <v>3</v>
      </c>
      <c r="HD117">
        <v>3</v>
      </c>
      <c r="HG117">
        <v>565</v>
      </c>
      <c r="HI117">
        <v>3</v>
      </c>
      <c r="HK117">
        <v>4</v>
      </c>
      <c r="HM117">
        <v>1</v>
      </c>
      <c r="HN117">
        <v>1</v>
      </c>
      <c r="HP117">
        <v>1</v>
      </c>
      <c r="HR117">
        <v>2</v>
      </c>
      <c r="HS117">
        <v>1</v>
      </c>
      <c r="HT117">
        <v>4</v>
      </c>
      <c r="HU117">
        <v>1</v>
      </c>
      <c r="HV117">
        <v>4</v>
      </c>
      <c r="HY117">
        <v>565</v>
      </c>
      <c r="HZ117">
        <v>1</v>
      </c>
      <c r="IC117">
        <v>2</v>
      </c>
      <c r="ID117">
        <v>3</v>
      </c>
      <c r="IE117">
        <v>1</v>
      </c>
      <c r="IG117">
        <v>1</v>
      </c>
      <c r="IH117">
        <v>8</v>
      </c>
      <c r="II117">
        <v>1</v>
      </c>
      <c r="IJ117">
        <v>5</v>
      </c>
      <c r="IL117">
        <v>1</v>
      </c>
      <c r="IM117">
        <v>7</v>
      </c>
      <c r="IN117">
        <v>4</v>
      </c>
      <c r="IO117">
        <v>1</v>
      </c>
    </row>
    <row r="118" spans="1:249" x14ac:dyDescent="0.35">
      <c r="A118" s="8">
        <v>85.207999999999998</v>
      </c>
      <c r="H118">
        <v>237.376</v>
      </c>
      <c r="BM118">
        <v>81.515000000000001</v>
      </c>
      <c r="BV118">
        <v>232.84399999999999</v>
      </c>
      <c r="DM118">
        <v>121.82899999999999</v>
      </c>
      <c r="DT118">
        <v>284.303</v>
      </c>
      <c r="GB118">
        <v>570</v>
      </c>
      <c r="GC118">
        <v>4</v>
      </c>
      <c r="GD118">
        <v>2</v>
      </c>
      <c r="GE118">
        <v>1</v>
      </c>
      <c r="GF118">
        <v>2</v>
      </c>
      <c r="GG118">
        <v>2</v>
      </c>
      <c r="GH118">
        <v>8</v>
      </c>
      <c r="GI118">
        <v>7</v>
      </c>
      <c r="GJ118">
        <v>13</v>
      </c>
      <c r="GK118">
        <v>2</v>
      </c>
      <c r="GL118">
        <v>4</v>
      </c>
      <c r="GM118">
        <v>5</v>
      </c>
      <c r="GN118">
        <v>4</v>
      </c>
      <c r="GO118">
        <v>6</v>
      </c>
      <c r="GP118">
        <v>24</v>
      </c>
      <c r="GQ118">
        <v>2</v>
      </c>
      <c r="GR118">
        <v>2</v>
      </c>
      <c r="GU118">
        <v>1</v>
      </c>
      <c r="GV118">
        <v>6</v>
      </c>
      <c r="GW118">
        <v>5</v>
      </c>
      <c r="GX118">
        <v>2</v>
      </c>
      <c r="GY118">
        <v>1</v>
      </c>
      <c r="GZ118">
        <v>3</v>
      </c>
      <c r="HA118">
        <v>3</v>
      </c>
      <c r="HB118">
        <v>3</v>
      </c>
      <c r="HC118">
        <v>3</v>
      </c>
      <c r="HD118">
        <v>3</v>
      </c>
      <c r="HG118">
        <v>570</v>
      </c>
      <c r="HI118">
        <v>3</v>
      </c>
      <c r="HK118">
        <v>4</v>
      </c>
      <c r="HM118">
        <v>1</v>
      </c>
      <c r="HN118">
        <v>1</v>
      </c>
      <c r="HP118">
        <v>1</v>
      </c>
      <c r="HR118">
        <v>2</v>
      </c>
      <c r="HS118">
        <v>1</v>
      </c>
      <c r="HT118">
        <v>6</v>
      </c>
      <c r="HU118">
        <v>1</v>
      </c>
      <c r="HV118">
        <v>4</v>
      </c>
      <c r="HY118">
        <v>570</v>
      </c>
      <c r="HZ118">
        <v>1</v>
      </c>
      <c r="IC118">
        <v>2</v>
      </c>
      <c r="ID118">
        <v>3</v>
      </c>
      <c r="IE118">
        <v>1</v>
      </c>
      <c r="IH118">
        <v>8</v>
      </c>
      <c r="II118">
        <v>1</v>
      </c>
      <c r="IJ118">
        <v>3</v>
      </c>
      <c r="IL118">
        <v>1</v>
      </c>
      <c r="IM118">
        <v>7</v>
      </c>
      <c r="IN118">
        <v>4</v>
      </c>
      <c r="IO118">
        <v>1</v>
      </c>
    </row>
    <row r="119" spans="1:249" x14ac:dyDescent="0.35">
      <c r="A119" s="8">
        <v>35.549999999999997</v>
      </c>
      <c r="H119">
        <v>235.36</v>
      </c>
      <c r="BM119">
        <v>186.173</v>
      </c>
      <c r="BV119">
        <v>232.839</v>
      </c>
      <c r="DM119">
        <v>197.822</v>
      </c>
      <c r="DT119">
        <v>283.60899999999998</v>
      </c>
      <c r="GB119">
        <v>575</v>
      </c>
      <c r="GC119">
        <v>5</v>
      </c>
      <c r="GD119">
        <v>2</v>
      </c>
      <c r="GE119">
        <v>1</v>
      </c>
      <c r="GF119">
        <v>2</v>
      </c>
      <c r="GG119">
        <v>1</v>
      </c>
      <c r="GH119">
        <v>8</v>
      </c>
      <c r="GI119">
        <v>7</v>
      </c>
      <c r="GJ119">
        <v>13</v>
      </c>
      <c r="GK119">
        <v>2</v>
      </c>
      <c r="GL119">
        <v>4</v>
      </c>
      <c r="GM119">
        <v>2</v>
      </c>
      <c r="GN119">
        <v>4</v>
      </c>
      <c r="GO119">
        <v>6</v>
      </c>
      <c r="GP119">
        <v>27</v>
      </c>
      <c r="GQ119">
        <v>2</v>
      </c>
      <c r="GR119">
        <v>2</v>
      </c>
      <c r="GU119">
        <v>1</v>
      </c>
      <c r="GV119">
        <v>5</v>
      </c>
      <c r="GW119">
        <v>6</v>
      </c>
      <c r="GX119">
        <v>2</v>
      </c>
      <c r="GY119">
        <v>1</v>
      </c>
      <c r="GZ119">
        <v>5</v>
      </c>
      <c r="HA119">
        <v>4</v>
      </c>
      <c r="HB119">
        <v>3</v>
      </c>
      <c r="HC119">
        <v>2</v>
      </c>
      <c r="HD119">
        <v>2</v>
      </c>
      <c r="HG119">
        <v>575</v>
      </c>
      <c r="HI119">
        <v>3</v>
      </c>
      <c r="HK119">
        <v>4</v>
      </c>
      <c r="HM119">
        <v>1</v>
      </c>
      <c r="HN119">
        <v>1</v>
      </c>
      <c r="HP119">
        <v>1</v>
      </c>
      <c r="HR119">
        <v>2</v>
      </c>
      <c r="HS119">
        <v>1</v>
      </c>
      <c r="HT119">
        <v>3</v>
      </c>
      <c r="HU119">
        <v>1</v>
      </c>
      <c r="HV119">
        <v>4</v>
      </c>
      <c r="HY119">
        <v>575</v>
      </c>
      <c r="HZ119">
        <v>1</v>
      </c>
      <c r="IC119">
        <v>2</v>
      </c>
      <c r="ID119">
        <v>3</v>
      </c>
      <c r="IE119">
        <v>1</v>
      </c>
      <c r="IH119">
        <v>7</v>
      </c>
      <c r="II119">
        <v>1</v>
      </c>
      <c r="IJ119">
        <v>2</v>
      </c>
      <c r="IM119">
        <v>7</v>
      </c>
      <c r="IN119">
        <v>3</v>
      </c>
      <c r="IO119">
        <v>1</v>
      </c>
    </row>
    <row r="120" spans="1:249" x14ac:dyDescent="0.35">
      <c r="A120" s="8">
        <v>140.572</v>
      </c>
      <c r="H120">
        <v>235.30099999999999</v>
      </c>
      <c r="BM120">
        <v>58.951000000000001</v>
      </c>
      <c r="BV120">
        <v>232.71299999999999</v>
      </c>
      <c r="DM120">
        <v>93.915000000000006</v>
      </c>
      <c r="DT120">
        <v>282.387</v>
      </c>
      <c r="GB120">
        <v>580</v>
      </c>
      <c r="GC120">
        <v>5</v>
      </c>
      <c r="GD120">
        <v>2</v>
      </c>
      <c r="GE120">
        <v>1</v>
      </c>
      <c r="GF120">
        <v>2</v>
      </c>
      <c r="GG120">
        <v>1</v>
      </c>
      <c r="GH120">
        <v>7</v>
      </c>
      <c r="GI120">
        <v>8</v>
      </c>
      <c r="GJ120">
        <v>12</v>
      </c>
      <c r="GK120">
        <v>2</v>
      </c>
      <c r="GL120">
        <v>4</v>
      </c>
      <c r="GM120">
        <v>3</v>
      </c>
      <c r="GN120">
        <v>4</v>
      </c>
      <c r="GO120">
        <v>6</v>
      </c>
      <c r="GP120">
        <v>29</v>
      </c>
      <c r="GQ120">
        <v>2</v>
      </c>
      <c r="GR120">
        <v>2</v>
      </c>
      <c r="GU120">
        <v>1</v>
      </c>
      <c r="GV120">
        <v>3</v>
      </c>
      <c r="GW120">
        <v>6</v>
      </c>
      <c r="GX120">
        <v>2</v>
      </c>
      <c r="GY120">
        <v>1</v>
      </c>
      <c r="GZ120">
        <v>3</v>
      </c>
      <c r="HA120">
        <v>4</v>
      </c>
      <c r="HB120">
        <v>3</v>
      </c>
      <c r="HC120">
        <v>2</v>
      </c>
      <c r="HD120">
        <v>2</v>
      </c>
      <c r="HG120">
        <v>580</v>
      </c>
      <c r="HI120">
        <v>3</v>
      </c>
      <c r="HK120">
        <v>4</v>
      </c>
      <c r="HM120">
        <v>1</v>
      </c>
      <c r="HN120">
        <v>1</v>
      </c>
      <c r="HP120">
        <v>1</v>
      </c>
      <c r="HR120">
        <v>2</v>
      </c>
      <c r="HS120">
        <v>1</v>
      </c>
      <c r="HT120">
        <v>3</v>
      </c>
      <c r="HU120">
        <v>1</v>
      </c>
      <c r="HV120">
        <v>4</v>
      </c>
      <c r="HY120">
        <v>580</v>
      </c>
      <c r="HZ120">
        <v>1</v>
      </c>
      <c r="IC120">
        <v>3</v>
      </c>
      <c r="ID120">
        <v>3</v>
      </c>
      <c r="IE120">
        <v>1</v>
      </c>
      <c r="IH120">
        <v>5</v>
      </c>
      <c r="II120">
        <v>1</v>
      </c>
      <c r="IJ120">
        <v>2</v>
      </c>
      <c r="IM120">
        <v>7</v>
      </c>
      <c r="IN120">
        <v>3</v>
      </c>
      <c r="IO120">
        <v>1</v>
      </c>
    </row>
    <row r="121" spans="1:249" x14ac:dyDescent="0.35">
      <c r="A121" s="8">
        <v>113.095</v>
      </c>
      <c r="H121">
        <v>235.20099999999999</v>
      </c>
      <c r="BM121">
        <v>76.703000000000003</v>
      </c>
      <c r="BV121">
        <v>232.28700000000001</v>
      </c>
      <c r="DT121">
        <v>282.15699999999998</v>
      </c>
      <c r="GB121">
        <v>585</v>
      </c>
      <c r="GC121">
        <v>6</v>
      </c>
      <c r="GD121">
        <v>2</v>
      </c>
      <c r="GE121">
        <v>1</v>
      </c>
      <c r="GF121">
        <v>2</v>
      </c>
      <c r="GH121">
        <v>7</v>
      </c>
      <c r="GI121">
        <v>8</v>
      </c>
      <c r="GJ121">
        <v>12</v>
      </c>
      <c r="GK121">
        <v>2</v>
      </c>
      <c r="GL121">
        <v>4</v>
      </c>
      <c r="GM121">
        <v>2</v>
      </c>
      <c r="GN121">
        <v>4</v>
      </c>
      <c r="GO121">
        <v>8</v>
      </c>
      <c r="GP121">
        <v>25</v>
      </c>
      <c r="GQ121">
        <v>2</v>
      </c>
      <c r="GR121">
        <v>2</v>
      </c>
      <c r="GU121">
        <v>1</v>
      </c>
      <c r="GV121">
        <v>2</v>
      </c>
      <c r="GW121">
        <v>5</v>
      </c>
      <c r="GX121">
        <v>2</v>
      </c>
      <c r="GY121">
        <v>1</v>
      </c>
      <c r="GZ121">
        <v>3</v>
      </c>
      <c r="HA121">
        <v>4</v>
      </c>
      <c r="HB121">
        <v>3</v>
      </c>
      <c r="HC121">
        <v>2</v>
      </c>
      <c r="HD121">
        <v>2</v>
      </c>
      <c r="HG121">
        <v>585</v>
      </c>
      <c r="HI121">
        <v>3</v>
      </c>
      <c r="HK121">
        <v>4</v>
      </c>
      <c r="HM121">
        <v>1</v>
      </c>
      <c r="HN121">
        <v>1</v>
      </c>
      <c r="HP121">
        <v>1</v>
      </c>
      <c r="HR121">
        <v>2</v>
      </c>
      <c r="HS121">
        <v>1</v>
      </c>
      <c r="HT121">
        <v>3</v>
      </c>
      <c r="HU121">
        <v>1</v>
      </c>
      <c r="HV121">
        <v>4</v>
      </c>
      <c r="HY121">
        <v>585</v>
      </c>
      <c r="HZ121">
        <v>1</v>
      </c>
      <c r="IC121">
        <v>1</v>
      </c>
      <c r="ID121">
        <v>3</v>
      </c>
      <c r="IE121">
        <v>1</v>
      </c>
      <c r="IH121">
        <v>5</v>
      </c>
      <c r="II121">
        <v>1</v>
      </c>
      <c r="IJ121">
        <v>1</v>
      </c>
      <c r="IM121">
        <v>7</v>
      </c>
      <c r="IN121">
        <v>3</v>
      </c>
      <c r="IO121">
        <v>1</v>
      </c>
    </row>
    <row r="122" spans="1:249" x14ac:dyDescent="0.35">
      <c r="A122" s="8">
        <v>158.33199999999999</v>
      </c>
      <c r="H122">
        <v>234.785</v>
      </c>
      <c r="BM122">
        <v>100.78</v>
      </c>
      <c r="BV122">
        <v>231.58199999999999</v>
      </c>
      <c r="DM122">
        <v>107.608</v>
      </c>
      <c r="DT122">
        <v>280.25200000000001</v>
      </c>
      <c r="GB122">
        <v>590</v>
      </c>
      <c r="GC122">
        <v>5</v>
      </c>
      <c r="GE122">
        <v>1</v>
      </c>
      <c r="GF122">
        <v>2</v>
      </c>
      <c r="GH122">
        <v>7</v>
      </c>
      <c r="GI122">
        <v>5</v>
      </c>
      <c r="GJ122">
        <v>11</v>
      </c>
      <c r="GK122">
        <v>2</v>
      </c>
      <c r="GL122">
        <v>4</v>
      </c>
      <c r="GM122">
        <v>2</v>
      </c>
      <c r="GN122">
        <v>4</v>
      </c>
      <c r="GO122">
        <v>8</v>
      </c>
      <c r="GP122">
        <v>26</v>
      </c>
      <c r="GQ122">
        <v>2</v>
      </c>
      <c r="GR122">
        <v>2</v>
      </c>
      <c r="GU122">
        <v>1</v>
      </c>
      <c r="GV122">
        <v>1</v>
      </c>
      <c r="GW122">
        <v>4</v>
      </c>
      <c r="GX122">
        <v>2</v>
      </c>
      <c r="GY122">
        <v>1</v>
      </c>
      <c r="GZ122">
        <v>3</v>
      </c>
      <c r="HA122">
        <v>4</v>
      </c>
      <c r="HB122">
        <v>3</v>
      </c>
      <c r="HC122">
        <v>2</v>
      </c>
      <c r="HD122">
        <v>2</v>
      </c>
      <c r="HG122">
        <v>590</v>
      </c>
      <c r="HI122">
        <v>2</v>
      </c>
      <c r="HK122">
        <v>4</v>
      </c>
      <c r="HM122">
        <v>1</v>
      </c>
      <c r="HN122">
        <v>1</v>
      </c>
      <c r="HP122">
        <v>1</v>
      </c>
      <c r="HR122">
        <v>2</v>
      </c>
      <c r="HS122">
        <v>1</v>
      </c>
      <c r="HT122">
        <v>3</v>
      </c>
      <c r="HU122">
        <v>1</v>
      </c>
      <c r="HV122">
        <v>4</v>
      </c>
      <c r="HY122">
        <v>590</v>
      </c>
      <c r="HZ122">
        <v>1</v>
      </c>
      <c r="IC122">
        <v>1</v>
      </c>
      <c r="ID122">
        <v>3</v>
      </c>
      <c r="IE122">
        <v>1</v>
      </c>
      <c r="IH122">
        <v>5</v>
      </c>
      <c r="II122">
        <v>1</v>
      </c>
      <c r="IM122">
        <v>6</v>
      </c>
      <c r="IN122">
        <v>3</v>
      </c>
      <c r="IO122">
        <v>1</v>
      </c>
    </row>
    <row r="123" spans="1:249" x14ac:dyDescent="0.35">
      <c r="A123" s="8">
        <v>177.34899999999999</v>
      </c>
      <c r="H123">
        <v>233.626</v>
      </c>
      <c r="BM123">
        <v>260.714</v>
      </c>
      <c r="BV123">
        <v>230.477</v>
      </c>
      <c r="DM123">
        <v>27.17</v>
      </c>
      <c r="DT123">
        <v>279.41899999999998</v>
      </c>
      <c r="GB123">
        <v>595</v>
      </c>
      <c r="GC123">
        <v>4</v>
      </c>
      <c r="GE123">
        <v>1</v>
      </c>
      <c r="GF123">
        <v>2</v>
      </c>
      <c r="GH123">
        <v>6</v>
      </c>
      <c r="GI123">
        <v>5</v>
      </c>
      <c r="GJ123">
        <v>11</v>
      </c>
      <c r="GK123">
        <v>1</v>
      </c>
      <c r="GL123">
        <v>4</v>
      </c>
      <c r="GM123">
        <v>1</v>
      </c>
      <c r="GN123">
        <v>4</v>
      </c>
      <c r="GO123">
        <v>8</v>
      </c>
      <c r="GP123">
        <v>27</v>
      </c>
      <c r="GQ123">
        <v>2</v>
      </c>
      <c r="GR123">
        <v>2</v>
      </c>
      <c r="GU123">
        <v>1</v>
      </c>
      <c r="GV123">
        <v>1</v>
      </c>
      <c r="GW123">
        <v>4</v>
      </c>
      <c r="GX123">
        <v>3</v>
      </c>
      <c r="GY123">
        <v>1</v>
      </c>
      <c r="GZ123">
        <v>3</v>
      </c>
      <c r="HA123">
        <v>4</v>
      </c>
      <c r="HB123">
        <v>3</v>
      </c>
      <c r="HC123">
        <v>2</v>
      </c>
      <c r="HD123">
        <v>1</v>
      </c>
      <c r="HG123">
        <v>595</v>
      </c>
      <c r="HI123">
        <v>2</v>
      </c>
      <c r="HK123">
        <v>4</v>
      </c>
      <c r="HM123">
        <v>1</v>
      </c>
      <c r="HP123">
        <v>1</v>
      </c>
      <c r="HR123">
        <v>2</v>
      </c>
      <c r="HS123">
        <v>1</v>
      </c>
      <c r="HT123">
        <v>3</v>
      </c>
      <c r="HU123">
        <v>1</v>
      </c>
      <c r="HV123">
        <v>4</v>
      </c>
      <c r="HY123">
        <v>595</v>
      </c>
      <c r="HZ123">
        <v>1</v>
      </c>
      <c r="IC123">
        <v>1</v>
      </c>
      <c r="ID123">
        <v>3</v>
      </c>
      <c r="IE123">
        <v>1</v>
      </c>
      <c r="IH123">
        <v>4</v>
      </c>
      <c r="II123">
        <v>1</v>
      </c>
      <c r="IM123">
        <v>6</v>
      </c>
      <c r="IN123">
        <v>2</v>
      </c>
      <c r="IO123">
        <v>1</v>
      </c>
    </row>
    <row r="124" spans="1:249" x14ac:dyDescent="0.35">
      <c r="A124" s="8">
        <v>136.024</v>
      </c>
      <c r="H124">
        <v>233.44300000000001</v>
      </c>
      <c r="BM124">
        <v>146.15</v>
      </c>
      <c r="BV124">
        <v>230.44800000000001</v>
      </c>
      <c r="DM124">
        <v>80.188000000000002</v>
      </c>
      <c r="DT124">
        <v>277.71300000000002</v>
      </c>
      <c r="GB124">
        <v>600</v>
      </c>
      <c r="GC124">
        <v>4</v>
      </c>
      <c r="GE124">
        <v>1</v>
      </c>
      <c r="GF124">
        <v>2</v>
      </c>
      <c r="GH124">
        <v>6</v>
      </c>
      <c r="GI124">
        <v>5</v>
      </c>
      <c r="GJ124">
        <v>11</v>
      </c>
      <c r="GK124">
        <v>1</v>
      </c>
      <c r="GL124">
        <v>4</v>
      </c>
      <c r="GM124">
        <v>1</v>
      </c>
      <c r="GN124">
        <v>3</v>
      </c>
      <c r="GO124">
        <v>9</v>
      </c>
      <c r="GP124">
        <v>22</v>
      </c>
      <c r="GQ124">
        <v>2</v>
      </c>
      <c r="GR124">
        <v>2</v>
      </c>
      <c r="GU124">
        <v>1</v>
      </c>
      <c r="GV124">
        <v>1</v>
      </c>
      <c r="GW124">
        <v>4</v>
      </c>
      <c r="GX124">
        <v>3</v>
      </c>
      <c r="GY124">
        <v>2</v>
      </c>
      <c r="GZ124">
        <v>3</v>
      </c>
      <c r="HA124">
        <v>4</v>
      </c>
      <c r="HB124">
        <v>3</v>
      </c>
      <c r="HC124">
        <v>3</v>
      </c>
      <c r="HD124">
        <v>1</v>
      </c>
      <c r="HG124">
        <v>600</v>
      </c>
      <c r="HI124">
        <v>2</v>
      </c>
      <c r="HK124">
        <v>4</v>
      </c>
      <c r="HM124">
        <v>1</v>
      </c>
      <c r="HR124">
        <v>2</v>
      </c>
      <c r="HS124">
        <v>1</v>
      </c>
      <c r="HT124">
        <v>3</v>
      </c>
      <c r="HU124">
        <v>1</v>
      </c>
      <c r="HV124">
        <v>4</v>
      </c>
      <c r="HY124">
        <v>600</v>
      </c>
      <c r="HZ124">
        <v>1</v>
      </c>
      <c r="IC124">
        <v>1</v>
      </c>
      <c r="ID124">
        <v>2</v>
      </c>
      <c r="IE124">
        <v>1</v>
      </c>
      <c r="IH124">
        <v>3</v>
      </c>
      <c r="IM124">
        <v>6</v>
      </c>
      <c r="IN124">
        <v>2</v>
      </c>
      <c r="IO124">
        <v>1</v>
      </c>
    </row>
    <row r="125" spans="1:249" x14ac:dyDescent="0.35">
      <c r="A125" s="8">
        <v>96.975999999999999</v>
      </c>
      <c r="H125">
        <v>233.27699999999999</v>
      </c>
      <c r="BM125">
        <v>159.911</v>
      </c>
      <c r="BV125">
        <v>228.874</v>
      </c>
      <c r="DM125">
        <v>50.148000000000003</v>
      </c>
      <c r="DT125">
        <v>276.41000000000003</v>
      </c>
      <c r="GB125">
        <v>605</v>
      </c>
      <c r="GC125">
        <v>4</v>
      </c>
      <c r="GE125">
        <v>1</v>
      </c>
      <c r="GF125">
        <v>2</v>
      </c>
      <c r="GH125">
        <v>6</v>
      </c>
      <c r="GI125">
        <v>5</v>
      </c>
      <c r="GJ125">
        <v>11</v>
      </c>
      <c r="GK125">
        <v>1</v>
      </c>
      <c r="GL125">
        <v>4</v>
      </c>
      <c r="GM125">
        <v>1</v>
      </c>
      <c r="GN125">
        <v>3</v>
      </c>
      <c r="GO125">
        <v>9</v>
      </c>
      <c r="GP125">
        <v>26</v>
      </c>
      <c r="GQ125">
        <v>3</v>
      </c>
      <c r="GR125">
        <v>2</v>
      </c>
      <c r="GU125">
        <v>1</v>
      </c>
      <c r="GV125">
        <v>1</v>
      </c>
      <c r="GW125">
        <v>3</v>
      </c>
      <c r="GX125">
        <v>3</v>
      </c>
      <c r="GY125">
        <v>2</v>
      </c>
      <c r="GZ125">
        <v>3</v>
      </c>
      <c r="HA125">
        <v>5</v>
      </c>
      <c r="HB125">
        <v>3</v>
      </c>
      <c r="HC125">
        <v>3</v>
      </c>
      <c r="HD125">
        <v>3</v>
      </c>
      <c r="HG125">
        <v>605</v>
      </c>
      <c r="HI125">
        <v>2</v>
      </c>
      <c r="HK125">
        <v>4</v>
      </c>
      <c r="HM125">
        <v>1</v>
      </c>
      <c r="HR125">
        <v>2</v>
      </c>
      <c r="HS125">
        <v>1</v>
      </c>
      <c r="HT125">
        <v>3</v>
      </c>
      <c r="HV125">
        <v>3</v>
      </c>
      <c r="HY125">
        <v>605</v>
      </c>
      <c r="HZ125">
        <v>1</v>
      </c>
      <c r="IC125">
        <v>1</v>
      </c>
      <c r="ID125">
        <v>2</v>
      </c>
      <c r="IE125">
        <v>1</v>
      </c>
      <c r="IH125">
        <v>3</v>
      </c>
      <c r="IM125">
        <v>5</v>
      </c>
      <c r="IN125">
        <v>2</v>
      </c>
      <c r="IO125">
        <v>1</v>
      </c>
    </row>
    <row r="126" spans="1:249" x14ac:dyDescent="0.35">
      <c r="A126" s="8">
        <v>157.059</v>
      </c>
      <c r="H126">
        <v>233.27099999999999</v>
      </c>
      <c r="BM126">
        <v>196.27799999999999</v>
      </c>
      <c r="BV126">
        <v>228.75</v>
      </c>
      <c r="DM126">
        <v>80.364000000000004</v>
      </c>
      <c r="DT126">
        <v>275.65100000000001</v>
      </c>
      <c r="GB126">
        <v>610</v>
      </c>
      <c r="GC126">
        <v>4</v>
      </c>
      <c r="GE126">
        <v>1</v>
      </c>
      <c r="GF126">
        <v>2</v>
      </c>
      <c r="GH126">
        <v>6</v>
      </c>
      <c r="GI126">
        <v>5</v>
      </c>
      <c r="GJ126">
        <v>12</v>
      </c>
      <c r="GK126">
        <v>1</v>
      </c>
      <c r="GL126">
        <v>3</v>
      </c>
      <c r="GM126">
        <v>1</v>
      </c>
      <c r="GN126">
        <v>3</v>
      </c>
      <c r="GO126">
        <v>9</v>
      </c>
      <c r="GP126">
        <v>26</v>
      </c>
      <c r="GQ126">
        <v>3</v>
      </c>
      <c r="GR126">
        <v>2</v>
      </c>
      <c r="GU126">
        <v>1</v>
      </c>
      <c r="GV126">
        <v>1</v>
      </c>
      <c r="GW126">
        <v>4</v>
      </c>
      <c r="GX126">
        <v>3</v>
      </c>
      <c r="GY126">
        <v>2</v>
      </c>
      <c r="GZ126">
        <v>4</v>
      </c>
      <c r="HA126">
        <v>6</v>
      </c>
      <c r="HB126">
        <v>3</v>
      </c>
      <c r="HC126">
        <v>3</v>
      </c>
      <c r="HD126">
        <v>3</v>
      </c>
      <c r="HG126">
        <v>610</v>
      </c>
      <c r="HI126">
        <v>2</v>
      </c>
      <c r="HK126">
        <v>4</v>
      </c>
      <c r="HM126">
        <v>1</v>
      </c>
      <c r="HR126">
        <v>2</v>
      </c>
      <c r="HS126">
        <v>1</v>
      </c>
      <c r="HT126">
        <v>3</v>
      </c>
      <c r="HV126">
        <v>2</v>
      </c>
      <c r="HY126">
        <v>610</v>
      </c>
      <c r="HZ126">
        <v>1</v>
      </c>
      <c r="IC126">
        <v>1</v>
      </c>
      <c r="ID126">
        <v>2</v>
      </c>
      <c r="IE126">
        <v>1</v>
      </c>
      <c r="IH126">
        <v>3</v>
      </c>
      <c r="IM126">
        <v>5</v>
      </c>
      <c r="IN126">
        <v>2</v>
      </c>
      <c r="IO126">
        <v>1</v>
      </c>
    </row>
    <row r="127" spans="1:249" x14ac:dyDescent="0.35">
      <c r="A127" s="8">
        <v>158.352</v>
      </c>
      <c r="H127">
        <v>232.244</v>
      </c>
      <c r="BM127">
        <v>115.51300000000001</v>
      </c>
      <c r="BV127">
        <v>228.42599999999999</v>
      </c>
      <c r="DM127">
        <v>109.164</v>
      </c>
      <c r="DT127">
        <v>274.59899999999999</v>
      </c>
      <c r="GB127">
        <v>615</v>
      </c>
      <c r="GC127">
        <v>4</v>
      </c>
      <c r="GE127">
        <v>1</v>
      </c>
      <c r="GF127">
        <v>2</v>
      </c>
      <c r="GH127">
        <v>7</v>
      </c>
      <c r="GI127">
        <v>5</v>
      </c>
      <c r="GJ127">
        <v>10</v>
      </c>
      <c r="GK127">
        <v>1</v>
      </c>
      <c r="GL127">
        <v>3</v>
      </c>
      <c r="GN127">
        <v>3</v>
      </c>
      <c r="GO127">
        <v>9</v>
      </c>
      <c r="GP127">
        <v>23</v>
      </c>
      <c r="GQ127">
        <v>3</v>
      </c>
      <c r="GR127">
        <v>3</v>
      </c>
      <c r="GU127">
        <v>1</v>
      </c>
      <c r="GV127">
        <v>1</v>
      </c>
      <c r="GW127">
        <v>4</v>
      </c>
      <c r="GX127">
        <v>3</v>
      </c>
      <c r="GY127">
        <v>2</v>
      </c>
      <c r="GZ127">
        <v>2</v>
      </c>
      <c r="HA127">
        <v>5</v>
      </c>
      <c r="HB127">
        <v>3</v>
      </c>
      <c r="HC127">
        <v>3</v>
      </c>
      <c r="HD127">
        <v>3</v>
      </c>
      <c r="HG127">
        <v>615</v>
      </c>
      <c r="HI127">
        <v>2</v>
      </c>
      <c r="HK127">
        <v>4</v>
      </c>
      <c r="HM127">
        <v>1</v>
      </c>
      <c r="HR127">
        <v>2</v>
      </c>
      <c r="HS127">
        <v>1</v>
      </c>
      <c r="HT127">
        <v>3</v>
      </c>
      <c r="HV127">
        <v>1</v>
      </c>
      <c r="HY127">
        <v>615</v>
      </c>
      <c r="HZ127">
        <v>1</v>
      </c>
      <c r="ID127">
        <v>2</v>
      </c>
      <c r="IE127">
        <v>1</v>
      </c>
      <c r="IH127">
        <v>3</v>
      </c>
      <c r="IM127">
        <v>5</v>
      </c>
      <c r="IN127">
        <v>2</v>
      </c>
      <c r="IO127">
        <v>1</v>
      </c>
    </row>
    <row r="128" spans="1:249" x14ac:dyDescent="0.35">
      <c r="A128" s="8">
        <v>54.936</v>
      </c>
      <c r="H128">
        <v>231.041</v>
      </c>
      <c r="BM128">
        <v>87.531999999999996</v>
      </c>
      <c r="BV128">
        <v>227.37700000000001</v>
      </c>
      <c r="DM128">
        <v>246.27699999999999</v>
      </c>
      <c r="DT128">
        <v>273.01900000000001</v>
      </c>
      <c r="GB128">
        <v>620</v>
      </c>
      <c r="GC128">
        <v>3</v>
      </c>
      <c r="GE128">
        <v>1</v>
      </c>
      <c r="GF128">
        <v>1</v>
      </c>
      <c r="GH128">
        <v>5</v>
      </c>
      <c r="GI128">
        <v>6</v>
      </c>
      <c r="GJ128">
        <v>10</v>
      </c>
      <c r="GK128">
        <v>1</v>
      </c>
      <c r="GL128">
        <v>3</v>
      </c>
      <c r="GN128">
        <v>3</v>
      </c>
      <c r="GO128">
        <v>7</v>
      </c>
      <c r="GP128">
        <v>23</v>
      </c>
      <c r="GQ128">
        <v>2</v>
      </c>
      <c r="GR128">
        <v>3</v>
      </c>
      <c r="GU128">
        <v>1</v>
      </c>
      <c r="GV128">
        <v>1</v>
      </c>
      <c r="GW128">
        <v>4</v>
      </c>
      <c r="GX128">
        <v>3</v>
      </c>
      <c r="GY128">
        <v>2</v>
      </c>
      <c r="GZ128">
        <v>2</v>
      </c>
      <c r="HA128">
        <v>5</v>
      </c>
      <c r="HB128">
        <v>4</v>
      </c>
      <c r="HC128">
        <v>2</v>
      </c>
      <c r="HD128">
        <v>3</v>
      </c>
      <c r="HG128">
        <v>620</v>
      </c>
      <c r="HI128">
        <v>2</v>
      </c>
      <c r="HK128">
        <v>4</v>
      </c>
      <c r="HM128">
        <v>1</v>
      </c>
      <c r="HR128">
        <v>2</v>
      </c>
      <c r="HS128">
        <v>1</v>
      </c>
      <c r="HT128">
        <v>2</v>
      </c>
      <c r="HV128">
        <v>1</v>
      </c>
      <c r="HY128">
        <v>620</v>
      </c>
      <c r="HZ128">
        <v>1</v>
      </c>
      <c r="ID128">
        <v>2</v>
      </c>
      <c r="IE128">
        <v>1</v>
      </c>
      <c r="IH128">
        <v>3</v>
      </c>
      <c r="IM128">
        <v>5</v>
      </c>
      <c r="IN128">
        <v>1</v>
      </c>
      <c r="IO128">
        <v>1</v>
      </c>
    </row>
    <row r="129" spans="1:249" x14ac:dyDescent="0.35">
      <c r="A129" s="8">
        <v>23.058</v>
      </c>
      <c r="H129">
        <v>230.642</v>
      </c>
      <c r="K129" s="8"/>
      <c r="BM129">
        <v>74.984999999999999</v>
      </c>
      <c r="BV129">
        <v>222.23400000000001</v>
      </c>
      <c r="BW129">
        <f>130*2</f>
        <v>260</v>
      </c>
      <c r="BX129">
        <v>4</v>
      </c>
      <c r="DM129">
        <v>276.41000000000003</v>
      </c>
      <c r="DT129">
        <v>272.93099999999998</v>
      </c>
      <c r="GB129">
        <v>625</v>
      </c>
      <c r="GC129">
        <v>5</v>
      </c>
      <c r="GF129">
        <v>4</v>
      </c>
      <c r="GH129">
        <v>5</v>
      </c>
      <c r="GI129">
        <v>7</v>
      </c>
      <c r="GJ129">
        <v>8</v>
      </c>
      <c r="GK129">
        <v>1</v>
      </c>
      <c r="GL129">
        <v>4</v>
      </c>
      <c r="GN129">
        <v>3</v>
      </c>
      <c r="GO129">
        <v>7</v>
      </c>
      <c r="GP129">
        <v>22</v>
      </c>
      <c r="GQ129">
        <v>2</v>
      </c>
      <c r="GR129">
        <v>3</v>
      </c>
      <c r="GU129">
        <v>1</v>
      </c>
      <c r="GV129">
        <v>1</v>
      </c>
      <c r="GW129">
        <v>4</v>
      </c>
      <c r="GX129">
        <v>2</v>
      </c>
      <c r="GY129">
        <v>2</v>
      </c>
      <c r="GZ129">
        <v>1</v>
      </c>
      <c r="HA129">
        <v>5</v>
      </c>
      <c r="HB129">
        <v>4</v>
      </c>
      <c r="HC129">
        <v>2</v>
      </c>
      <c r="HD129">
        <v>3</v>
      </c>
      <c r="HG129">
        <v>625</v>
      </c>
      <c r="HI129">
        <v>2</v>
      </c>
      <c r="HK129">
        <v>4</v>
      </c>
      <c r="HM129">
        <v>1</v>
      </c>
      <c r="HR129">
        <v>1</v>
      </c>
      <c r="HS129">
        <v>1</v>
      </c>
      <c r="HT129">
        <v>2</v>
      </c>
      <c r="HV129">
        <v>1</v>
      </c>
      <c r="HY129">
        <v>625</v>
      </c>
      <c r="HZ129">
        <v>1</v>
      </c>
      <c r="ID129">
        <v>2</v>
      </c>
      <c r="IE129">
        <v>1</v>
      </c>
      <c r="IH129">
        <v>2</v>
      </c>
      <c r="IM129">
        <v>5</v>
      </c>
      <c r="IN129">
        <v>1</v>
      </c>
      <c r="IO129">
        <v>1</v>
      </c>
    </row>
    <row r="130" spans="1:249" x14ac:dyDescent="0.35">
      <c r="A130" s="8">
        <v>67.843999999999994</v>
      </c>
      <c r="H130">
        <v>229.12299999999999</v>
      </c>
      <c r="BM130">
        <v>63.106999999999999</v>
      </c>
      <c r="BV130">
        <v>221.93899999999999</v>
      </c>
      <c r="DM130">
        <v>317.166</v>
      </c>
      <c r="DT130">
        <v>272.60500000000002</v>
      </c>
      <c r="GB130">
        <v>630</v>
      </c>
      <c r="GC130">
        <v>5</v>
      </c>
      <c r="GF130">
        <v>2</v>
      </c>
      <c r="GH130">
        <v>5</v>
      </c>
      <c r="GI130">
        <v>6</v>
      </c>
      <c r="GJ130">
        <v>7</v>
      </c>
      <c r="GK130">
        <v>1</v>
      </c>
      <c r="GL130">
        <v>4</v>
      </c>
      <c r="GN130">
        <v>3</v>
      </c>
      <c r="GO130">
        <v>7</v>
      </c>
      <c r="GP130">
        <v>21</v>
      </c>
      <c r="GQ130">
        <v>1</v>
      </c>
      <c r="GR130">
        <v>3</v>
      </c>
      <c r="GU130">
        <v>1</v>
      </c>
      <c r="GV130">
        <v>1</v>
      </c>
      <c r="GW130">
        <v>5</v>
      </c>
      <c r="GX130">
        <v>2</v>
      </c>
      <c r="GY130">
        <v>2</v>
      </c>
      <c r="GZ130">
        <v>1</v>
      </c>
      <c r="HA130">
        <v>5</v>
      </c>
      <c r="HB130">
        <v>7</v>
      </c>
      <c r="HC130">
        <v>2</v>
      </c>
      <c r="HD130">
        <v>3</v>
      </c>
      <c r="HG130">
        <v>630</v>
      </c>
      <c r="HI130">
        <v>2</v>
      </c>
      <c r="HK130">
        <v>4</v>
      </c>
      <c r="HM130">
        <v>1</v>
      </c>
      <c r="HR130">
        <v>1</v>
      </c>
      <c r="HS130">
        <v>1</v>
      </c>
      <c r="HT130">
        <v>2</v>
      </c>
      <c r="HV130">
        <v>1</v>
      </c>
      <c r="HY130">
        <v>630</v>
      </c>
      <c r="HZ130">
        <v>1</v>
      </c>
      <c r="ID130">
        <v>1</v>
      </c>
      <c r="IE130">
        <v>1</v>
      </c>
      <c r="IH130">
        <v>2</v>
      </c>
      <c r="IM130">
        <v>4</v>
      </c>
      <c r="IN130">
        <v>1</v>
      </c>
      <c r="IO130">
        <v>1</v>
      </c>
    </row>
    <row r="131" spans="1:249" x14ac:dyDescent="0.35">
      <c r="A131" s="8">
        <v>75.278000000000006</v>
      </c>
      <c r="H131">
        <v>228.52699999999999</v>
      </c>
      <c r="BM131">
        <v>62.317999999999998</v>
      </c>
      <c r="BV131">
        <v>221.61199999999999</v>
      </c>
      <c r="DM131">
        <v>360.96600000000001</v>
      </c>
      <c r="DT131">
        <v>271.55500000000001</v>
      </c>
      <c r="GB131">
        <v>635</v>
      </c>
      <c r="GC131">
        <v>6</v>
      </c>
      <c r="GF131">
        <v>2</v>
      </c>
      <c r="GH131">
        <v>4</v>
      </c>
      <c r="GI131">
        <v>6</v>
      </c>
      <c r="GJ131">
        <v>7</v>
      </c>
      <c r="GK131">
        <v>1</v>
      </c>
      <c r="GL131">
        <v>5</v>
      </c>
      <c r="GN131">
        <v>3</v>
      </c>
      <c r="GO131">
        <v>6</v>
      </c>
      <c r="GP131">
        <v>17</v>
      </c>
      <c r="GQ131">
        <v>1</v>
      </c>
      <c r="GR131">
        <v>3</v>
      </c>
      <c r="GU131">
        <v>1</v>
      </c>
      <c r="GV131">
        <v>1</v>
      </c>
      <c r="GW131">
        <v>5</v>
      </c>
      <c r="GX131">
        <v>2</v>
      </c>
      <c r="GY131">
        <v>2</v>
      </c>
      <c r="GZ131">
        <v>1</v>
      </c>
      <c r="HA131">
        <v>4</v>
      </c>
      <c r="HB131">
        <v>5</v>
      </c>
      <c r="HC131">
        <v>2</v>
      </c>
      <c r="HD131">
        <v>3</v>
      </c>
      <c r="HG131">
        <v>635</v>
      </c>
      <c r="HI131">
        <v>2</v>
      </c>
      <c r="HK131">
        <v>3</v>
      </c>
      <c r="HM131">
        <v>1</v>
      </c>
      <c r="HR131">
        <v>1</v>
      </c>
      <c r="HS131">
        <v>2</v>
      </c>
      <c r="HT131">
        <v>3</v>
      </c>
      <c r="HV131">
        <v>1</v>
      </c>
      <c r="HY131">
        <v>635</v>
      </c>
      <c r="HZ131">
        <v>1</v>
      </c>
      <c r="ID131">
        <v>1</v>
      </c>
      <c r="IE131">
        <v>1</v>
      </c>
      <c r="IH131">
        <v>1</v>
      </c>
      <c r="IM131">
        <v>3</v>
      </c>
      <c r="IN131">
        <v>1</v>
      </c>
      <c r="IO131">
        <v>1</v>
      </c>
    </row>
    <row r="132" spans="1:249" x14ac:dyDescent="0.35">
      <c r="A132" s="8">
        <v>64.376000000000005</v>
      </c>
      <c r="H132">
        <v>228.446</v>
      </c>
      <c r="BM132">
        <v>82.448999999999998</v>
      </c>
      <c r="BV132">
        <v>220.23</v>
      </c>
      <c r="DM132">
        <v>56.399000000000001</v>
      </c>
      <c r="DT132">
        <v>271.00099999999998</v>
      </c>
      <c r="GB132">
        <v>640</v>
      </c>
      <c r="GC132">
        <v>6</v>
      </c>
      <c r="GH132">
        <v>4</v>
      </c>
      <c r="GI132">
        <v>6</v>
      </c>
      <c r="GJ132">
        <v>6</v>
      </c>
      <c r="GK132">
        <v>1</v>
      </c>
      <c r="GL132">
        <v>5</v>
      </c>
      <c r="GN132">
        <v>3</v>
      </c>
      <c r="GO132">
        <v>6</v>
      </c>
      <c r="GP132">
        <v>17</v>
      </c>
      <c r="GQ132">
        <v>1</v>
      </c>
      <c r="GR132">
        <v>3</v>
      </c>
      <c r="GU132">
        <v>1</v>
      </c>
      <c r="GV132">
        <v>2</v>
      </c>
      <c r="GW132">
        <v>5</v>
      </c>
      <c r="GX132">
        <v>2</v>
      </c>
      <c r="GY132">
        <v>2</v>
      </c>
      <c r="GZ132">
        <v>1</v>
      </c>
      <c r="HA132">
        <v>4</v>
      </c>
      <c r="HB132">
        <v>5</v>
      </c>
      <c r="HC132">
        <v>2</v>
      </c>
      <c r="HD132">
        <v>2</v>
      </c>
      <c r="HG132">
        <v>640</v>
      </c>
      <c r="HI132">
        <v>2</v>
      </c>
      <c r="HK132">
        <v>3</v>
      </c>
      <c r="HM132">
        <v>1</v>
      </c>
      <c r="HR132">
        <v>1</v>
      </c>
      <c r="HS132">
        <v>2</v>
      </c>
      <c r="HT132">
        <v>3</v>
      </c>
      <c r="HV132">
        <v>1</v>
      </c>
      <c r="HY132">
        <v>640</v>
      </c>
      <c r="HZ132">
        <v>1</v>
      </c>
      <c r="ID132">
        <v>1</v>
      </c>
      <c r="IE132">
        <v>1</v>
      </c>
      <c r="IH132">
        <v>1</v>
      </c>
      <c r="IM132">
        <v>3</v>
      </c>
      <c r="IN132">
        <v>1</v>
      </c>
      <c r="IO132">
        <v>1</v>
      </c>
    </row>
    <row r="133" spans="1:249" x14ac:dyDescent="0.35">
      <c r="A133" s="8">
        <v>76.638999999999996</v>
      </c>
      <c r="H133">
        <v>227.756</v>
      </c>
      <c r="BM133">
        <v>119.315</v>
      </c>
      <c r="BV133">
        <v>219.61</v>
      </c>
      <c r="DM133">
        <v>69.176000000000002</v>
      </c>
      <c r="DT133">
        <v>270.90800000000002</v>
      </c>
      <c r="GB133">
        <v>645</v>
      </c>
      <c r="GC133">
        <v>6</v>
      </c>
      <c r="GH133">
        <v>4</v>
      </c>
      <c r="GI133">
        <v>6</v>
      </c>
      <c r="GJ133">
        <v>6</v>
      </c>
      <c r="GK133">
        <v>1</v>
      </c>
      <c r="GL133">
        <v>5</v>
      </c>
      <c r="GN133">
        <v>3</v>
      </c>
      <c r="GO133">
        <v>6</v>
      </c>
      <c r="GP133">
        <v>19</v>
      </c>
      <c r="GQ133">
        <v>1</v>
      </c>
      <c r="GR133">
        <v>3</v>
      </c>
      <c r="GV133">
        <v>1</v>
      </c>
      <c r="GW133">
        <v>5</v>
      </c>
      <c r="GX133">
        <v>4</v>
      </c>
      <c r="GY133">
        <v>2</v>
      </c>
      <c r="GZ133">
        <v>1</v>
      </c>
      <c r="HA133">
        <v>4</v>
      </c>
      <c r="HB133">
        <v>5</v>
      </c>
      <c r="HC133">
        <v>2</v>
      </c>
      <c r="HD133">
        <v>2</v>
      </c>
      <c r="HG133">
        <v>645</v>
      </c>
      <c r="HI133">
        <v>2</v>
      </c>
      <c r="HK133">
        <v>3</v>
      </c>
      <c r="HM133">
        <v>1</v>
      </c>
      <c r="HR133">
        <v>1</v>
      </c>
      <c r="HS133">
        <v>2</v>
      </c>
      <c r="HT133">
        <v>3</v>
      </c>
      <c r="HV133">
        <v>1</v>
      </c>
      <c r="HY133">
        <v>645</v>
      </c>
      <c r="HZ133">
        <v>1</v>
      </c>
      <c r="ID133">
        <v>1</v>
      </c>
      <c r="IE133">
        <v>1</v>
      </c>
      <c r="IH133">
        <v>1</v>
      </c>
      <c r="IM133">
        <v>3</v>
      </c>
      <c r="IN133">
        <v>1</v>
      </c>
      <c r="IO133">
        <v>1</v>
      </c>
    </row>
    <row r="134" spans="1:249" x14ac:dyDescent="0.35">
      <c r="A134">
        <v>30.584</v>
      </c>
      <c r="H134">
        <v>225.892</v>
      </c>
      <c r="K134" s="8"/>
      <c r="BM134">
        <v>271.43200000000002</v>
      </c>
      <c r="BV134">
        <v>216.626</v>
      </c>
      <c r="DM134">
        <v>198.98699999999999</v>
      </c>
      <c r="DT134">
        <v>270.45600000000002</v>
      </c>
      <c r="GB134">
        <v>650</v>
      </c>
      <c r="GC134">
        <v>6</v>
      </c>
      <c r="GH134">
        <v>3</v>
      </c>
      <c r="GI134">
        <v>7</v>
      </c>
      <c r="GJ134">
        <v>6</v>
      </c>
      <c r="GK134">
        <v>1</v>
      </c>
      <c r="GL134">
        <v>4</v>
      </c>
      <c r="GN134">
        <v>2</v>
      </c>
      <c r="GO134">
        <v>6</v>
      </c>
      <c r="GP134">
        <v>16</v>
      </c>
      <c r="GQ134">
        <v>1</v>
      </c>
      <c r="GR134">
        <v>3</v>
      </c>
      <c r="GV134">
        <v>1</v>
      </c>
      <c r="GW134">
        <v>5</v>
      </c>
      <c r="GX134">
        <v>4</v>
      </c>
      <c r="GY134">
        <v>2</v>
      </c>
      <c r="GZ134">
        <v>1</v>
      </c>
      <c r="HA134">
        <v>4</v>
      </c>
      <c r="HB134">
        <v>5</v>
      </c>
      <c r="HC134">
        <v>1</v>
      </c>
      <c r="HD134">
        <v>2</v>
      </c>
      <c r="HG134">
        <v>650</v>
      </c>
      <c r="HI134">
        <v>2</v>
      </c>
      <c r="HK134">
        <v>3</v>
      </c>
      <c r="HM134">
        <v>1</v>
      </c>
      <c r="HR134">
        <v>1</v>
      </c>
      <c r="HS134">
        <v>2</v>
      </c>
      <c r="HT134">
        <v>3</v>
      </c>
      <c r="HV134">
        <v>1</v>
      </c>
      <c r="HY134">
        <v>650</v>
      </c>
      <c r="HZ134">
        <v>1</v>
      </c>
      <c r="ID134">
        <v>1</v>
      </c>
      <c r="IE134">
        <v>1</v>
      </c>
      <c r="IM134">
        <v>3</v>
      </c>
      <c r="IN134">
        <v>1</v>
      </c>
      <c r="IO134">
        <v>1</v>
      </c>
    </row>
    <row r="135" spans="1:249" x14ac:dyDescent="0.35">
      <c r="A135">
        <v>170.54599999999999</v>
      </c>
      <c r="H135">
        <v>223.60499999999999</v>
      </c>
      <c r="I135">
        <f>176*2</f>
        <v>352</v>
      </c>
      <c r="J135">
        <v>8</v>
      </c>
      <c r="K135" s="8"/>
      <c r="BM135">
        <v>170.88399999999999</v>
      </c>
      <c r="BV135">
        <v>214.81800000000001</v>
      </c>
      <c r="DM135">
        <v>230.83500000000001</v>
      </c>
      <c r="DT135">
        <v>269.935</v>
      </c>
      <c r="GB135">
        <v>655</v>
      </c>
      <c r="GC135">
        <v>5</v>
      </c>
      <c r="GH135">
        <v>3</v>
      </c>
      <c r="GI135">
        <v>6</v>
      </c>
      <c r="GJ135">
        <v>5</v>
      </c>
      <c r="GK135">
        <v>1</v>
      </c>
      <c r="GL135">
        <v>5</v>
      </c>
      <c r="GN135">
        <v>2</v>
      </c>
      <c r="GO135">
        <v>6</v>
      </c>
      <c r="GP135">
        <v>21</v>
      </c>
      <c r="GQ135">
        <v>1</v>
      </c>
      <c r="GR135">
        <v>3</v>
      </c>
      <c r="GV135">
        <v>1</v>
      </c>
      <c r="GW135">
        <v>5</v>
      </c>
      <c r="GX135">
        <v>4</v>
      </c>
      <c r="GY135">
        <v>2</v>
      </c>
      <c r="HA135">
        <v>4</v>
      </c>
      <c r="HB135">
        <v>4</v>
      </c>
      <c r="HC135">
        <v>1</v>
      </c>
      <c r="HD135">
        <v>2</v>
      </c>
      <c r="HG135">
        <v>655</v>
      </c>
      <c r="HI135">
        <v>2</v>
      </c>
      <c r="HK135">
        <v>3</v>
      </c>
      <c r="HM135">
        <v>1</v>
      </c>
      <c r="HR135">
        <v>1</v>
      </c>
      <c r="HS135">
        <v>2</v>
      </c>
      <c r="HT135">
        <v>3</v>
      </c>
      <c r="HV135">
        <v>1</v>
      </c>
      <c r="HY135">
        <v>655</v>
      </c>
      <c r="HZ135">
        <v>1</v>
      </c>
      <c r="ID135">
        <v>1</v>
      </c>
      <c r="IE135">
        <v>1</v>
      </c>
      <c r="IM135">
        <v>3</v>
      </c>
      <c r="IN135">
        <v>1</v>
      </c>
      <c r="IO135">
        <v>1</v>
      </c>
    </row>
    <row r="136" spans="1:249" x14ac:dyDescent="0.35">
      <c r="A136">
        <v>192.47900000000001</v>
      </c>
      <c r="H136">
        <v>222.643</v>
      </c>
      <c r="BM136">
        <v>185.607</v>
      </c>
      <c r="BV136">
        <v>213.94200000000001</v>
      </c>
      <c r="DM136">
        <v>271.00099999999998</v>
      </c>
      <c r="DT136">
        <v>268.084</v>
      </c>
      <c r="GB136">
        <v>660</v>
      </c>
      <c r="GC136">
        <v>5</v>
      </c>
      <c r="GH136">
        <v>3</v>
      </c>
      <c r="GI136">
        <v>5</v>
      </c>
      <c r="GJ136">
        <v>5</v>
      </c>
      <c r="GK136">
        <v>1</v>
      </c>
      <c r="GL136">
        <v>3</v>
      </c>
      <c r="GN136">
        <v>3</v>
      </c>
      <c r="GO136">
        <v>6</v>
      </c>
      <c r="GP136">
        <v>23</v>
      </c>
      <c r="GQ136">
        <v>1</v>
      </c>
      <c r="GR136">
        <v>3</v>
      </c>
      <c r="GV136">
        <v>1</v>
      </c>
      <c r="GW136">
        <v>5</v>
      </c>
      <c r="GX136">
        <v>6</v>
      </c>
      <c r="GY136">
        <v>2</v>
      </c>
      <c r="HA136">
        <v>4</v>
      </c>
      <c r="HB136">
        <v>3</v>
      </c>
      <c r="HC136">
        <v>1</v>
      </c>
      <c r="HD136">
        <v>2</v>
      </c>
      <c r="HG136">
        <v>660</v>
      </c>
      <c r="HI136">
        <v>2</v>
      </c>
      <c r="HK136">
        <v>3</v>
      </c>
      <c r="HM136">
        <v>1</v>
      </c>
      <c r="HR136">
        <v>1</v>
      </c>
      <c r="HS136">
        <v>1</v>
      </c>
      <c r="HT136">
        <v>3</v>
      </c>
      <c r="HV136">
        <v>1</v>
      </c>
      <c r="HY136">
        <v>660</v>
      </c>
      <c r="HZ136">
        <v>1</v>
      </c>
      <c r="ID136">
        <v>1</v>
      </c>
      <c r="IE136">
        <v>1</v>
      </c>
      <c r="IM136">
        <v>3</v>
      </c>
      <c r="IN136">
        <v>1</v>
      </c>
      <c r="IO136">
        <v>1</v>
      </c>
    </row>
    <row r="137" spans="1:249" x14ac:dyDescent="0.35">
      <c r="A137">
        <v>225.892</v>
      </c>
      <c r="H137">
        <v>222.077</v>
      </c>
      <c r="BM137">
        <v>41.881999999999998</v>
      </c>
      <c r="BV137">
        <v>213.27500000000001</v>
      </c>
      <c r="DM137">
        <v>312.065</v>
      </c>
      <c r="DT137">
        <v>267.16000000000003</v>
      </c>
      <c r="GB137">
        <v>665</v>
      </c>
      <c r="GC137">
        <v>5</v>
      </c>
      <c r="GH137">
        <v>3</v>
      </c>
      <c r="GI137">
        <v>5</v>
      </c>
      <c r="GJ137">
        <v>5</v>
      </c>
      <c r="GK137">
        <v>2</v>
      </c>
      <c r="GL137">
        <v>3</v>
      </c>
      <c r="GN137">
        <v>3</v>
      </c>
      <c r="GO137">
        <v>4</v>
      </c>
      <c r="GP137">
        <v>16</v>
      </c>
      <c r="GQ137">
        <v>1</v>
      </c>
      <c r="GR137">
        <v>3</v>
      </c>
      <c r="GV137">
        <v>1</v>
      </c>
      <c r="GW137">
        <v>4</v>
      </c>
      <c r="GX137">
        <v>4</v>
      </c>
      <c r="GY137">
        <v>2</v>
      </c>
      <c r="HA137">
        <v>3</v>
      </c>
      <c r="HB137">
        <v>3</v>
      </c>
      <c r="HC137">
        <v>1</v>
      </c>
      <c r="HD137">
        <v>3</v>
      </c>
      <c r="HG137">
        <v>665</v>
      </c>
      <c r="HI137">
        <v>2</v>
      </c>
      <c r="HK137">
        <v>3</v>
      </c>
      <c r="HM137">
        <v>1</v>
      </c>
      <c r="HR137">
        <v>1</v>
      </c>
      <c r="HS137">
        <v>1</v>
      </c>
      <c r="HT137">
        <v>4</v>
      </c>
      <c r="HV137">
        <v>1</v>
      </c>
      <c r="HY137">
        <v>665</v>
      </c>
      <c r="HZ137">
        <v>1</v>
      </c>
      <c r="ID137">
        <v>1</v>
      </c>
      <c r="IE137">
        <v>1</v>
      </c>
      <c r="IM137">
        <v>4</v>
      </c>
      <c r="IO137">
        <v>1</v>
      </c>
    </row>
    <row r="138" spans="1:249" x14ac:dyDescent="0.35">
      <c r="A138">
        <v>309.46600000000001</v>
      </c>
      <c r="H138">
        <v>220.87200000000001</v>
      </c>
      <c r="BM138">
        <v>192.673</v>
      </c>
      <c r="BV138">
        <v>212.41300000000001</v>
      </c>
      <c r="DM138">
        <v>50.031999999999996</v>
      </c>
      <c r="DT138">
        <v>265.45499999999998</v>
      </c>
      <c r="GB138">
        <v>670</v>
      </c>
      <c r="GC138">
        <v>2</v>
      </c>
      <c r="GH138">
        <v>3</v>
      </c>
      <c r="GI138">
        <v>7</v>
      </c>
      <c r="GJ138">
        <v>5</v>
      </c>
      <c r="GK138">
        <v>2</v>
      </c>
      <c r="GL138">
        <v>3</v>
      </c>
      <c r="GN138">
        <v>3</v>
      </c>
      <c r="GO138">
        <v>10</v>
      </c>
      <c r="GP138">
        <v>17</v>
      </c>
      <c r="GQ138">
        <v>1</v>
      </c>
      <c r="GR138">
        <v>3</v>
      </c>
      <c r="GV138">
        <v>1</v>
      </c>
      <c r="GW138">
        <v>4</v>
      </c>
      <c r="GX138">
        <v>4</v>
      </c>
      <c r="GY138">
        <v>2</v>
      </c>
      <c r="HA138">
        <v>3</v>
      </c>
      <c r="HB138">
        <v>3</v>
      </c>
      <c r="HC138">
        <v>1</v>
      </c>
      <c r="HD138">
        <v>3</v>
      </c>
      <c r="HG138">
        <v>670</v>
      </c>
      <c r="HI138">
        <v>2</v>
      </c>
      <c r="HK138">
        <v>3</v>
      </c>
      <c r="HM138">
        <v>1</v>
      </c>
      <c r="HR138">
        <v>1</v>
      </c>
      <c r="HS138">
        <v>1</v>
      </c>
      <c r="HT138">
        <v>6</v>
      </c>
      <c r="HY138">
        <v>670</v>
      </c>
      <c r="HZ138">
        <v>1</v>
      </c>
      <c r="ID138">
        <v>1</v>
      </c>
      <c r="IE138">
        <v>1</v>
      </c>
      <c r="IM138">
        <v>3</v>
      </c>
      <c r="IO138">
        <v>1</v>
      </c>
    </row>
    <row r="139" spans="1:249" x14ac:dyDescent="0.35">
      <c r="A139">
        <v>166.733</v>
      </c>
      <c r="H139">
        <v>220.18199999999999</v>
      </c>
      <c r="BM139">
        <v>92.938999999999993</v>
      </c>
      <c r="BV139">
        <v>212.20400000000001</v>
      </c>
      <c r="DM139">
        <v>177.696</v>
      </c>
      <c r="DT139">
        <v>263.43400000000003</v>
      </c>
      <c r="GB139">
        <v>675</v>
      </c>
      <c r="GC139">
        <v>3</v>
      </c>
      <c r="GH139">
        <v>3</v>
      </c>
      <c r="GI139">
        <v>3</v>
      </c>
      <c r="GJ139">
        <v>5</v>
      </c>
      <c r="GK139">
        <v>1</v>
      </c>
      <c r="GL139">
        <v>3</v>
      </c>
      <c r="GN139">
        <v>3</v>
      </c>
      <c r="GO139">
        <v>10</v>
      </c>
      <c r="GP139">
        <v>14</v>
      </c>
      <c r="GQ139">
        <v>1</v>
      </c>
      <c r="GR139">
        <v>3</v>
      </c>
      <c r="GV139">
        <v>1</v>
      </c>
      <c r="GW139">
        <v>4</v>
      </c>
      <c r="GX139">
        <v>4</v>
      </c>
      <c r="GY139">
        <v>3</v>
      </c>
      <c r="HA139">
        <v>3</v>
      </c>
      <c r="HB139">
        <v>3</v>
      </c>
      <c r="HC139">
        <v>1</v>
      </c>
      <c r="HD139">
        <v>3</v>
      </c>
      <c r="HG139">
        <v>675</v>
      </c>
      <c r="HI139">
        <v>2</v>
      </c>
      <c r="HK139">
        <v>4</v>
      </c>
      <c r="HM139">
        <v>1</v>
      </c>
      <c r="HR139">
        <v>1</v>
      </c>
      <c r="HS139">
        <v>1</v>
      </c>
      <c r="HT139">
        <v>4</v>
      </c>
      <c r="HY139">
        <v>675</v>
      </c>
      <c r="HZ139">
        <v>1</v>
      </c>
      <c r="ID139">
        <v>1</v>
      </c>
      <c r="IE139">
        <v>1</v>
      </c>
      <c r="IM139">
        <v>2</v>
      </c>
      <c r="IO139">
        <v>1</v>
      </c>
    </row>
    <row r="140" spans="1:249" x14ac:dyDescent="0.35">
      <c r="A140">
        <v>184.755</v>
      </c>
      <c r="H140">
        <v>219.92699999999999</v>
      </c>
      <c r="BM140">
        <v>108.741</v>
      </c>
      <c r="BV140">
        <v>211.97399999999999</v>
      </c>
      <c r="DM140">
        <v>200.83199999999999</v>
      </c>
      <c r="DT140">
        <v>263.06099999999998</v>
      </c>
      <c r="GB140">
        <v>680</v>
      </c>
      <c r="GC140">
        <v>3</v>
      </c>
      <c r="GH140">
        <v>3</v>
      </c>
      <c r="GI140">
        <v>3</v>
      </c>
      <c r="GJ140">
        <v>4</v>
      </c>
      <c r="GK140">
        <v>1</v>
      </c>
      <c r="GL140">
        <v>3</v>
      </c>
      <c r="GN140">
        <v>3</v>
      </c>
      <c r="GO140">
        <v>8</v>
      </c>
      <c r="GP140">
        <v>12</v>
      </c>
      <c r="GQ140">
        <v>1</v>
      </c>
      <c r="GR140">
        <v>3</v>
      </c>
      <c r="GV140">
        <v>1</v>
      </c>
      <c r="GW140">
        <v>4</v>
      </c>
      <c r="GX140">
        <v>4</v>
      </c>
      <c r="GY140">
        <v>3</v>
      </c>
      <c r="HA140">
        <v>3</v>
      </c>
      <c r="HB140">
        <v>3</v>
      </c>
      <c r="HC140">
        <v>1</v>
      </c>
      <c r="HD140">
        <v>3</v>
      </c>
      <c r="HG140">
        <v>680</v>
      </c>
      <c r="HI140">
        <v>2</v>
      </c>
      <c r="HK140">
        <v>4</v>
      </c>
      <c r="HM140">
        <v>1</v>
      </c>
      <c r="HR140">
        <v>1</v>
      </c>
      <c r="HS140">
        <v>1</v>
      </c>
      <c r="HT140">
        <v>4</v>
      </c>
      <c r="HY140">
        <v>680</v>
      </c>
      <c r="HZ140">
        <v>1</v>
      </c>
      <c r="ID140">
        <v>1</v>
      </c>
      <c r="IE140">
        <v>1</v>
      </c>
      <c r="IM140">
        <v>2</v>
      </c>
      <c r="IO140">
        <v>1</v>
      </c>
    </row>
    <row r="141" spans="1:249" x14ac:dyDescent="0.35">
      <c r="A141">
        <v>220.18199999999999</v>
      </c>
      <c r="H141">
        <v>219.548</v>
      </c>
      <c r="BM141">
        <v>161.24</v>
      </c>
      <c r="BV141">
        <v>211.161</v>
      </c>
      <c r="DM141">
        <v>246.95599999999999</v>
      </c>
      <c r="DT141">
        <v>262.904</v>
      </c>
      <c r="GB141">
        <v>685</v>
      </c>
      <c r="GC141">
        <v>3</v>
      </c>
      <c r="GH141">
        <v>3</v>
      </c>
      <c r="GI141">
        <v>3</v>
      </c>
      <c r="GJ141">
        <v>4</v>
      </c>
      <c r="GK141">
        <v>1</v>
      </c>
      <c r="GL141">
        <v>3</v>
      </c>
      <c r="GN141">
        <v>3</v>
      </c>
      <c r="GO141">
        <v>7</v>
      </c>
      <c r="GP141">
        <v>15</v>
      </c>
      <c r="GQ141">
        <v>1</v>
      </c>
      <c r="GR141">
        <v>3</v>
      </c>
      <c r="GV141">
        <v>1</v>
      </c>
      <c r="GW141">
        <v>4</v>
      </c>
      <c r="GX141">
        <v>4</v>
      </c>
      <c r="GY141">
        <v>4</v>
      </c>
      <c r="HA141">
        <v>3</v>
      </c>
      <c r="HB141">
        <v>3</v>
      </c>
      <c r="HC141">
        <v>1</v>
      </c>
      <c r="HD141">
        <v>2</v>
      </c>
      <c r="HG141">
        <v>685</v>
      </c>
      <c r="HI141">
        <v>2</v>
      </c>
      <c r="HK141">
        <v>4</v>
      </c>
      <c r="HM141">
        <v>1</v>
      </c>
      <c r="HR141">
        <v>1</v>
      </c>
      <c r="HS141">
        <v>1</v>
      </c>
      <c r="HT141">
        <v>4</v>
      </c>
      <c r="HY141">
        <v>685</v>
      </c>
      <c r="HZ141">
        <v>1</v>
      </c>
      <c r="ID141">
        <v>1</v>
      </c>
      <c r="IE141">
        <v>1</v>
      </c>
      <c r="IM141">
        <v>2</v>
      </c>
    </row>
    <row r="142" spans="1:249" x14ac:dyDescent="0.35">
      <c r="A142">
        <v>299.57600000000002</v>
      </c>
      <c r="H142">
        <v>219.32400000000001</v>
      </c>
      <c r="BM142">
        <v>50.9</v>
      </c>
      <c r="BV142">
        <v>211.08799999999999</v>
      </c>
      <c r="DM142">
        <v>293.94499999999999</v>
      </c>
      <c r="DT142">
        <v>262.77600000000001</v>
      </c>
      <c r="GB142">
        <v>690</v>
      </c>
      <c r="GC142">
        <v>3</v>
      </c>
      <c r="GH142">
        <v>3</v>
      </c>
      <c r="GI142">
        <v>4</v>
      </c>
      <c r="GJ142">
        <v>4</v>
      </c>
      <c r="GK142">
        <v>2</v>
      </c>
      <c r="GL142">
        <v>2</v>
      </c>
      <c r="GN142">
        <v>3</v>
      </c>
      <c r="GO142">
        <v>7</v>
      </c>
      <c r="GP142">
        <v>13</v>
      </c>
      <c r="GQ142">
        <v>1</v>
      </c>
      <c r="GR142">
        <v>3</v>
      </c>
      <c r="GV142">
        <v>1</v>
      </c>
      <c r="GW142">
        <v>4</v>
      </c>
      <c r="GX142">
        <v>4</v>
      </c>
      <c r="GY142">
        <v>4</v>
      </c>
      <c r="HA142">
        <v>3</v>
      </c>
      <c r="HB142">
        <v>3</v>
      </c>
      <c r="HC142">
        <v>1</v>
      </c>
      <c r="HD142">
        <v>2</v>
      </c>
      <c r="HG142">
        <v>690</v>
      </c>
      <c r="HI142">
        <v>2</v>
      </c>
      <c r="HK142">
        <v>4</v>
      </c>
      <c r="HM142">
        <v>1</v>
      </c>
      <c r="HR142">
        <v>1</v>
      </c>
      <c r="HS142">
        <v>1</v>
      </c>
      <c r="HT142">
        <v>4</v>
      </c>
      <c r="HY142">
        <v>690</v>
      </c>
      <c r="HZ142">
        <v>1</v>
      </c>
      <c r="ID142">
        <v>1</v>
      </c>
      <c r="IE142">
        <v>1</v>
      </c>
      <c r="IM142">
        <v>2</v>
      </c>
    </row>
    <row r="143" spans="1:249" x14ac:dyDescent="0.35">
      <c r="A143">
        <v>27.69</v>
      </c>
      <c r="H143">
        <v>218.72499999999999</v>
      </c>
      <c r="BM143">
        <v>66.349999999999994</v>
      </c>
      <c r="BV143">
        <v>210.60300000000001</v>
      </c>
      <c r="DM143">
        <v>133.19999999999999</v>
      </c>
      <c r="DT143">
        <v>261.43400000000003</v>
      </c>
      <c r="GB143">
        <v>695</v>
      </c>
      <c r="GC143">
        <v>3</v>
      </c>
      <c r="GH143">
        <v>2</v>
      </c>
      <c r="GI143">
        <v>4</v>
      </c>
      <c r="GJ143">
        <v>4</v>
      </c>
      <c r="GK143">
        <v>2</v>
      </c>
      <c r="GL143">
        <v>2</v>
      </c>
      <c r="GN143">
        <v>3</v>
      </c>
      <c r="GO143">
        <v>7</v>
      </c>
      <c r="GP143">
        <v>14</v>
      </c>
      <c r="GQ143">
        <v>1</v>
      </c>
      <c r="GR143">
        <v>3</v>
      </c>
      <c r="GV143">
        <v>1</v>
      </c>
      <c r="GW143">
        <v>5</v>
      </c>
      <c r="GX143">
        <v>4</v>
      </c>
      <c r="GY143">
        <v>4</v>
      </c>
      <c r="HA143">
        <v>3</v>
      </c>
      <c r="HB143">
        <v>3</v>
      </c>
      <c r="HC143">
        <v>1</v>
      </c>
      <c r="HD143">
        <v>3</v>
      </c>
      <c r="HG143">
        <v>695</v>
      </c>
      <c r="HI143">
        <v>2</v>
      </c>
      <c r="HK143">
        <v>4</v>
      </c>
      <c r="HM143">
        <v>1</v>
      </c>
      <c r="HR143">
        <v>1</v>
      </c>
      <c r="HS143">
        <v>1</v>
      </c>
      <c r="HT143">
        <v>4</v>
      </c>
      <c r="HY143">
        <v>695</v>
      </c>
      <c r="HZ143">
        <v>1</v>
      </c>
      <c r="ID143">
        <v>1</v>
      </c>
      <c r="IE143">
        <v>1</v>
      </c>
      <c r="IM143">
        <v>2</v>
      </c>
    </row>
    <row r="144" spans="1:249" x14ac:dyDescent="0.35">
      <c r="A144">
        <v>58.732999999999997</v>
      </c>
      <c r="H144">
        <v>217.691</v>
      </c>
      <c r="BM144">
        <v>124.35</v>
      </c>
      <c r="BV144">
        <v>210.38800000000001</v>
      </c>
      <c r="DM144">
        <v>165.74100000000001</v>
      </c>
      <c r="DT144">
        <v>260.85000000000002</v>
      </c>
      <c r="GB144">
        <v>700</v>
      </c>
      <c r="GC144">
        <v>3</v>
      </c>
      <c r="GH144">
        <v>2</v>
      </c>
      <c r="GI144">
        <v>4</v>
      </c>
      <c r="GJ144">
        <v>4</v>
      </c>
      <c r="GK144">
        <v>1</v>
      </c>
      <c r="GL144">
        <v>2</v>
      </c>
      <c r="GN144">
        <v>3</v>
      </c>
      <c r="GO144">
        <v>6</v>
      </c>
      <c r="GP144">
        <v>14</v>
      </c>
      <c r="GQ144">
        <v>1</v>
      </c>
      <c r="GR144">
        <v>3</v>
      </c>
      <c r="GV144">
        <v>1</v>
      </c>
      <c r="GW144">
        <v>5</v>
      </c>
      <c r="GX144">
        <v>4</v>
      </c>
      <c r="GY144">
        <v>4</v>
      </c>
      <c r="HA144">
        <v>3</v>
      </c>
      <c r="HB144">
        <v>2</v>
      </c>
      <c r="HC144">
        <v>1</v>
      </c>
      <c r="HD144">
        <v>3</v>
      </c>
      <c r="HG144">
        <v>700</v>
      </c>
      <c r="HI144">
        <v>2</v>
      </c>
      <c r="HK144">
        <v>4</v>
      </c>
      <c r="HM144">
        <v>1</v>
      </c>
      <c r="HR144">
        <v>1</v>
      </c>
      <c r="HS144">
        <v>1</v>
      </c>
      <c r="HT144">
        <v>4</v>
      </c>
      <c r="HY144">
        <v>700</v>
      </c>
      <c r="HZ144">
        <v>1</v>
      </c>
      <c r="IE144">
        <v>1</v>
      </c>
      <c r="IM144">
        <v>2</v>
      </c>
    </row>
    <row r="145" spans="1:247" x14ac:dyDescent="0.35">
      <c r="A145">
        <v>140.81200000000001</v>
      </c>
      <c r="H145">
        <v>217.08500000000001</v>
      </c>
      <c r="BM145">
        <v>116.176</v>
      </c>
      <c r="BV145">
        <v>210.06399999999999</v>
      </c>
      <c r="DM145">
        <v>206.23699999999999</v>
      </c>
      <c r="DT145">
        <v>260.08600000000001</v>
      </c>
      <c r="GB145">
        <v>705</v>
      </c>
      <c r="GC145">
        <v>3</v>
      </c>
      <c r="GH145">
        <v>2</v>
      </c>
      <c r="GI145">
        <v>4</v>
      </c>
      <c r="GJ145">
        <v>4</v>
      </c>
      <c r="GK145">
        <v>1</v>
      </c>
      <c r="GL145">
        <v>2</v>
      </c>
      <c r="GN145">
        <v>3</v>
      </c>
      <c r="GO145">
        <v>8</v>
      </c>
      <c r="GP145">
        <v>12</v>
      </c>
      <c r="GQ145">
        <v>1</v>
      </c>
      <c r="GR145">
        <v>3</v>
      </c>
      <c r="GW145">
        <v>5</v>
      </c>
      <c r="GX145">
        <v>4</v>
      </c>
      <c r="GY145">
        <v>4</v>
      </c>
      <c r="HA145">
        <v>3</v>
      </c>
      <c r="HB145">
        <v>2</v>
      </c>
      <c r="HC145">
        <v>1</v>
      </c>
      <c r="HD145">
        <v>3</v>
      </c>
      <c r="HG145">
        <v>705</v>
      </c>
      <c r="HI145">
        <v>2</v>
      </c>
      <c r="HK145">
        <v>4</v>
      </c>
      <c r="HM145">
        <v>1</v>
      </c>
      <c r="HR145">
        <v>1</v>
      </c>
      <c r="HS145">
        <v>1</v>
      </c>
      <c r="HT145">
        <v>4</v>
      </c>
      <c r="HY145">
        <v>705</v>
      </c>
      <c r="HZ145">
        <v>1</v>
      </c>
      <c r="IE145">
        <v>1</v>
      </c>
      <c r="IM145">
        <v>2</v>
      </c>
    </row>
    <row r="146" spans="1:247" x14ac:dyDescent="0.35">
      <c r="A146">
        <v>37.253</v>
      </c>
      <c r="H146">
        <v>217.04499999999999</v>
      </c>
      <c r="BM146">
        <v>17.77</v>
      </c>
      <c r="BV146">
        <v>210.04900000000001</v>
      </c>
      <c r="DM146">
        <v>248.518</v>
      </c>
      <c r="DT146">
        <v>260</v>
      </c>
      <c r="GB146">
        <v>710</v>
      </c>
      <c r="GC146">
        <v>3</v>
      </c>
      <c r="GH146">
        <v>2</v>
      </c>
      <c r="GI146">
        <v>4</v>
      </c>
      <c r="GJ146">
        <v>3</v>
      </c>
      <c r="GK146">
        <v>1</v>
      </c>
      <c r="GL146">
        <v>2</v>
      </c>
      <c r="GN146">
        <v>3</v>
      </c>
      <c r="GO146">
        <v>10</v>
      </c>
      <c r="GP146">
        <v>13</v>
      </c>
      <c r="GQ146">
        <v>1</v>
      </c>
      <c r="GR146">
        <v>2</v>
      </c>
      <c r="GW146">
        <v>4</v>
      </c>
      <c r="GX146">
        <v>4</v>
      </c>
      <c r="GY146">
        <v>4</v>
      </c>
      <c r="HA146">
        <v>3</v>
      </c>
      <c r="HB146">
        <v>2</v>
      </c>
      <c r="HC146">
        <v>1</v>
      </c>
      <c r="HD146">
        <v>2</v>
      </c>
      <c r="HG146">
        <v>710</v>
      </c>
      <c r="HI146">
        <v>2</v>
      </c>
      <c r="HK146">
        <v>4</v>
      </c>
      <c r="HM146">
        <v>1</v>
      </c>
      <c r="HR146">
        <v>1</v>
      </c>
      <c r="HT146">
        <v>4</v>
      </c>
      <c r="HY146">
        <v>710</v>
      </c>
      <c r="HZ146">
        <v>1</v>
      </c>
      <c r="IE146">
        <v>1</v>
      </c>
      <c r="IM146">
        <v>2</v>
      </c>
    </row>
    <row r="147" spans="1:247" x14ac:dyDescent="0.35">
      <c r="A147">
        <v>118.268</v>
      </c>
      <c r="H147">
        <v>216.70699999999999</v>
      </c>
      <c r="BM147">
        <v>104.175</v>
      </c>
      <c r="BV147">
        <v>208.71899999999999</v>
      </c>
      <c r="DM147">
        <v>51.518000000000001</v>
      </c>
      <c r="DT147">
        <v>257.86900000000003</v>
      </c>
      <c r="GB147">
        <v>715</v>
      </c>
      <c r="GC147">
        <v>3</v>
      </c>
      <c r="GH147">
        <v>2</v>
      </c>
      <c r="GI147">
        <v>4</v>
      </c>
      <c r="GJ147">
        <v>3</v>
      </c>
      <c r="GK147">
        <v>1</v>
      </c>
      <c r="GL147">
        <v>2</v>
      </c>
      <c r="GN147">
        <v>3</v>
      </c>
      <c r="GO147">
        <v>8</v>
      </c>
      <c r="GP147">
        <v>11</v>
      </c>
      <c r="GQ147">
        <v>1</v>
      </c>
      <c r="GR147">
        <v>4</v>
      </c>
      <c r="GW147">
        <v>4</v>
      </c>
      <c r="GX147">
        <v>4</v>
      </c>
      <c r="GY147">
        <v>4</v>
      </c>
      <c r="HA147">
        <v>3</v>
      </c>
      <c r="HB147">
        <v>2</v>
      </c>
      <c r="HC147">
        <v>1</v>
      </c>
      <c r="HD147">
        <v>2</v>
      </c>
      <c r="HG147">
        <v>715</v>
      </c>
      <c r="HI147">
        <v>2</v>
      </c>
      <c r="HK147">
        <v>4</v>
      </c>
      <c r="HM147">
        <v>1</v>
      </c>
      <c r="HR147">
        <v>1</v>
      </c>
      <c r="HT147">
        <v>4</v>
      </c>
      <c r="HY147">
        <v>715</v>
      </c>
      <c r="HZ147">
        <v>1</v>
      </c>
      <c r="IE147">
        <v>1</v>
      </c>
      <c r="IM147">
        <v>2</v>
      </c>
    </row>
    <row r="148" spans="1:247" x14ac:dyDescent="0.35">
      <c r="A148">
        <v>84.046999999999997</v>
      </c>
      <c r="H148" s="8">
        <v>214.41200000000001</v>
      </c>
      <c r="BM148">
        <v>44.171999999999997</v>
      </c>
      <c r="BV148">
        <v>208.517</v>
      </c>
      <c r="DM148">
        <v>70.009</v>
      </c>
      <c r="DT148">
        <v>257.517</v>
      </c>
      <c r="GB148">
        <v>720</v>
      </c>
      <c r="GC148">
        <v>3</v>
      </c>
      <c r="GH148">
        <v>2</v>
      </c>
      <c r="GI148">
        <v>4</v>
      </c>
      <c r="GJ148">
        <v>2</v>
      </c>
      <c r="GK148">
        <v>1</v>
      </c>
      <c r="GL148">
        <v>3</v>
      </c>
      <c r="GN148">
        <v>3</v>
      </c>
      <c r="GO148">
        <v>14</v>
      </c>
      <c r="GP148">
        <v>12</v>
      </c>
      <c r="GQ148">
        <v>1</v>
      </c>
      <c r="GR148">
        <v>3</v>
      </c>
      <c r="GW148">
        <v>3</v>
      </c>
      <c r="GX148">
        <v>4</v>
      </c>
      <c r="GY148">
        <v>4</v>
      </c>
      <c r="HA148">
        <v>3</v>
      </c>
      <c r="HB148">
        <v>2</v>
      </c>
      <c r="HC148">
        <v>1</v>
      </c>
      <c r="HD148">
        <v>2</v>
      </c>
      <c r="HG148">
        <v>720</v>
      </c>
      <c r="HI148">
        <v>2</v>
      </c>
      <c r="HK148">
        <v>4</v>
      </c>
      <c r="HM148">
        <v>1</v>
      </c>
      <c r="HR148">
        <v>1</v>
      </c>
      <c r="HT148">
        <v>4</v>
      </c>
      <c r="HY148">
        <v>720</v>
      </c>
      <c r="HZ148">
        <v>1</v>
      </c>
      <c r="IM148">
        <v>2</v>
      </c>
    </row>
    <row r="149" spans="1:247" x14ac:dyDescent="0.35">
      <c r="A149" s="8">
        <v>28.088999999999999</v>
      </c>
      <c r="H149">
        <v>214.07</v>
      </c>
      <c r="BM149">
        <v>73.727000000000004</v>
      </c>
      <c r="BV149">
        <v>207.584</v>
      </c>
      <c r="DM149">
        <v>112.901</v>
      </c>
      <c r="DT149">
        <v>257.38799999999998</v>
      </c>
      <c r="GB149">
        <v>725</v>
      </c>
      <c r="GC149">
        <v>3</v>
      </c>
      <c r="GH149">
        <v>6</v>
      </c>
      <c r="GI149">
        <v>4</v>
      </c>
      <c r="GJ149">
        <v>2</v>
      </c>
      <c r="GK149">
        <v>1</v>
      </c>
      <c r="GL149">
        <v>3</v>
      </c>
      <c r="GN149">
        <v>3</v>
      </c>
      <c r="GO149">
        <v>19</v>
      </c>
      <c r="GP149">
        <v>12</v>
      </c>
      <c r="GQ149">
        <v>1</v>
      </c>
      <c r="GR149">
        <v>2</v>
      </c>
      <c r="GW149">
        <v>5</v>
      </c>
      <c r="GX149">
        <v>4</v>
      </c>
      <c r="GY149">
        <v>4</v>
      </c>
      <c r="HA149">
        <v>3</v>
      </c>
      <c r="HB149">
        <v>3</v>
      </c>
      <c r="HC149">
        <v>1</v>
      </c>
      <c r="HD149">
        <v>2</v>
      </c>
      <c r="HG149">
        <v>725</v>
      </c>
      <c r="HI149">
        <v>2</v>
      </c>
      <c r="HK149">
        <v>4</v>
      </c>
      <c r="HM149">
        <v>1</v>
      </c>
      <c r="HR149">
        <v>1</v>
      </c>
      <c r="HT149">
        <v>4</v>
      </c>
      <c r="HY149">
        <v>725</v>
      </c>
      <c r="HZ149">
        <v>1</v>
      </c>
      <c r="IM149">
        <v>1</v>
      </c>
    </row>
    <row r="150" spans="1:247" x14ac:dyDescent="0.35">
      <c r="A150" s="8">
        <v>73.218999999999994</v>
      </c>
      <c r="H150">
        <v>212.60499999999999</v>
      </c>
      <c r="BM150">
        <v>49.841999999999999</v>
      </c>
      <c r="BV150">
        <v>207.548</v>
      </c>
      <c r="DM150">
        <v>54.042000000000002</v>
      </c>
      <c r="DT150">
        <v>256.52600000000001</v>
      </c>
      <c r="GB150">
        <v>730</v>
      </c>
      <c r="GC150">
        <v>5</v>
      </c>
      <c r="GH150">
        <v>2</v>
      </c>
      <c r="GI150">
        <v>4</v>
      </c>
      <c r="GJ150">
        <v>2</v>
      </c>
      <c r="GK150">
        <v>1</v>
      </c>
      <c r="GL150">
        <v>3</v>
      </c>
      <c r="GN150">
        <v>3</v>
      </c>
      <c r="GO150">
        <v>16</v>
      </c>
      <c r="GP150">
        <v>14</v>
      </c>
      <c r="GQ150">
        <v>1</v>
      </c>
      <c r="GR150">
        <v>2</v>
      </c>
      <c r="GW150">
        <v>3</v>
      </c>
      <c r="GX150">
        <v>4</v>
      </c>
      <c r="GY150">
        <v>3</v>
      </c>
      <c r="HA150">
        <v>3</v>
      </c>
      <c r="HB150">
        <v>3</v>
      </c>
      <c r="HC150">
        <v>1</v>
      </c>
      <c r="HD150">
        <v>2</v>
      </c>
      <c r="HG150">
        <v>730</v>
      </c>
      <c r="HI150">
        <v>2</v>
      </c>
      <c r="HK150">
        <v>4</v>
      </c>
      <c r="HM150">
        <v>1</v>
      </c>
      <c r="HR150">
        <v>1</v>
      </c>
      <c r="HT150">
        <v>4</v>
      </c>
      <c r="HY150">
        <v>730</v>
      </c>
      <c r="HZ150">
        <v>1</v>
      </c>
      <c r="IM150">
        <v>1</v>
      </c>
    </row>
    <row r="151" spans="1:247" x14ac:dyDescent="0.35">
      <c r="A151" s="8">
        <v>80.454999999999998</v>
      </c>
      <c r="H151">
        <v>212.357</v>
      </c>
      <c r="BM151">
        <v>154.05000000000001</v>
      </c>
      <c r="BV151">
        <v>206.58199999999999</v>
      </c>
      <c r="DM151">
        <v>104.15300000000001</v>
      </c>
      <c r="DT151">
        <v>255.69900000000001</v>
      </c>
      <c r="GB151">
        <v>735</v>
      </c>
      <c r="GC151">
        <v>3</v>
      </c>
      <c r="GH151">
        <v>3</v>
      </c>
      <c r="GI151">
        <v>4</v>
      </c>
      <c r="GJ151">
        <v>2</v>
      </c>
      <c r="GK151">
        <v>1</v>
      </c>
      <c r="GL151">
        <v>3</v>
      </c>
      <c r="GN151">
        <v>2</v>
      </c>
      <c r="GO151">
        <v>14</v>
      </c>
      <c r="GP151">
        <v>10</v>
      </c>
      <c r="GQ151">
        <v>1</v>
      </c>
      <c r="GR151">
        <v>2</v>
      </c>
      <c r="GW151">
        <v>3</v>
      </c>
      <c r="GX151">
        <v>4</v>
      </c>
      <c r="GY151">
        <v>3</v>
      </c>
      <c r="HA151">
        <v>3</v>
      </c>
      <c r="HB151">
        <v>2</v>
      </c>
      <c r="HC151">
        <v>1</v>
      </c>
      <c r="HD151">
        <v>2</v>
      </c>
      <c r="HG151">
        <v>735</v>
      </c>
      <c r="HI151">
        <v>2</v>
      </c>
      <c r="HK151">
        <v>6</v>
      </c>
      <c r="HR151">
        <v>1</v>
      </c>
      <c r="HT151">
        <v>4</v>
      </c>
      <c r="HY151">
        <v>735</v>
      </c>
      <c r="HZ151">
        <v>1</v>
      </c>
      <c r="IM151">
        <v>1</v>
      </c>
    </row>
    <row r="152" spans="1:247" x14ac:dyDescent="0.35">
      <c r="A152" s="8">
        <v>78.081999999999994</v>
      </c>
      <c r="H152">
        <v>211.886</v>
      </c>
      <c r="BM152">
        <v>114.637</v>
      </c>
      <c r="BV152">
        <v>205.857</v>
      </c>
      <c r="DM152">
        <v>55.933</v>
      </c>
      <c r="DT152">
        <v>255.63399999999999</v>
      </c>
      <c r="GB152">
        <v>740</v>
      </c>
      <c r="GC152">
        <v>2</v>
      </c>
      <c r="GH152">
        <v>2</v>
      </c>
      <c r="GI152">
        <v>5</v>
      </c>
      <c r="GJ152">
        <v>2</v>
      </c>
      <c r="GK152">
        <v>1</v>
      </c>
      <c r="GL152">
        <v>3</v>
      </c>
      <c r="GN152">
        <v>2</v>
      </c>
      <c r="GO152">
        <v>16</v>
      </c>
      <c r="GP152">
        <v>7</v>
      </c>
      <c r="GQ152">
        <v>1</v>
      </c>
      <c r="GR152">
        <v>2</v>
      </c>
      <c r="GW152">
        <v>3</v>
      </c>
      <c r="GX152">
        <v>4</v>
      </c>
      <c r="GY152">
        <v>3</v>
      </c>
      <c r="HA152">
        <v>3</v>
      </c>
      <c r="HB152">
        <v>1</v>
      </c>
      <c r="HC152">
        <v>2</v>
      </c>
      <c r="HD152">
        <v>2</v>
      </c>
      <c r="HG152">
        <v>740</v>
      </c>
      <c r="HI152">
        <v>2</v>
      </c>
      <c r="HK152">
        <v>3</v>
      </c>
      <c r="HR152">
        <v>1</v>
      </c>
      <c r="HT152">
        <v>3</v>
      </c>
      <c r="HY152">
        <v>740</v>
      </c>
      <c r="HZ152">
        <v>1</v>
      </c>
      <c r="IM152">
        <v>1</v>
      </c>
    </row>
    <row r="153" spans="1:247" x14ac:dyDescent="0.35">
      <c r="A153" s="8">
        <v>93.906000000000006</v>
      </c>
      <c r="H153" s="8">
        <v>211.845</v>
      </c>
      <c r="BM153">
        <v>147.851</v>
      </c>
      <c r="BV153">
        <v>205.495</v>
      </c>
      <c r="DM153">
        <v>53.122999999999998</v>
      </c>
      <c r="DT153">
        <v>254.07900000000001</v>
      </c>
      <c r="GB153">
        <v>745</v>
      </c>
      <c r="GC153">
        <v>2</v>
      </c>
      <c r="GH153">
        <v>2</v>
      </c>
      <c r="GI153">
        <v>5</v>
      </c>
      <c r="GJ153">
        <v>2</v>
      </c>
      <c r="GK153">
        <v>1</v>
      </c>
      <c r="GL153">
        <v>3</v>
      </c>
      <c r="GN153">
        <v>2</v>
      </c>
      <c r="GO153">
        <v>15</v>
      </c>
      <c r="GP153">
        <v>9</v>
      </c>
      <c r="GQ153">
        <v>1</v>
      </c>
      <c r="GR153">
        <v>2</v>
      </c>
      <c r="GW153">
        <v>3</v>
      </c>
      <c r="GX153">
        <v>4</v>
      </c>
      <c r="GY153">
        <v>3</v>
      </c>
      <c r="HA153">
        <v>3</v>
      </c>
      <c r="HB153">
        <v>1</v>
      </c>
      <c r="HC153">
        <v>2</v>
      </c>
      <c r="HD153">
        <v>2</v>
      </c>
      <c r="HG153">
        <v>745</v>
      </c>
      <c r="HI153">
        <v>2</v>
      </c>
      <c r="HK153">
        <v>3</v>
      </c>
      <c r="HR153">
        <v>1</v>
      </c>
      <c r="HT153">
        <v>3</v>
      </c>
      <c r="HY153">
        <v>745</v>
      </c>
      <c r="HZ153">
        <v>1</v>
      </c>
      <c r="IM153">
        <v>1</v>
      </c>
    </row>
    <row r="154" spans="1:247" x14ac:dyDescent="0.35">
      <c r="A154" s="8">
        <v>143.446</v>
      </c>
      <c r="H154">
        <v>211.738</v>
      </c>
      <c r="BM154">
        <v>81.396000000000001</v>
      </c>
      <c r="BV154">
        <v>205.47399999999999</v>
      </c>
      <c r="DM154">
        <v>89.272000000000006</v>
      </c>
      <c r="DT154">
        <v>253.65199999999999</v>
      </c>
      <c r="GB154">
        <v>750</v>
      </c>
      <c r="GC154">
        <v>2</v>
      </c>
      <c r="GH154">
        <v>2</v>
      </c>
      <c r="GI154">
        <v>5</v>
      </c>
      <c r="GJ154">
        <v>2</v>
      </c>
      <c r="GK154">
        <v>1</v>
      </c>
      <c r="GL154">
        <v>3</v>
      </c>
      <c r="GN154">
        <v>1</v>
      </c>
      <c r="GO154">
        <v>16</v>
      </c>
      <c r="GP154">
        <v>7</v>
      </c>
      <c r="GQ154">
        <v>1</v>
      </c>
      <c r="GR154">
        <v>3</v>
      </c>
      <c r="GW154">
        <v>3</v>
      </c>
      <c r="GX154">
        <v>4</v>
      </c>
      <c r="GY154">
        <v>3</v>
      </c>
      <c r="HA154">
        <v>2</v>
      </c>
      <c r="HB154">
        <v>1</v>
      </c>
      <c r="HC154">
        <v>2</v>
      </c>
      <c r="HD154">
        <v>2</v>
      </c>
      <c r="HG154">
        <v>750</v>
      </c>
      <c r="HI154">
        <v>1</v>
      </c>
      <c r="HK154">
        <v>2</v>
      </c>
      <c r="HR154">
        <v>1</v>
      </c>
      <c r="HT154">
        <v>3</v>
      </c>
      <c r="HY154">
        <v>750</v>
      </c>
      <c r="HZ154">
        <v>1</v>
      </c>
      <c r="IM154">
        <v>1</v>
      </c>
    </row>
    <row r="155" spans="1:247" x14ac:dyDescent="0.35">
      <c r="A155" s="8">
        <v>84.84</v>
      </c>
      <c r="H155">
        <v>211.31700000000001</v>
      </c>
      <c r="BM155">
        <v>32.636000000000003</v>
      </c>
      <c r="BV155">
        <v>204.41</v>
      </c>
      <c r="DM155">
        <v>109.82</v>
      </c>
      <c r="DT155">
        <v>253.423</v>
      </c>
      <c r="GB155">
        <v>755</v>
      </c>
      <c r="GC155">
        <v>2</v>
      </c>
      <c r="GH155">
        <v>1</v>
      </c>
      <c r="GI155">
        <v>5</v>
      </c>
      <c r="GJ155">
        <v>1</v>
      </c>
      <c r="GK155">
        <v>1</v>
      </c>
      <c r="GL155">
        <v>4</v>
      </c>
      <c r="GN155">
        <v>1</v>
      </c>
      <c r="GO155">
        <v>14</v>
      </c>
      <c r="GP155">
        <v>6</v>
      </c>
      <c r="GQ155">
        <v>1</v>
      </c>
      <c r="GR155">
        <v>2</v>
      </c>
      <c r="GW155">
        <v>3</v>
      </c>
      <c r="GX155">
        <v>4</v>
      </c>
      <c r="GY155">
        <v>3</v>
      </c>
      <c r="HA155">
        <v>2</v>
      </c>
      <c r="HB155">
        <v>1</v>
      </c>
      <c r="HC155">
        <v>2</v>
      </c>
      <c r="HD155">
        <v>2</v>
      </c>
      <c r="HG155">
        <v>755</v>
      </c>
      <c r="HI155">
        <v>1</v>
      </c>
      <c r="HK155">
        <v>2</v>
      </c>
      <c r="HR155">
        <v>1</v>
      </c>
      <c r="HT155">
        <v>3</v>
      </c>
      <c r="HY155">
        <v>755</v>
      </c>
      <c r="HZ155">
        <v>1</v>
      </c>
      <c r="IM155">
        <v>1</v>
      </c>
    </row>
    <row r="156" spans="1:247" x14ac:dyDescent="0.35">
      <c r="A156" s="8">
        <v>84.034000000000006</v>
      </c>
      <c r="H156">
        <v>210.994</v>
      </c>
      <c r="BM156">
        <v>63.017000000000003</v>
      </c>
      <c r="BV156">
        <v>203.84700000000001</v>
      </c>
      <c r="DM156">
        <v>188.405</v>
      </c>
      <c r="DT156">
        <v>252.09</v>
      </c>
      <c r="GB156">
        <v>760</v>
      </c>
      <c r="GC156">
        <v>2</v>
      </c>
      <c r="GH156">
        <v>1</v>
      </c>
      <c r="GI156">
        <v>5</v>
      </c>
      <c r="GK156">
        <v>1</v>
      </c>
      <c r="GL156">
        <v>4</v>
      </c>
      <c r="GN156">
        <v>1</v>
      </c>
      <c r="GO156">
        <v>14</v>
      </c>
      <c r="GP156">
        <v>6</v>
      </c>
      <c r="GQ156">
        <v>1</v>
      </c>
      <c r="GR156">
        <v>2</v>
      </c>
      <c r="GW156">
        <v>2</v>
      </c>
      <c r="GX156">
        <v>4</v>
      </c>
      <c r="GY156">
        <v>3</v>
      </c>
      <c r="HA156">
        <v>2</v>
      </c>
      <c r="HB156">
        <v>1</v>
      </c>
      <c r="HC156">
        <v>2</v>
      </c>
      <c r="HD156">
        <v>2</v>
      </c>
      <c r="HG156">
        <v>760</v>
      </c>
      <c r="HI156">
        <v>1</v>
      </c>
      <c r="HK156">
        <v>2</v>
      </c>
      <c r="HR156">
        <v>1</v>
      </c>
      <c r="HT156">
        <v>2</v>
      </c>
      <c r="HY156">
        <v>760</v>
      </c>
      <c r="HZ156">
        <v>1</v>
      </c>
      <c r="IM156">
        <v>1</v>
      </c>
    </row>
    <row r="157" spans="1:247" x14ac:dyDescent="0.35">
      <c r="A157" s="8">
        <v>63.786999999999999</v>
      </c>
      <c r="H157">
        <v>210.71899999999999</v>
      </c>
      <c r="BM157">
        <v>55.222999999999999</v>
      </c>
      <c r="BV157">
        <v>203.773</v>
      </c>
      <c r="DM157">
        <v>215.83</v>
      </c>
      <c r="DT157">
        <v>252.08500000000001</v>
      </c>
      <c r="GB157">
        <v>765</v>
      </c>
      <c r="GC157">
        <v>2</v>
      </c>
      <c r="GH157">
        <v>1</v>
      </c>
      <c r="GI157">
        <v>4</v>
      </c>
      <c r="GK157">
        <v>1</v>
      </c>
      <c r="GL157">
        <v>4</v>
      </c>
      <c r="GN157">
        <v>1</v>
      </c>
      <c r="GO157">
        <v>15</v>
      </c>
      <c r="GP157">
        <v>6</v>
      </c>
      <c r="GQ157">
        <v>1</v>
      </c>
      <c r="GR157">
        <v>2</v>
      </c>
      <c r="GW157">
        <v>2</v>
      </c>
      <c r="GX157">
        <v>3</v>
      </c>
      <c r="GY157">
        <v>4</v>
      </c>
      <c r="HA157">
        <v>2</v>
      </c>
      <c r="HB157">
        <v>1</v>
      </c>
      <c r="HC157">
        <v>2</v>
      </c>
      <c r="HD157">
        <v>2</v>
      </c>
      <c r="HG157">
        <v>765</v>
      </c>
      <c r="HI157">
        <v>1</v>
      </c>
      <c r="HK157">
        <v>2</v>
      </c>
      <c r="HR157">
        <v>1</v>
      </c>
      <c r="HT157">
        <v>2</v>
      </c>
      <c r="HY157">
        <v>765</v>
      </c>
      <c r="IM157">
        <v>1</v>
      </c>
    </row>
    <row r="158" spans="1:247" x14ac:dyDescent="0.35">
      <c r="A158" s="8">
        <v>77.168000000000006</v>
      </c>
      <c r="H158">
        <v>210.667</v>
      </c>
      <c r="BM158">
        <v>39.642000000000003</v>
      </c>
      <c r="BV158">
        <v>202.92500000000001</v>
      </c>
      <c r="DM158">
        <v>282.387</v>
      </c>
      <c r="DT158">
        <v>251.863</v>
      </c>
      <c r="GB158">
        <v>770</v>
      </c>
      <c r="GC158">
        <v>2</v>
      </c>
      <c r="GH158">
        <v>1</v>
      </c>
      <c r="GI158">
        <v>4</v>
      </c>
      <c r="GK158">
        <v>2</v>
      </c>
      <c r="GL158">
        <v>4</v>
      </c>
      <c r="GN158">
        <v>1</v>
      </c>
      <c r="GO158">
        <v>15</v>
      </c>
      <c r="GP158">
        <v>6</v>
      </c>
      <c r="GQ158">
        <v>1</v>
      </c>
      <c r="GR158">
        <v>2</v>
      </c>
      <c r="GW158">
        <v>2</v>
      </c>
      <c r="GX158">
        <v>3</v>
      </c>
      <c r="GY158">
        <v>4</v>
      </c>
      <c r="HA158">
        <v>2</v>
      </c>
      <c r="HB158">
        <v>1</v>
      </c>
      <c r="HC158">
        <v>2</v>
      </c>
      <c r="HD158">
        <v>2</v>
      </c>
      <c r="HG158">
        <v>770</v>
      </c>
      <c r="HI158">
        <v>1</v>
      </c>
      <c r="HK158">
        <v>1</v>
      </c>
      <c r="HR158">
        <v>1</v>
      </c>
      <c r="HT158">
        <v>2</v>
      </c>
      <c r="HY158">
        <v>770</v>
      </c>
      <c r="IM158">
        <v>1</v>
      </c>
    </row>
    <row r="159" spans="1:247" x14ac:dyDescent="0.35">
      <c r="A159" s="8">
        <v>119.566</v>
      </c>
      <c r="H159">
        <v>210.62899999999999</v>
      </c>
      <c r="BM159">
        <v>66.516999999999996</v>
      </c>
      <c r="BV159">
        <v>201.977</v>
      </c>
      <c r="DM159">
        <v>307.685</v>
      </c>
      <c r="DT159">
        <v>251.64</v>
      </c>
      <c r="GB159">
        <v>775</v>
      </c>
      <c r="GC159">
        <v>3</v>
      </c>
      <c r="GH159">
        <v>1</v>
      </c>
      <c r="GI159">
        <v>4</v>
      </c>
      <c r="GK159">
        <v>2</v>
      </c>
      <c r="GL159">
        <v>2</v>
      </c>
      <c r="GN159">
        <v>1</v>
      </c>
      <c r="GO159">
        <v>15</v>
      </c>
      <c r="GP159">
        <v>6</v>
      </c>
      <c r="GQ159">
        <v>1</v>
      </c>
      <c r="GR159">
        <v>2</v>
      </c>
      <c r="GW159">
        <v>2</v>
      </c>
      <c r="GX159">
        <v>3</v>
      </c>
      <c r="GY159">
        <v>4</v>
      </c>
      <c r="HA159">
        <v>2</v>
      </c>
      <c r="HB159">
        <v>1</v>
      </c>
      <c r="HC159">
        <v>2</v>
      </c>
      <c r="HD159">
        <v>2</v>
      </c>
      <c r="HG159">
        <v>775</v>
      </c>
      <c r="HI159">
        <v>1</v>
      </c>
      <c r="HR159">
        <v>1</v>
      </c>
      <c r="HT159">
        <v>2</v>
      </c>
      <c r="HY159">
        <v>775</v>
      </c>
      <c r="IM159">
        <v>1</v>
      </c>
    </row>
    <row r="160" spans="1:247" x14ac:dyDescent="0.35">
      <c r="A160" s="8">
        <v>24.081</v>
      </c>
      <c r="H160">
        <v>210.56399999999999</v>
      </c>
      <c r="BM160">
        <v>49.435000000000002</v>
      </c>
      <c r="BV160">
        <v>200.03399999999999</v>
      </c>
      <c r="DM160">
        <v>76.697999999999993</v>
      </c>
      <c r="DT160">
        <v>250.81299999999999</v>
      </c>
      <c r="GB160">
        <v>780</v>
      </c>
      <c r="GC160">
        <v>3</v>
      </c>
      <c r="GI160">
        <v>4</v>
      </c>
      <c r="GK160">
        <v>2</v>
      </c>
      <c r="GL160">
        <v>2</v>
      </c>
      <c r="GN160">
        <v>1</v>
      </c>
      <c r="GO160">
        <v>15</v>
      </c>
      <c r="GP160">
        <v>6</v>
      </c>
      <c r="GQ160">
        <v>1</v>
      </c>
      <c r="GR160">
        <v>2</v>
      </c>
      <c r="GW160">
        <v>3</v>
      </c>
      <c r="GX160">
        <v>3</v>
      </c>
      <c r="GY160">
        <v>4</v>
      </c>
      <c r="HA160">
        <v>2</v>
      </c>
      <c r="HB160">
        <v>1</v>
      </c>
      <c r="HC160">
        <v>2</v>
      </c>
      <c r="HD160">
        <v>2</v>
      </c>
      <c r="HG160">
        <v>780</v>
      </c>
      <c r="HR160">
        <v>1</v>
      </c>
      <c r="HT160">
        <v>2</v>
      </c>
      <c r="HY160">
        <v>780</v>
      </c>
      <c r="IM160">
        <v>1</v>
      </c>
    </row>
    <row r="161" spans="1:247" x14ac:dyDescent="0.35">
      <c r="A161" s="8">
        <v>146.96299999999999</v>
      </c>
      <c r="H161" s="8">
        <v>210.541</v>
      </c>
      <c r="BM161">
        <v>57.158999999999999</v>
      </c>
      <c r="BV161">
        <v>199.614</v>
      </c>
      <c r="DM161">
        <v>129.964</v>
      </c>
      <c r="DT161">
        <v>250.14099999999999</v>
      </c>
      <c r="GB161">
        <v>785</v>
      </c>
      <c r="GC161">
        <v>2</v>
      </c>
      <c r="GI161">
        <v>4</v>
      </c>
      <c r="GK161">
        <v>2</v>
      </c>
      <c r="GL161">
        <v>1</v>
      </c>
      <c r="GN161">
        <v>1</v>
      </c>
      <c r="GO161">
        <v>14</v>
      </c>
      <c r="GP161">
        <v>5</v>
      </c>
      <c r="GQ161">
        <v>1</v>
      </c>
      <c r="GR161">
        <v>1</v>
      </c>
      <c r="GW161">
        <v>3</v>
      </c>
      <c r="GX161">
        <v>3</v>
      </c>
      <c r="GY161">
        <v>4</v>
      </c>
      <c r="HA161">
        <v>3</v>
      </c>
      <c r="HB161">
        <v>1</v>
      </c>
      <c r="HC161">
        <v>2</v>
      </c>
      <c r="HD161">
        <v>2</v>
      </c>
      <c r="HG161">
        <v>785</v>
      </c>
      <c r="HT161">
        <v>2</v>
      </c>
      <c r="HY161">
        <v>785</v>
      </c>
      <c r="IM161">
        <v>1</v>
      </c>
    </row>
    <row r="162" spans="1:247" x14ac:dyDescent="0.35">
      <c r="A162" s="8">
        <v>162.184</v>
      </c>
      <c r="H162">
        <v>209.43100000000001</v>
      </c>
      <c r="BM162">
        <v>136.43299999999999</v>
      </c>
      <c r="BV162">
        <v>199.607</v>
      </c>
      <c r="DM162">
        <v>193.571</v>
      </c>
      <c r="DT162">
        <v>249.47900000000001</v>
      </c>
      <c r="GB162">
        <v>790</v>
      </c>
      <c r="GC162">
        <v>2</v>
      </c>
      <c r="GI162">
        <v>4</v>
      </c>
      <c r="GK162">
        <v>2</v>
      </c>
      <c r="GL162">
        <v>1</v>
      </c>
      <c r="GN162">
        <v>1</v>
      </c>
      <c r="GO162">
        <v>14</v>
      </c>
      <c r="GP162">
        <v>5</v>
      </c>
      <c r="GQ162">
        <v>1</v>
      </c>
      <c r="GR162">
        <v>2</v>
      </c>
      <c r="GW162">
        <v>3</v>
      </c>
      <c r="GX162">
        <v>3</v>
      </c>
      <c r="GY162">
        <v>4</v>
      </c>
      <c r="HA162">
        <v>3</v>
      </c>
      <c r="HB162">
        <v>1</v>
      </c>
      <c r="HC162">
        <v>2</v>
      </c>
      <c r="HD162">
        <v>2</v>
      </c>
      <c r="HG162">
        <v>790</v>
      </c>
      <c r="HT162">
        <v>2</v>
      </c>
      <c r="HY162">
        <v>790</v>
      </c>
      <c r="IM162">
        <v>1</v>
      </c>
    </row>
    <row r="163" spans="1:247" x14ac:dyDescent="0.35">
      <c r="A163" s="8">
        <v>200.773</v>
      </c>
      <c r="H163">
        <v>208.83</v>
      </c>
      <c r="BM163">
        <v>106.324</v>
      </c>
      <c r="BV163">
        <v>199.17699999999999</v>
      </c>
      <c r="DM163">
        <v>219.63</v>
      </c>
      <c r="DT163">
        <v>249.316</v>
      </c>
      <c r="GB163">
        <v>795</v>
      </c>
      <c r="GC163">
        <v>1</v>
      </c>
      <c r="GI163">
        <v>4</v>
      </c>
      <c r="GK163">
        <v>2</v>
      </c>
      <c r="GL163">
        <v>1</v>
      </c>
      <c r="GN163">
        <v>1</v>
      </c>
      <c r="GO163">
        <v>12</v>
      </c>
      <c r="GP163">
        <v>6</v>
      </c>
      <c r="GQ163">
        <v>1</v>
      </c>
      <c r="GR163">
        <v>2</v>
      </c>
      <c r="GW163">
        <v>3</v>
      </c>
      <c r="GX163">
        <v>3</v>
      </c>
      <c r="GY163">
        <v>4</v>
      </c>
      <c r="HA163">
        <v>3</v>
      </c>
      <c r="HB163">
        <v>1</v>
      </c>
      <c r="HC163">
        <v>2</v>
      </c>
      <c r="HD163">
        <v>2</v>
      </c>
      <c r="HG163">
        <v>795</v>
      </c>
      <c r="HT163">
        <v>2</v>
      </c>
      <c r="HY163">
        <v>795</v>
      </c>
      <c r="IM163">
        <v>1</v>
      </c>
    </row>
    <row r="164" spans="1:247" x14ac:dyDescent="0.35">
      <c r="A164" s="8">
        <v>148.83799999999999</v>
      </c>
      <c r="H164">
        <v>208.51300000000001</v>
      </c>
      <c r="BM164">
        <v>139.376</v>
      </c>
      <c r="BV164">
        <v>199.12799999999999</v>
      </c>
      <c r="DM164">
        <v>285.91500000000002</v>
      </c>
      <c r="DT164">
        <v>248.952</v>
      </c>
      <c r="GB164">
        <v>800</v>
      </c>
      <c r="GC164">
        <v>1</v>
      </c>
      <c r="GI164">
        <v>4</v>
      </c>
      <c r="GK164">
        <v>2</v>
      </c>
      <c r="GL164">
        <v>1</v>
      </c>
      <c r="GN164">
        <v>1</v>
      </c>
      <c r="GO164">
        <v>13</v>
      </c>
      <c r="GP164">
        <v>5</v>
      </c>
      <c r="GQ164">
        <v>1</v>
      </c>
      <c r="GR164">
        <v>2</v>
      </c>
      <c r="GW164">
        <v>2</v>
      </c>
      <c r="GX164">
        <v>3</v>
      </c>
      <c r="GY164">
        <v>3</v>
      </c>
      <c r="HA164">
        <v>3</v>
      </c>
      <c r="HB164">
        <v>1</v>
      </c>
      <c r="HC164">
        <v>2</v>
      </c>
      <c r="HD164">
        <v>2</v>
      </c>
      <c r="HG164">
        <v>800</v>
      </c>
      <c r="HT164">
        <v>2</v>
      </c>
      <c r="HY164">
        <v>800</v>
      </c>
      <c r="IM164">
        <v>1</v>
      </c>
    </row>
    <row r="165" spans="1:247" x14ac:dyDescent="0.35">
      <c r="A165" s="8">
        <v>159.76400000000001</v>
      </c>
      <c r="H165">
        <v>208.44300000000001</v>
      </c>
      <c r="BM165">
        <v>39.779000000000003</v>
      </c>
      <c r="BV165">
        <v>199.09299999999999</v>
      </c>
      <c r="DM165">
        <v>314.07299999999998</v>
      </c>
      <c r="DT165">
        <v>248.518</v>
      </c>
      <c r="GB165">
        <v>805</v>
      </c>
      <c r="GC165">
        <v>1</v>
      </c>
      <c r="GI165">
        <v>4</v>
      </c>
      <c r="GK165">
        <v>2</v>
      </c>
      <c r="GL165">
        <v>1</v>
      </c>
      <c r="GN165">
        <v>1</v>
      </c>
      <c r="GO165">
        <v>12</v>
      </c>
      <c r="GP165">
        <v>5</v>
      </c>
      <c r="GR165">
        <v>2</v>
      </c>
      <c r="GW165">
        <v>2</v>
      </c>
      <c r="GX165">
        <v>3</v>
      </c>
      <c r="GY165">
        <v>4</v>
      </c>
      <c r="HA165">
        <v>3</v>
      </c>
      <c r="HB165">
        <v>1</v>
      </c>
      <c r="HC165">
        <v>2</v>
      </c>
      <c r="HD165">
        <v>2</v>
      </c>
      <c r="HG165">
        <v>805</v>
      </c>
      <c r="HT165">
        <v>2</v>
      </c>
      <c r="HY165">
        <v>805</v>
      </c>
      <c r="IM165">
        <v>1</v>
      </c>
    </row>
    <row r="166" spans="1:247" x14ac:dyDescent="0.35">
      <c r="A166" s="8">
        <v>195.65700000000001</v>
      </c>
      <c r="H166">
        <v>207.892</v>
      </c>
      <c r="BM166">
        <v>85.462999999999994</v>
      </c>
      <c r="BV166">
        <v>199.02099999999999</v>
      </c>
      <c r="DM166">
        <v>59.485999999999997</v>
      </c>
      <c r="DT166">
        <v>247.59200000000001</v>
      </c>
      <c r="GB166">
        <v>810</v>
      </c>
      <c r="GI166">
        <v>4</v>
      </c>
      <c r="GK166">
        <v>2</v>
      </c>
      <c r="GL166">
        <v>1</v>
      </c>
      <c r="GN166">
        <v>2</v>
      </c>
      <c r="GO166">
        <v>12</v>
      </c>
      <c r="GP166">
        <v>5</v>
      </c>
      <c r="GR166">
        <v>2</v>
      </c>
      <c r="GW166">
        <v>2</v>
      </c>
      <c r="GX166">
        <v>3</v>
      </c>
      <c r="GY166">
        <v>4</v>
      </c>
      <c r="HA166">
        <v>3</v>
      </c>
      <c r="HB166">
        <v>1</v>
      </c>
      <c r="HC166">
        <v>2</v>
      </c>
      <c r="HD166">
        <v>3</v>
      </c>
      <c r="HG166">
        <v>810</v>
      </c>
      <c r="HT166">
        <v>2</v>
      </c>
      <c r="HY166">
        <v>810</v>
      </c>
      <c r="IM166">
        <v>1</v>
      </c>
    </row>
    <row r="167" spans="1:247" x14ac:dyDescent="0.35">
      <c r="A167" s="8">
        <v>20.986000000000001</v>
      </c>
      <c r="H167">
        <v>207.25</v>
      </c>
      <c r="BM167">
        <v>59.277999999999999</v>
      </c>
      <c r="BV167">
        <v>198.40199999999999</v>
      </c>
      <c r="DM167">
        <v>119.127</v>
      </c>
      <c r="DT167">
        <v>247.52</v>
      </c>
      <c r="GB167">
        <v>815</v>
      </c>
      <c r="GI167">
        <v>3</v>
      </c>
      <c r="GK167">
        <v>2</v>
      </c>
      <c r="GL167">
        <v>1</v>
      </c>
      <c r="GN167">
        <v>2</v>
      </c>
      <c r="GO167">
        <v>13</v>
      </c>
      <c r="GP167">
        <v>5</v>
      </c>
      <c r="GR167">
        <v>2</v>
      </c>
      <c r="GW167">
        <v>2</v>
      </c>
      <c r="GX167">
        <v>3</v>
      </c>
      <c r="GY167">
        <v>4</v>
      </c>
      <c r="HA167">
        <v>2</v>
      </c>
      <c r="HB167">
        <v>1</v>
      </c>
      <c r="HC167">
        <v>2</v>
      </c>
      <c r="HD167">
        <v>1</v>
      </c>
      <c r="HG167">
        <v>815</v>
      </c>
      <c r="HT167">
        <v>2</v>
      </c>
      <c r="HY167">
        <v>815</v>
      </c>
      <c r="IM167">
        <v>1</v>
      </c>
    </row>
    <row r="168" spans="1:247" x14ac:dyDescent="0.35">
      <c r="A168" s="8">
        <v>76.468999999999994</v>
      </c>
      <c r="H168">
        <v>206.56399999999999</v>
      </c>
      <c r="BM168">
        <v>90.582999999999998</v>
      </c>
      <c r="BV168">
        <v>198.22800000000001</v>
      </c>
      <c r="DM168">
        <v>146.709</v>
      </c>
      <c r="DT168">
        <v>247.37700000000001</v>
      </c>
      <c r="GB168">
        <v>820</v>
      </c>
      <c r="GI168">
        <v>3</v>
      </c>
      <c r="GK168">
        <v>3</v>
      </c>
      <c r="GL168">
        <v>1</v>
      </c>
      <c r="GN168">
        <v>1</v>
      </c>
      <c r="GO168">
        <v>12</v>
      </c>
      <c r="GP168">
        <v>5</v>
      </c>
      <c r="GR168">
        <v>1</v>
      </c>
      <c r="GW168">
        <v>1</v>
      </c>
      <c r="GX168">
        <v>4</v>
      </c>
      <c r="GY168">
        <v>4</v>
      </c>
      <c r="HA168">
        <v>2</v>
      </c>
      <c r="HB168">
        <v>1</v>
      </c>
      <c r="HC168">
        <v>2</v>
      </c>
      <c r="HD168">
        <v>1</v>
      </c>
      <c r="HG168">
        <v>820</v>
      </c>
      <c r="HT168">
        <v>1</v>
      </c>
      <c r="HY168">
        <v>820</v>
      </c>
      <c r="IM168">
        <v>1</v>
      </c>
    </row>
    <row r="169" spans="1:247" x14ac:dyDescent="0.35">
      <c r="A169" s="8">
        <v>57.027999999999999</v>
      </c>
      <c r="H169">
        <v>205.16399999999999</v>
      </c>
      <c r="BM169">
        <v>108.133</v>
      </c>
      <c r="BV169">
        <v>196.27799999999999</v>
      </c>
      <c r="DM169">
        <v>210.285</v>
      </c>
      <c r="DT169">
        <v>247.333</v>
      </c>
      <c r="GB169">
        <v>825</v>
      </c>
      <c r="GI169">
        <v>3</v>
      </c>
      <c r="GK169">
        <v>1</v>
      </c>
      <c r="GL169">
        <v>3</v>
      </c>
      <c r="GN169">
        <v>1</v>
      </c>
      <c r="GO169">
        <v>10</v>
      </c>
      <c r="GP169">
        <v>5</v>
      </c>
      <c r="GR169">
        <v>1</v>
      </c>
      <c r="GW169">
        <v>1</v>
      </c>
      <c r="GX169">
        <v>3</v>
      </c>
      <c r="GY169">
        <v>4</v>
      </c>
      <c r="HA169">
        <v>2</v>
      </c>
      <c r="HB169">
        <v>1</v>
      </c>
      <c r="HC169">
        <v>2</v>
      </c>
      <c r="HD169">
        <v>1</v>
      </c>
      <c r="HG169">
        <v>825</v>
      </c>
      <c r="HT169">
        <v>1</v>
      </c>
      <c r="HY169">
        <v>825</v>
      </c>
      <c r="IM169">
        <v>1</v>
      </c>
    </row>
    <row r="170" spans="1:247" x14ac:dyDescent="0.35">
      <c r="A170">
        <v>61.795000000000002</v>
      </c>
      <c r="H170">
        <v>204.27500000000001</v>
      </c>
      <c r="BM170">
        <v>65.411000000000001</v>
      </c>
      <c r="BV170">
        <v>195.61699999999999</v>
      </c>
      <c r="DM170">
        <v>239.10599999999999</v>
      </c>
      <c r="DT170">
        <v>246.95599999999999</v>
      </c>
      <c r="GB170">
        <v>830</v>
      </c>
      <c r="GI170">
        <v>3</v>
      </c>
      <c r="GK170">
        <v>1</v>
      </c>
      <c r="GL170">
        <v>6</v>
      </c>
      <c r="GN170">
        <v>1</v>
      </c>
      <c r="GO170">
        <v>8</v>
      </c>
      <c r="GP170">
        <v>3</v>
      </c>
      <c r="GR170">
        <v>1</v>
      </c>
      <c r="GW170">
        <v>1</v>
      </c>
      <c r="GX170">
        <v>4</v>
      </c>
      <c r="GY170">
        <v>3</v>
      </c>
      <c r="HA170">
        <v>2</v>
      </c>
      <c r="HC170">
        <v>1</v>
      </c>
      <c r="HD170">
        <v>1</v>
      </c>
      <c r="HG170">
        <v>830</v>
      </c>
      <c r="HY170">
        <v>830</v>
      </c>
      <c r="IM170">
        <v>1</v>
      </c>
    </row>
    <row r="171" spans="1:247" x14ac:dyDescent="0.35">
      <c r="A171">
        <v>77.081000000000003</v>
      </c>
      <c r="H171">
        <v>204.20400000000001</v>
      </c>
      <c r="BM171">
        <v>98.608000000000004</v>
      </c>
      <c r="BV171">
        <v>193.16</v>
      </c>
      <c r="DM171">
        <v>76.864000000000004</v>
      </c>
      <c r="DT171">
        <v>246.541</v>
      </c>
      <c r="GB171">
        <v>835</v>
      </c>
      <c r="GI171">
        <v>3</v>
      </c>
      <c r="GK171">
        <v>1</v>
      </c>
      <c r="GL171">
        <v>1</v>
      </c>
      <c r="GN171">
        <v>1</v>
      </c>
      <c r="GO171">
        <v>9</v>
      </c>
      <c r="GP171">
        <v>3</v>
      </c>
      <c r="GR171">
        <v>1</v>
      </c>
      <c r="GW171">
        <v>1</v>
      </c>
      <c r="GX171">
        <v>4</v>
      </c>
      <c r="GY171">
        <v>3</v>
      </c>
      <c r="HA171">
        <v>2</v>
      </c>
      <c r="HC171">
        <v>1</v>
      </c>
      <c r="HD171">
        <v>1</v>
      </c>
      <c r="HG171">
        <v>835</v>
      </c>
      <c r="HY171">
        <v>835</v>
      </c>
      <c r="IM171">
        <v>1</v>
      </c>
    </row>
    <row r="172" spans="1:247" x14ac:dyDescent="0.35">
      <c r="A172">
        <v>61.658000000000001</v>
      </c>
      <c r="H172">
        <v>204.06100000000001</v>
      </c>
      <c r="BM172">
        <v>48.109000000000002</v>
      </c>
      <c r="BV172">
        <v>193.03700000000001</v>
      </c>
      <c r="DM172">
        <v>104.752</v>
      </c>
      <c r="DT172">
        <v>246.44399999999999</v>
      </c>
      <c r="GB172">
        <v>840</v>
      </c>
      <c r="GI172">
        <v>3</v>
      </c>
      <c r="GK172">
        <v>1</v>
      </c>
      <c r="GL172">
        <v>1</v>
      </c>
      <c r="GN172">
        <v>1</v>
      </c>
      <c r="GO172">
        <v>8</v>
      </c>
      <c r="GP172">
        <v>2</v>
      </c>
      <c r="GR172">
        <v>1</v>
      </c>
      <c r="GW172">
        <v>1</v>
      </c>
      <c r="GX172">
        <v>4</v>
      </c>
      <c r="GY172">
        <v>4</v>
      </c>
      <c r="HA172">
        <v>2</v>
      </c>
      <c r="HD172">
        <v>1</v>
      </c>
      <c r="HG172">
        <v>840</v>
      </c>
      <c r="HY172">
        <v>840</v>
      </c>
      <c r="IM172">
        <v>1</v>
      </c>
    </row>
    <row r="173" spans="1:247" x14ac:dyDescent="0.35">
      <c r="A173">
        <v>110.099</v>
      </c>
      <c r="H173">
        <v>204.02</v>
      </c>
      <c r="BM173">
        <v>35.973999999999997</v>
      </c>
      <c r="BV173">
        <v>192.673</v>
      </c>
      <c r="DM173">
        <v>173.21600000000001</v>
      </c>
      <c r="DT173">
        <v>246.27699999999999</v>
      </c>
      <c r="GB173">
        <v>845</v>
      </c>
      <c r="GI173">
        <v>3</v>
      </c>
      <c r="GK173">
        <v>1</v>
      </c>
      <c r="GL173">
        <v>2</v>
      </c>
      <c r="GN173">
        <v>1</v>
      </c>
      <c r="GO173">
        <v>11</v>
      </c>
      <c r="GP173">
        <v>2</v>
      </c>
      <c r="GR173">
        <v>1</v>
      </c>
      <c r="GW173">
        <v>1</v>
      </c>
      <c r="GX173">
        <v>3</v>
      </c>
      <c r="GY173">
        <v>4</v>
      </c>
      <c r="HA173">
        <v>3</v>
      </c>
      <c r="HD173">
        <v>1</v>
      </c>
      <c r="HG173">
        <v>845</v>
      </c>
      <c r="HY173">
        <v>845</v>
      </c>
      <c r="IM173">
        <v>1</v>
      </c>
    </row>
    <row r="174" spans="1:247" x14ac:dyDescent="0.35">
      <c r="A174">
        <v>292.73200000000003</v>
      </c>
      <c r="H174">
        <v>202.75700000000001</v>
      </c>
      <c r="BM174">
        <v>34.758000000000003</v>
      </c>
      <c r="BV174">
        <v>190.83699999999999</v>
      </c>
      <c r="DM174">
        <v>195.45500000000001</v>
      </c>
      <c r="DT174">
        <v>245.60900000000001</v>
      </c>
      <c r="GB174">
        <v>850</v>
      </c>
      <c r="GI174">
        <v>2</v>
      </c>
      <c r="GN174">
        <v>1</v>
      </c>
      <c r="GO174">
        <v>10</v>
      </c>
      <c r="GP174">
        <v>2</v>
      </c>
      <c r="GR174">
        <v>1</v>
      </c>
      <c r="GW174">
        <v>1</v>
      </c>
      <c r="GX174">
        <v>4</v>
      </c>
      <c r="GY174">
        <v>4</v>
      </c>
      <c r="HA174">
        <v>3</v>
      </c>
      <c r="HD174">
        <v>1</v>
      </c>
      <c r="HG174">
        <v>850</v>
      </c>
      <c r="HY174">
        <v>850</v>
      </c>
      <c r="IM174">
        <v>1</v>
      </c>
    </row>
    <row r="175" spans="1:247" x14ac:dyDescent="0.35">
      <c r="A175">
        <v>219.92699999999999</v>
      </c>
      <c r="H175">
        <v>202.47300000000001</v>
      </c>
      <c r="BM175">
        <v>147.78899999999999</v>
      </c>
      <c r="BV175">
        <v>190.43899999999999</v>
      </c>
      <c r="DM175">
        <v>29.452999999999999</v>
      </c>
      <c r="DT175">
        <v>245.11799999999999</v>
      </c>
      <c r="GB175">
        <v>855</v>
      </c>
      <c r="GI175">
        <v>3</v>
      </c>
      <c r="GO175">
        <v>12</v>
      </c>
      <c r="GP175">
        <v>3</v>
      </c>
      <c r="GR175">
        <v>1</v>
      </c>
      <c r="GW175">
        <v>2</v>
      </c>
      <c r="GX175">
        <v>2</v>
      </c>
      <c r="GY175">
        <v>4</v>
      </c>
      <c r="HA175">
        <v>3</v>
      </c>
      <c r="HD175">
        <v>3</v>
      </c>
      <c r="HG175">
        <v>855</v>
      </c>
      <c r="HY175">
        <v>855</v>
      </c>
      <c r="IM175">
        <v>1</v>
      </c>
    </row>
    <row r="176" spans="1:247" x14ac:dyDescent="0.35">
      <c r="A176">
        <v>262.00299999999999</v>
      </c>
      <c r="H176">
        <v>201.874</v>
      </c>
      <c r="BM176">
        <v>35.289000000000001</v>
      </c>
      <c r="BV176">
        <v>190.31299999999999</v>
      </c>
      <c r="DM176">
        <v>99.343999999999994</v>
      </c>
      <c r="DT176">
        <v>244.828</v>
      </c>
      <c r="GB176">
        <v>860</v>
      </c>
      <c r="GI176">
        <v>3</v>
      </c>
      <c r="GO176">
        <v>7</v>
      </c>
      <c r="GP176">
        <v>3</v>
      </c>
      <c r="GX176">
        <v>2</v>
      </c>
      <c r="GY176">
        <v>4</v>
      </c>
      <c r="HA176">
        <v>1</v>
      </c>
      <c r="HD176">
        <v>1</v>
      </c>
      <c r="HG176">
        <v>860</v>
      </c>
      <c r="HY176">
        <v>860</v>
      </c>
      <c r="IM176">
        <v>1</v>
      </c>
    </row>
    <row r="177" spans="1:247" x14ac:dyDescent="0.35">
      <c r="A177">
        <v>105.49299999999999</v>
      </c>
      <c r="H177" s="8">
        <v>200.773</v>
      </c>
      <c r="BM177">
        <v>98.617000000000004</v>
      </c>
      <c r="BV177">
        <v>190.15</v>
      </c>
      <c r="DM177">
        <v>123.444</v>
      </c>
      <c r="DT177">
        <v>244.34100000000001</v>
      </c>
      <c r="GB177">
        <v>865</v>
      </c>
      <c r="GI177">
        <v>3</v>
      </c>
      <c r="GO177">
        <v>11</v>
      </c>
      <c r="GP177">
        <v>2</v>
      </c>
      <c r="GX177">
        <v>2</v>
      </c>
      <c r="GY177">
        <v>4</v>
      </c>
      <c r="HA177">
        <v>1</v>
      </c>
      <c r="HG177">
        <v>865</v>
      </c>
      <c r="HY177">
        <v>865</v>
      </c>
      <c r="IM177">
        <v>1</v>
      </c>
    </row>
    <row r="178" spans="1:247" x14ac:dyDescent="0.35">
      <c r="A178">
        <v>67.757999999999996</v>
      </c>
      <c r="H178">
        <v>200.05600000000001</v>
      </c>
      <c r="BM178">
        <v>172.03700000000001</v>
      </c>
      <c r="BV178">
        <v>190.095</v>
      </c>
      <c r="DM178">
        <v>73.058999999999997</v>
      </c>
      <c r="DT178">
        <v>243.58600000000001</v>
      </c>
      <c r="GB178">
        <v>870</v>
      </c>
      <c r="GI178">
        <v>3</v>
      </c>
      <c r="GO178">
        <v>2</v>
      </c>
      <c r="GP178">
        <v>2</v>
      </c>
      <c r="GX178">
        <v>2</v>
      </c>
      <c r="GY178">
        <v>4</v>
      </c>
      <c r="HA178">
        <v>1</v>
      </c>
      <c r="HG178">
        <v>870</v>
      </c>
      <c r="HY178">
        <v>870</v>
      </c>
      <c r="IM178">
        <v>1</v>
      </c>
    </row>
    <row r="179" spans="1:247" x14ac:dyDescent="0.35">
      <c r="A179">
        <v>78.909000000000006</v>
      </c>
      <c r="H179">
        <v>199.41900000000001</v>
      </c>
      <c r="BM179">
        <v>109.44799999999999</v>
      </c>
      <c r="BV179">
        <v>188.37</v>
      </c>
      <c r="DM179">
        <v>93.653999999999996</v>
      </c>
      <c r="DT179">
        <v>242.74799999999999</v>
      </c>
      <c r="GB179">
        <v>875</v>
      </c>
      <c r="GI179">
        <v>3</v>
      </c>
      <c r="GO179">
        <v>2</v>
      </c>
      <c r="GP179">
        <v>2</v>
      </c>
      <c r="GX179">
        <v>2</v>
      </c>
      <c r="GY179">
        <v>3</v>
      </c>
      <c r="HA179">
        <v>2</v>
      </c>
      <c r="HG179">
        <v>875</v>
      </c>
      <c r="HY179">
        <v>875</v>
      </c>
      <c r="IM179">
        <v>1</v>
      </c>
    </row>
    <row r="180" spans="1:247" x14ac:dyDescent="0.35">
      <c r="A180">
        <v>237.376</v>
      </c>
      <c r="H180">
        <v>198.49799999999999</v>
      </c>
      <c r="BM180">
        <v>143.28399999999999</v>
      </c>
      <c r="BV180">
        <v>186.773</v>
      </c>
      <c r="DM180">
        <v>41.442999999999998</v>
      </c>
      <c r="DT180">
        <v>241.37899999999999</v>
      </c>
      <c r="GB180">
        <v>880</v>
      </c>
      <c r="GI180">
        <v>2</v>
      </c>
      <c r="GO180">
        <v>2</v>
      </c>
      <c r="GP180">
        <v>1</v>
      </c>
      <c r="GX180">
        <v>3</v>
      </c>
      <c r="GY180">
        <v>2</v>
      </c>
      <c r="HA180">
        <v>2</v>
      </c>
      <c r="HG180">
        <v>880</v>
      </c>
      <c r="HY180">
        <v>880</v>
      </c>
      <c r="IM180">
        <v>1</v>
      </c>
    </row>
    <row r="181" spans="1:247" x14ac:dyDescent="0.35">
      <c r="A181">
        <v>175.01400000000001</v>
      </c>
      <c r="H181">
        <v>197.423</v>
      </c>
      <c r="BM181">
        <v>49.81</v>
      </c>
      <c r="BV181">
        <v>186.173</v>
      </c>
      <c r="DM181">
        <v>205.517</v>
      </c>
      <c r="DT181">
        <v>241.34299999999999</v>
      </c>
      <c r="GB181">
        <v>885</v>
      </c>
      <c r="GI181">
        <v>2</v>
      </c>
      <c r="GO181">
        <v>2</v>
      </c>
      <c r="GP181">
        <v>1</v>
      </c>
      <c r="GX181">
        <v>1</v>
      </c>
      <c r="GY181">
        <v>2</v>
      </c>
      <c r="HA181">
        <v>2</v>
      </c>
      <c r="HG181">
        <v>885</v>
      </c>
      <c r="HY181">
        <v>885</v>
      </c>
      <c r="IM181">
        <v>1</v>
      </c>
    </row>
    <row r="182" spans="1:247" x14ac:dyDescent="0.35">
      <c r="A182">
        <v>210.56399999999999</v>
      </c>
      <c r="H182" s="8">
        <v>195.65700000000001</v>
      </c>
      <c r="BM182">
        <v>23.59</v>
      </c>
      <c r="BV182">
        <v>185.97900000000001</v>
      </c>
      <c r="DM182">
        <v>255.69900000000001</v>
      </c>
      <c r="DT182">
        <v>240.869</v>
      </c>
      <c r="GB182">
        <v>890</v>
      </c>
      <c r="GI182">
        <v>1</v>
      </c>
      <c r="GO182">
        <v>2</v>
      </c>
      <c r="GP182">
        <v>1</v>
      </c>
      <c r="GX182">
        <v>1</v>
      </c>
      <c r="GY182">
        <v>2</v>
      </c>
      <c r="HA182">
        <v>2</v>
      </c>
      <c r="HG182">
        <v>890</v>
      </c>
      <c r="HY182">
        <v>890</v>
      </c>
      <c r="IM182">
        <v>1</v>
      </c>
    </row>
    <row r="183" spans="1:247" x14ac:dyDescent="0.35">
      <c r="A183">
        <v>40.417000000000002</v>
      </c>
      <c r="H183">
        <v>195.417</v>
      </c>
      <c r="BM183">
        <v>41.460999999999999</v>
      </c>
      <c r="BV183">
        <v>185.607</v>
      </c>
      <c r="DM183">
        <v>269.935</v>
      </c>
      <c r="DT183">
        <v>240.19399999999999</v>
      </c>
      <c r="GB183">
        <v>895</v>
      </c>
      <c r="GI183">
        <v>2</v>
      </c>
      <c r="GO183">
        <v>2</v>
      </c>
      <c r="GP183">
        <v>2</v>
      </c>
      <c r="GX183">
        <v>1</v>
      </c>
      <c r="GY183">
        <v>2</v>
      </c>
      <c r="HA183">
        <v>2</v>
      </c>
      <c r="HG183">
        <v>895</v>
      </c>
      <c r="HY183">
        <v>895</v>
      </c>
      <c r="IM183">
        <v>1</v>
      </c>
    </row>
    <row r="184" spans="1:247" x14ac:dyDescent="0.35">
      <c r="A184">
        <v>178.935</v>
      </c>
      <c r="H184">
        <v>194.803</v>
      </c>
      <c r="BM184">
        <v>93.769000000000005</v>
      </c>
      <c r="BV184">
        <v>185.327</v>
      </c>
      <c r="DM184">
        <v>326.94499999999999</v>
      </c>
      <c r="DT184">
        <v>239.99700000000001</v>
      </c>
      <c r="GB184">
        <v>900</v>
      </c>
      <c r="GI184">
        <v>2</v>
      </c>
      <c r="GO184">
        <v>3</v>
      </c>
      <c r="GP184">
        <v>1</v>
      </c>
      <c r="GX184">
        <v>1</v>
      </c>
      <c r="GY184">
        <v>2</v>
      </c>
      <c r="HA184">
        <v>2</v>
      </c>
      <c r="HG184">
        <v>900</v>
      </c>
      <c r="HY184">
        <v>900</v>
      </c>
      <c r="IM184">
        <v>1</v>
      </c>
    </row>
    <row r="185" spans="1:247" x14ac:dyDescent="0.35">
      <c r="A185">
        <v>341.21199999999999</v>
      </c>
      <c r="H185">
        <v>194.74799999999999</v>
      </c>
      <c r="BM185">
        <v>164.32300000000001</v>
      </c>
      <c r="BV185">
        <v>185.155</v>
      </c>
      <c r="DM185">
        <v>371.84899999999999</v>
      </c>
      <c r="DT185">
        <v>239.10599999999999</v>
      </c>
      <c r="GB185">
        <v>905</v>
      </c>
      <c r="GI185">
        <v>2</v>
      </c>
      <c r="GO185">
        <v>2</v>
      </c>
      <c r="GX185">
        <v>1</v>
      </c>
      <c r="GY185">
        <v>2</v>
      </c>
      <c r="HA185">
        <v>1</v>
      </c>
      <c r="HG185">
        <v>905</v>
      </c>
      <c r="HY185">
        <v>905</v>
      </c>
      <c r="IM185">
        <v>1</v>
      </c>
    </row>
    <row r="186" spans="1:247" x14ac:dyDescent="0.35">
      <c r="A186">
        <v>280.20999999999998</v>
      </c>
      <c r="H186">
        <v>194.69300000000001</v>
      </c>
      <c r="BM186">
        <v>102.363</v>
      </c>
      <c r="BV186">
        <v>184.87799999999999</v>
      </c>
      <c r="DM186">
        <v>52.594999999999999</v>
      </c>
      <c r="DT186">
        <v>237.84899999999999</v>
      </c>
      <c r="GB186">
        <v>910</v>
      </c>
      <c r="GI186">
        <v>2</v>
      </c>
      <c r="GO186">
        <v>2</v>
      </c>
      <c r="GX186">
        <v>1</v>
      </c>
      <c r="GY186">
        <v>2</v>
      </c>
      <c r="HA186">
        <v>1</v>
      </c>
      <c r="HG186">
        <v>910</v>
      </c>
      <c r="HY186">
        <v>910</v>
      </c>
      <c r="IM186">
        <v>1</v>
      </c>
    </row>
    <row r="187" spans="1:247" x14ac:dyDescent="0.35">
      <c r="A187">
        <v>315.55700000000002</v>
      </c>
      <c r="H187">
        <v>194.42699999999999</v>
      </c>
      <c r="BM187">
        <v>72.777000000000001</v>
      </c>
      <c r="BV187">
        <v>183.089</v>
      </c>
      <c r="DM187">
        <v>69.685000000000002</v>
      </c>
      <c r="DT187">
        <v>237.768</v>
      </c>
      <c r="GB187">
        <v>915</v>
      </c>
      <c r="GI187">
        <v>2</v>
      </c>
      <c r="GO187">
        <v>2</v>
      </c>
      <c r="GX187">
        <v>1</v>
      </c>
      <c r="GY187">
        <v>2</v>
      </c>
      <c r="HA187">
        <v>1</v>
      </c>
      <c r="HG187">
        <v>915</v>
      </c>
      <c r="HY187">
        <v>915</v>
      </c>
      <c r="IM187">
        <v>1</v>
      </c>
    </row>
    <row r="188" spans="1:247" x14ac:dyDescent="0.35">
      <c r="A188">
        <v>144.59399999999999</v>
      </c>
      <c r="H188">
        <v>193.79400000000001</v>
      </c>
      <c r="BM188">
        <v>13.342000000000001</v>
      </c>
      <c r="BV188">
        <v>181.68799999999999</v>
      </c>
      <c r="DM188">
        <v>120.122</v>
      </c>
      <c r="DT188">
        <v>235.04</v>
      </c>
      <c r="GB188">
        <v>920</v>
      </c>
      <c r="GI188">
        <v>2</v>
      </c>
      <c r="GO188">
        <v>2</v>
      </c>
      <c r="GX188">
        <v>1</v>
      </c>
      <c r="GY188">
        <v>1</v>
      </c>
      <c r="HA188">
        <v>1</v>
      </c>
      <c r="HG188">
        <v>920</v>
      </c>
      <c r="HY188">
        <v>920</v>
      </c>
      <c r="IM188">
        <v>1</v>
      </c>
    </row>
    <row r="189" spans="1:247" x14ac:dyDescent="0.35">
      <c r="A189">
        <v>301.041</v>
      </c>
      <c r="H189">
        <v>193.392</v>
      </c>
      <c r="BM189">
        <v>63.042999999999999</v>
      </c>
      <c r="BV189">
        <v>181.54900000000001</v>
      </c>
      <c r="DM189">
        <v>166.51599999999999</v>
      </c>
      <c r="DT189">
        <v>233.995</v>
      </c>
      <c r="GB189">
        <v>925</v>
      </c>
      <c r="GI189">
        <v>2</v>
      </c>
      <c r="GO189">
        <v>3</v>
      </c>
      <c r="GX189">
        <v>1</v>
      </c>
      <c r="GY189">
        <v>1</v>
      </c>
      <c r="HA189">
        <v>1</v>
      </c>
      <c r="HG189">
        <v>925</v>
      </c>
      <c r="HY189">
        <v>925</v>
      </c>
      <c r="IM189">
        <v>1</v>
      </c>
    </row>
    <row r="190" spans="1:247" x14ac:dyDescent="0.35">
      <c r="A190">
        <v>243.17599999999999</v>
      </c>
      <c r="H190">
        <v>192.47900000000001</v>
      </c>
      <c r="BM190">
        <v>81.587999999999994</v>
      </c>
      <c r="BV190">
        <v>181.517</v>
      </c>
      <c r="DM190">
        <v>28.446999999999999</v>
      </c>
      <c r="DT190">
        <v>233.74600000000001</v>
      </c>
      <c r="GB190">
        <v>930</v>
      </c>
      <c r="GI190">
        <v>2</v>
      </c>
      <c r="GO190">
        <v>3</v>
      </c>
      <c r="GX190">
        <v>1</v>
      </c>
      <c r="GY190">
        <v>1</v>
      </c>
      <c r="HA190">
        <v>1</v>
      </c>
      <c r="HG190">
        <v>930</v>
      </c>
      <c r="HY190">
        <v>930</v>
      </c>
      <c r="IM190">
        <v>1</v>
      </c>
    </row>
    <row r="191" spans="1:247" x14ac:dyDescent="0.35">
      <c r="A191">
        <v>277.613</v>
      </c>
      <c r="H191">
        <v>191.72200000000001</v>
      </c>
      <c r="BM191">
        <v>178.40199999999999</v>
      </c>
      <c r="BV191">
        <v>180.71</v>
      </c>
      <c r="DM191">
        <v>68.846999999999994</v>
      </c>
      <c r="DT191">
        <v>233.73099999999999</v>
      </c>
      <c r="GB191">
        <v>935</v>
      </c>
      <c r="GI191">
        <v>2</v>
      </c>
      <c r="GO191">
        <v>4</v>
      </c>
      <c r="GX191">
        <v>1</v>
      </c>
      <c r="GY191">
        <v>1</v>
      </c>
      <c r="HA191">
        <v>1</v>
      </c>
      <c r="HG191">
        <v>935</v>
      </c>
      <c r="HY191">
        <v>935</v>
      </c>
      <c r="IM191">
        <v>1</v>
      </c>
    </row>
    <row r="192" spans="1:247" x14ac:dyDescent="0.35">
      <c r="A192">
        <v>191.72200000000001</v>
      </c>
      <c r="H192">
        <v>190.923</v>
      </c>
      <c r="BM192">
        <v>76.566999999999993</v>
      </c>
      <c r="BV192">
        <v>180.578</v>
      </c>
      <c r="DM192">
        <v>114.361</v>
      </c>
      <c r="DT192">
        <v>233.59299999999999</v>
      </c>
      <c r="GB192">
        <v>940</v>
      </c>
      <c r="GI192">
        <v>2</v>
      </c>
      <c r="GO192">
        <v>4</v>
      </c>
      <c r="GX192">
        <v>1</v>
      </c>
      <c r="GY192">
        <v>1</v>
      </c>
      <c r="HA192">
        <v>1</v>
      </c>
      <c r="HG192">
        <v>940</v>
      </c>
      <c r="HY192">
        <v>940</v>
      </c>
      <c r="IM192">
        <v>1</v>
      </c>
    </row>
    <row r="193" spans="1:247" x14ac:dyDescent="0.35">
      <c r="A193">
        <v>113.783</v>
      </c>
      <c r="H193">
        <v>190.78299999999999</v>
      </c>
      <c r="BM193">
        <v>118.872</v>
      </c>
      <c r="BV193">
        <v>179.48400000000001</v>
      </c>
      <c r="DM193">
        <v>58.030999999999999</v>
      </c>
      <c r="DT193">
        <v>233.52</v>
      </c>
      <c r="GB193">
        <v>945</v>
      </c>
      <c r="GI193">
        <v>3</v>
      </c>
      <c r="GO193">
        <v>5</v>
      </c>
      <c r="GX193">
        <v>1</v>
      </c>
      <c r="GY193">
        <v>1</v>
      </c>
      <c r="HA193">
        <v>1</v>
      </c>
      <c r="HG193">
        <v>945</v>
      </c>
      <c r="HY193">
        <v>945</v>
      </c>
      <c r="IM193">
        <v>1</v>
      </c>
    </row>
    <row r="194" spans="1:247" x14ac:dyDescent="0.35">
      <c r="A194">
        <v>158.57</v>
      </c>
      <c r="H194">
        <v>190.66</v>
      </c>
      <c r="BM194">
        <v>117.86799999999999</v>
      </c>
      <c r="BV194">
        <v>178.99700000000001</v>
      </c>
      <c r="DM194">
        <v>107.36</v>
      </c>
      <c r="DT194">
        <v>231.40600000000001</v>
      </c>
      <c r="GB194">
        <v>950</v>
      </c>
      <c r="GI194">
        <v>3</v>
      </c>
      <c r="GO194">
        <v>3</v>
      </c>
      <c r="GX194">
        <v>1</v>
      </c>
      <c r="GY194">
        <v>1</v>
      </c>
      <c r="HA194">
        <v>1</v>
      </c>
      <c r="HG194">
        <v>950</v>
      </c>
      <c r="HY194">
        <v>950</v>
      </c>
      <c r="IM194">
        <v>1</v>
      </c>
    </row>
    <row r="195" spans="1:247" x14ac:dyDescent="0.35">
      <c r="A195">
        <v>88.295000000000002</v>
      </c>
      <c r="H195">
        <v>190.62700000000001</v>
      </c>
      <c r="BM195">
        <v>35.201999999999998</v>
      </c>
      <c r="BV195">
        <v>178.40199999999999</v>
      </c>
      <c r="DM195">
        <v>49.243000000000002</v>
      </c>
      <c r="DT195">
        <v>230.83500000000001</v>
      </c>
      <c r="GB195">
        <v>955</v>
      </c>
      <c r="GI195">
        <v>3</v>
      </c>
      <c r="GO195">
        <v>5</v>
      </c>
      <c r="GX195">
        <v>1</v>
      </c>
      <c r="GY195">
        <v>1</v>
      </c>
      <c r="HA195">
        <v>1</v>
      </c>
      <c r="HG195">
        <v>955</v>
      </c>
      <c r="HY195">
        <v>955</v>
      </c>
      <c r="IM195">
        <v>1</v>
      </c>
    </row>
    <row r="196" spans="1:247" x14ac:dyDescent="0.35">
      <c r="A196">
        <v>34.948</v>
      </c>
      <c r="H196">
        <v>188.42699999999999</v>
      </c>
      <c r="BM196">
        <v>49.265999999999998</v>
      </c>
      <c r="BV196">
        <v>178.08</v>
      </c>
      <c r="DM196">
        <v>72.180000000000007</v>
      </c>
      <c r="DT196">
        <v>230.68199999999999</v>
      </c>
      <c r="GB196">
        <v>960</v>
      </c>
      <c r="GI196">
        <v>3</v>
      </c>
      <c r="GO196">
        <v>3</v>
      </c>
      <c r="GX196">
        <v>1</v>
      </c>
      <c r="GY196">
        <v>1</v>
      </c>
      <c r="HA196">
        <v>1</v>
      </c>
      <c r="HG196">
        <v>960</v>
      </c>
      <c r="HY196">
        <v>960</v>
      </c>
      <c r="IM196">
        <v>1</v>
      </c>
    </row>
    <row r="197" spans="1:247" x14ac:dyDescent="0.35">
      <c r="A197">
        <v>53.581000000000003</v>
      </c>
      <c r="H197" s="8">
        <v>188.17400000000001</v>
      </c>
      <c r="BM197">
        <v>116.85599999999999</v>
      </c>
      <c r="BV197">
        <v>178.03200000000001</v>
      </c>
      <c r="DM197">
        <v>222.864</v>
      </c>
      <c r="DT197">
        <v>230.381</v>
      </c>
      <c r="GB197">
        <v>965</v>
      </c>
      <c r="GI197">
        <v>2</v>
      </c>
      <c r="GO197">
        <v>3</v>
      </c>
      <c r="GX197">
        <v>2</v>
      </c>
      <c r="GY197">
        <v>1</v>
      </c>
      <c r="HA197">
        <v>1</v>
      </c>
      <c r="HG197">
        <v>965</v>
      </c>
      <c r="HY197">
        <v>965</v>
      </c>
      <c r="IM197">
        <v>1</v>
      </c>
    </row>
    <row r="198" spans="1:247" x14ac:dyDescent="0.35">
      <c r="A198">
        <v>43.359000000000002</v>
      </c>
      <c r="H198" s="8">
        <v>188.107</v>
      </c>
      <c r="BM198">
        <v>69.620999999999995</v>
      </c>
      <c r="BV198">
        <v>177.55099999999999</v>
      </c>
      <c r="DM198">
        <v>252.08500000000001</v>
      </c>
      <c r="DT198">
        <v>229.77</v>
      </c>
      <c r="GB198">
        <v>970</v>
      </c>
      <c r="GI198">
        <v>2</v>
      </c>
      <c r="GO198">
        <v>3</v>
      </c>
      <c r="GX198">
        <v>3</v>
      </c>
      <c r="GY198">
        <v>1</v>
      </c>
      <c r="HA198">
        <v>1</v>
      </c>
      <c r="HG198">
        <v>970</v>
      </c>
      <c r="HY198">
        <v>970</v>
      </c>
      <c r="IM198">
        <v>1</v>
      </c>
    </row>
    <row r="199" spans="1:247" x14ac:dyDescent="0.35">
      <c r="A199">
        <v>80.662999999999997</v>
      </c>
      <c r="H199" s="8">
        <v>187.988</v>
      </c>
      <c r="BM199">
        <v>45.445999999999998</v>
      </c>
      <c r="BV199">
        <v>176.59899999999999</v>
      </c>
      <c r="DM199">
        <v>295.76900000000001</v>
      </c>
      <c r="DT199">
        <v>229.60599999999999</v>
      </c>
      <c r="GB199">
        <v>975</v>
      </c>
      <c r="GI199">
        <v>3</v>
      </c>
      <c r="GO199">
        <v>3</v>
      </c>
      <c r="GX199">
        <v>1</v>
      </c>
      <c r="GY199">
        <v>1</v>
      </c>
      <c r="HA199">
        <v>1</v>
      </c>
      <c r="HG199">
        <v>975</v>
      </c>
      <c r="HY199">
        <v>975</v>
      </c>
      <c r="IM199">
        <v>1</v>
      </c>
    </row>
    <row r="200" spans="1:247" x14ac:dyDescent="0.35">
      <c r="A200">
        <v>53.164000000000001</v>
      </c>
      <c r="H200">
        <v>187.59399999999999</v>
      </c>
      <c r="BM200">
        <v>31.731000000000002</v>
      </c>
      <c r="BV200">
        <v>175.96</v>
      </c>
      <c r="DM200">
        <v>314.52199999999999</v>
      </c>
      <c r="DT200">
        <v>229.42099999999999</v>
      </c>
      <c r="GB200">
        <v>980</v>
      </c>
      <c r="GI200">
        <v>4</v>
      </c>
      <c r="GO200">
        <v>2</v>
      </c>
      <c r="GX200">
        <v>2</v>
      </c>
      <c r="GY200">
        <v>1</v>
      </c>
      <c r="HA200">
        <v>1</v>
      </c>
      <c r="HG200">
        <v>980</v>
      </c>
      <c r="HY200">
        <v>980</v>
      </c>
      <c r="IM200">
        <v>1</v>
      </c>
    </row>
    <row r="201" spans="1:247" x14ac:dyDescent="0.35">
      <c r="A201">
        <v>75.123999999999995</v>
      </c>
      <c r="H201">
        <v>187.352</v>
      </c>
      <c r="BM201">
        <v>47.194000000000003</v>
      </c>
      <c r="BV201">
        <v>175.892</v>
      </c>
      <c r="DM201">
        <v>150.26499999999999</v>
      </c>
      <c r="DT201">
        <v>229.04</v>
      </c>
      <c r="GB201">
        <v>985</v>
      </c>
      <c r="GI201">
        <v>4</v>
      </c>
      <c r="GO201">
        <v>4</v>
      </c>
      <c r="GX201">
        <v>2</v>
      </c>
      <c r="GY201">
        <v>1</v>
      </c>
      <c r="HA201">
        <v>1</v>
      </c>
      <c r="HG201">
        <v>985</v>
      </c>
      <c r="HY201">
        <v>985</v>
      </c>
      <c r="IM201">
        <v>1</v>
      </c>
    </row>
    <row r="202" spans="1:247" x14ac:dyDescent="0.35">
      <c r="A202">
        <v>126.155</v>
      </c>
      <c r="H202">
        <v>186.61799999999999</v>
      </c>
      <c r="BM202">
        <v>74.125</v>
      </c>
      <c r="BV202">
        <v>174.86600000000001</v>
      </c>
      <c r="DM202">
        <v>181.30199999999999</v>
      </c>
      <c r="DT202">
        <v>229</v>
      </c>
      <c r="GB202">
        <v>990</v>
      </c>
      <c r="GI202">
        <v>4</v>
      </c>
      <c r="GX202">
        <v>1</v>
      </c>
      <c r="GY202">
        <v>1</v>
      </c>
      <c r="HA202">
        <v>1</v>
      </c>
      <c r="HG202">
        <v>990</v>
      </c>
      <c r="HY202">
        <v>990</v>
      </c>
      <c r="IM202">
        <v>1</v>
      </c>
    </row>
    <row r="203" spans="1:247" x14ac:dyDescent="0.35">
      <c r="A203">
        <v>179.715</v>
      </c>
      <c r="H203">
        <v>186.57599999999999</v>
      </c>
      <c r="BM203">
        <v>178.08</v>
      </c>
      <c r="BV203">
        <v>174.547</v>
      </c>
      <c r="DM203">
        <v>225.518</v>
      </c>
      <c r="DT203">
        <v>228.38399999999999</v>
      </c>
      <c r="GB203">
        <v>995</v>
      </c>
      <c r="GI203">
        <v>4</v>
      </c>
      <c r="GX203">
        <v>1</v>
      </c>
      <c r="GY203">
        <v>1</v>
      </c>
      <c r="HA203">
        <v>1</v>
      </c>
      <c r="HG203">
        <v>995</v>
      </c>
      <c r="HY203">
        <v>995</v>
      </c>
      <c r="IM203">
        <v>1</v>
      </c>
    </row>
    <row r="204" spans="1:247" x14ac:dyDescent="0.35">
      <c r="A204">
        <v>110.49</v>
      </c>
      <c r="H204">
        <v>186.40600000000001</v>
      </c>
      <c r="BM204">
        <v>105.16800000000001</v>
      </c>
      <c r="BV204">
        <v>174.35900000000001</v>
      </c>
      <c r="DM204">
        <v>244.828</v>
      </c>
      <c r="DT204">
        <v>228.38399999999999</v>
      </c>
      <c r="GB204">
        <v>1000</v>
      </c>
      <c r="GI204">
        <v>3</v>
      </c>
      <c r="GX204">
        <v>1</v>
      </c>
      <c r="GY204">
        <v>1</v>
      </c>
      <c r="HA204">
        <v>1</v>
      </c>
      <c r="HG204">
        <v>1000</v>
      </c>
      <c r="HY204">
        <v>1000</v>
      </c>
    </row>
    <row r="205" spans="1:247" x14ac:dyDescent="0.35">
      <c r="A205">
        <v>69.686000000000007</v>
      </c>
      <c r="H205">
        <v>185.26599999999999</v>
      </c>
      <c r="BM205">
        <v>117.93600000000001</v>
      </c>
      <c r="BV205">
        <v>174.11600000000001</v>
      </c>
      <c r="DM205">
        <v>35.225999999999999</v>
      </c>
      <c r="DT205">
        <v>228.31100000000001</v>
      </c>
      <c r="GB205">
        <v>1005</v>
      </c>
      <c r="GI205">
        <v>3</v>
      </c>
      <c r="GX205">
        <v>1</v>
      </c>
      <c r="GY205">
        <v>1</v>
      </c>
      <c r="HA205">
        <v>1</v>
      </c>
      <c r="HG205">
        <v>1005</v>
      </c>
      <c r="HY205">
        <v>1005</v>
      </c>
    </row>
    <row r="206" spans="1:247" x14ac:dyDescent="0.35">
      <c r="A206">
        <v>47.39</v>
      </c>
      <c r="H206">
        <v>185.05</v>
      </c>
      <c r="BM206">
        <v>174.547</v>
      </c>
      <c r="BV206">
        <v>173.511</v>
      </c>
      <c r="DM206">
        <v>82.289000000000001</v>
      </c>
      <c r="DT206">
        <v>228.09899999999999</v>
      </c>
      <c r="GB206">
        <v>1010</v>
      </c>
      <c r="GI206">
        <v>3</v>
      </c>
      <c r="GX206">
        <v>1</v>
      </c>
      <c r="GY206">
        <v>1</v>
      </c>
      <c r="HG206">
        <v>1010</v>
      </c>
      <c r="HY206">
        <v>1010</v>
      </c>
    </row>
    <row r="207" spans="1:247" x14ac:dyDescent="0.35">
      <c r="A207">
        <v>98.451999999999998</v>
      </c>
      <c r="H207">
        <v>184.965</v>
      </c>
      <c r="BM207">
        <v>96.781999999999996</v>
      </c>
      <c r="BV207">
        <v>173.31899999999999</v>
      </c>
      <c r="DM207">
        <v>96.373000000000005</v>
      </c>
      <c r="DT207">
        <v>227.893</v>
      </c>
      <c r="GB207">
        <v>1015</v>
      </c>
      <c r="GI207">
        <v>3</v>
      </c>
      <c r="GX207">
        <v>1</v>
      </c>
      <c r="GY207">
        <v>2</v>
      </c>
      <c r="HG207">
        <v>1015</v>
      </c>
      <c r="HY207">
        <v>1015</v>
      </c>
    </row>
    <row r="208" spans="1:247" x14ac:dyDescent="0.35">
      <c r="A208">
        <v>147.13999999999999</v>
      </c>
      <c r="H208">
        <v>184.755</v>
      </c>
      <c r="BM208">
        <v>35.82</v>
      </c>
      <c r="BV208">
        <v>172.79599999999999</v>
      </c>
      <c r="DM208">
        <v>49.97</v>
      </c>
      <c r="DT208">
        <v>227.70400000000001</v>
      </c>
      <c r="GB208">
        <v>1020</v>
      </c>
      <c r="GI208">
        <v>3</v>
      </c>
      <c r="GX208">
        <v>1</v>
      </c>
      <c r="GY208">
        <v>2</v>
      </c>
      <c r="HG208">
        <v>1020</v>
      </c>
      <c r="HY208">
        <v>1020</v>
      </c>
    </row>
    <row r="209" spans="1:233" x14ac:dyDescent="0.35">
      <c r="A209">
        <v>51.33</v>
      </c>
      <c r="H209">
        <v>184.41</v>
      </c>
      <c r="BM209">
        <v>43.167000000000002</v>
      </c>
      <c r="BV209">
        <v>172.649</v>
      </c>
      <c r="DM209">
        <v>63.643999999999998</v>
      </c>
      <c r="DT209">
        <v>227.69900000000001</v>
      </c>
      <c r="GB209">
        <v>1025</v>
      </c>
      <c r="GI209">
        <v>2</v>
      </c>
      <c r="GX209">
        <v>1</v>
      </c>
      <c r="GY209">
        <v>2</v>
      </c>
      <c r="HG209">
        <v>1025</v>
      </c>
      <c r="HY209">
        <v>1025</v>
      </c>
    </row>
    <row r="210" spans="1:233" x14ac:dyDescent="0.35">
      <c r="A210">
        <v>153.624</v>
      </c>
      <c r="H210">
        <v>184.262</v>
      </c>
      <c r="BM210">
        <v>181.68799999999999</v>
      </c>
      <c r="BV210">
        <v>172.483</v>
      </c>
      <c r="DM210">
        <v>38.609000000000002</v>
      </c>
      <c r="DT210">
        <v>227.16300000000001</v>
      </c>
      <c r="GB210">
        <v>1030</v>
      </c>
      <c r="GI210">
        <v>2</v>
      </c>
      <c r="GX210">
        <v>1</v>
      </c>
      <c r="GY210">
        <v>2</v>
      </c>
      <c r="HG210">
        <v>1030</v>
      </c>
      <c r="HY210">
        <v>1030</v>
      </c>
    </row>
    <row r="211" spans="1:233" x14ac:dyDescent="0.35">
      <c r="A211">
        <v>204.20400000000001</v>
      </c>
      <c r="H211">
        <v>182.76300000000001</v>
      </c>
      <c r="BM211">
        <v>72.962999999999994</v>
      </c>
      <c r="BV211">
        <v>172.053</v>
      </c>
      <c r="DM211">
        <v>55.456000000000003</v>
      </c>
      <c r="DT211">
        <v>226.78700000000001</v>
      </c>
      <c r="GB211">
        <v>1035</v>
      </c>
      <c r="GI211">
        <v>2</v>
      </c>
      <c r="GY211">
        <v>2</v>
      </c>
      <c r="HG211">
        <v>1035</v>
      </c>
      <c r="HY211">
        <v>1035</v>
      </c>
    </row>
    <row r="212" spans="1:233" x14ac:dyDescent="0.35">
      <c r="A212">
        <v>257.04399999999998</v>
      </c>
      <c r="H212">
        <v>182.28800000000001</v>
      </c>
      <c r="BM212">
        <v>154.26300000000001</v>
      </c>
      <c r="BV212">
        <v>172.03700000000001</v>
      </c>
      <c r="DM212">
        <v>99.930999999999997</v>
      </c>
      <c r="DT212">
        <v>226.78200000000001</v>
      </c>
      <c r="GB212">
        <v>1040</v>
      </c>
      <c r="GI212">
        <v>1</v>
      </c>
      <c r="GY212">
        <v>1</v>
      </c>
      <c r="HG212">
        <v>1040</v>
      </c>
      <c r="HY212">
        <v>1040</v>
      </c>
    </row>
    <row r="213" spans="1:233" x14ac:dyDescent="0.35">
      <c r="A213">
        <v>115.958</v>
      </c>
      <c r="H213">
        <v>182.12100000000001</v>
      </c>
      <c r="BM213">
        <v>252.042</v>
      </c>
      <c r="BV213">
        <v>171.69399999999999</v>
      </c>
      <c r="DM213">
        <v>137.31</v>
      </c>
      <c r="DT213">
        <v>226.02</v>
      </c>
      <c r="GB213">
        <v>1045</v>
      </c>
      <c r="GY213">
        <v>1</v>
      </c>
      <c r="HG213">
        <v>1045</v>
      </c>
      <c r="HY213">
        <v>1045</v>
      </c>
    </row>
    <row r="214" spans="1:233" x14ac:dyDescent="0.35">
      <c r="A214">
        <v>166.91200000000001</v>
      </c>
      <c r="H214">
        <v>181.988</v>
      </c>
      <c r="BM214">
        <v>164.88300000000001</v>
      </c>
      <c r="BV214">
        <v>171.13300000000001</v>
      </c>
      <c r="DM214">
        <v>50.648000000000003</v>
      </c>
      <c r="DT214">
        <v>225.643</v>
      </c>
      <c r="GB214">
        <v>1050</v>
      </c>
      <c r="HG214">
        <v>1050</v>
      </c>
      <c r="HY214">
        <v>1050</v>
      </c>
    </row>
    <row r="215" spans="1:233" x14ac:dyDescent="0.35">
      <c r="A215">
        <v>216.70699999999999</v>
      </c>
      <c r="H215">
        <v>181.626</v>
      </c>
      <c r="BM215">
        <v>129.96700000000001</v>
      </c>
      <c r="BV215">
        <v>170.88399999999999</v>
      </c>
      <c r="DM215">
        <v>86.102999999999994</v>
      </c>
      <c r="DT215">
        <v>225.518</v>
      </c>
      <c r="GB215">
        <v>1055</v>
      </c>
      <c r="HG215">
        <v>1055</v>
      </c>
      <c r="HY215">
        <v>1055</v>
      </c>
    </row>
    <row r="216" spans="1:233" x14ac:dyDescent="0.35">
      <c r="A216">
        <v>56.947000000000003</v>
      </c>
      <c r="H216">
        <v>181.292</v>
      </c>
      <c r="BM216">
        <v>22.503</v>
      </c>
      <c r="BV216">
        <v>170.589</v>
      </c>
      <c r="DM216">
        <v>40.159999999999997</v>
      </c>
      <c r="DT216">
        <v>224.89099999999999</v>
      </c>
      <c r="DU216">
        <f>189*2</f>
        <v>378</v>
      </c>
      <c r="DV216">
        <v>7</v>
      </c>
      <c r="GB216">
        <v>1060</v>
      </c>
      <c r="HG216">
        <v>1060</v>
      </c>
      <c r="HY216">
        <v>1060</v>
      </c>
    </row>
    <row r="217" spans="1:233" x14ac:dyDescent="0.35">
      <c r="A217">
        <v>51.948</v>
      </c>
      <c r="H217">
        <v>180.666</v>
      </c>
      <c r="BM217">
        <v>100.422</v>
      </c>
      <c r="BV217">
        <v>170.55699999999999</v>
      </c>
      <c r="DM217">
        <v>62.328000000000003</v>
      </c>
      <c r="DT217">
        <v>223.012</v>
      </c>
      <c r="GB217">
        <v>1065</v>
      </c>
      <c r="HG217">
        <v>1065</v>
      </c>
      <c r="HY217">
        <v>1065</v>
      </c>
    </row>
    <row r="218" spans="1:233" x14ac:dyDescent="0.35">
      <c r="A218">
        <v>106.604</v>
      </c>
      <c r="H218">
        <v>180.33699999999999</v>
      </c>
      <c r="BM218">
        <v>38.820999999999998</v>
      </c>
      <c r="BV218">
        <v>167.85900000000001</v>
      </c>
      <c r="DM218">
        <v>70.433999999999997</v>
      </c>
      <c r="DT218">
        <v>222.91200000000001</v>
      </c>
      <c r="GB218">
        <v>1070</v>
      </c>
      <c r="HG218">
        <v>1070</v>
      </c>
      <c r="HY218">
        <v>1070</v>
      </c>
    </row>
    <row r="219" spans="1:233" x14ac:dyDescent="0.35">
      <c r="A219" s="8">
        <v>55.456000000000003</v>
      </c>
      <c r="H219">
        <v>180.12200000000001</v>
      </c>
      <c r="BM219">
        <v>89.951999999999998</v>
      </c>
      <c r="BV219">
        <v>167.34899999999999</v>
      </c>
      <c r="DM219">
        <v>116.821</v>
      </c>
      <c r="DT219">
        <v>222.864</v>
      </c>
      <c r="GB219">
        <v>1075</v>
      </c>
      <c r="HG219">
        <v>1075</v>
      </c>
      <c r="HY219">
        <v>1075</v>
      </c>
    </row>
    <row r="220" spans="1:233" x14ac:dyDescent="0.35">
      <c r="A220">
        <v>68.114000000000004</v>
      </c>
      <c r="H220">
        <v>180.101</v>
      </c>
      <c r="BM220">
        <v>134.09700000000001</v>
      </c>
      <c r="BV220">
        <v>167.143</v>
      </c>
      <c r="DM220">
        <v>206.48</v>
      </c>
      <c r="DT220">
        <v>222.22499999999999</v>
      </c>
      <c r="GB220">
        <v>1080</v>
      </c>
      <c r="HG220">
        <v>1080</v>
      </c>
      <c r="HY220">
        <v>1080</v>
      </c>
    </row>
    <row r="221" spans="1:233" x14ac:dyDescent="0.35">
      <c r="A221">
        <v>85.555999999999997</v>
      </c>
      <c r="H221">
        <v>179.715</v>
      </c>
      <c r="BM221">
        <v>267.38900000000001</v>
      </c>
      <c r="BV221">
        <v>166.50800000000001</v>
      </c>
      <c r="DM221">
        <v>134.964</v>
      </c>
      <c r="DT221">
        <v>221.93799999999999</v>
      </c>
      <c r="GB221">
        <v>1085</v>
      </c>
      <c r="HG221">
        <v>1085</v>
      </c>
      <c r="HY221">
        <v>1085</v>
      </c>
    </row>
    <row r="222" spans="1:233" x14ac:dyDescent="0.35">
      <c r="A222">
        <v>78.616</v>
      </c>
      <c r="H222">
        <v>179.584</v>
      </c>
      <c r="BM222">
        <v>160.16800000000001</v>
      </c>
      <c r="BV222">
        <v>166.47300000000001</v>
      </c>
      <c r="DM222">
        <v>177.80600000000001</v>
      </c>
      <c r="DT222">
        <v>221.81100000000001</v>
      </c>
      <c r="GB222">
        <v>1090</v>
      </c>
      <c r="HG222">
        <v>1090</v>
      </c>
      <c r="HY222">
        <v>1090</v>
      </c>
    </row>
    <row r="223" spans="1:233" x14ac:dyDescent="0.35">
      <c r="A223">
        <v>53.734000000000002</v>
      </c>
      <c r="H223">
        <v>178.935</v>
      </c>
      <c r="BM223">
        <v>244.39699999999999</v>
      </c>
      <c r="BV223">
        <v>166.14500000000001</v>
      </c>
      <c r="DM223">
        <v>41.771999999999998</v>
      </c>
      <c r="DT223">
        <v>220.989</v>
      </c>
      <c r="GB223">
        <v>1095</v>
      </c>
      <c r="HG223">
        <v>1095</v>
      </c>
      <c r="HY223">
        <v>1095</v>
      </c>
    </row>
    <row r="224" spans="1:233" x14ac:dyDescent="0.35">
      <c r="A224">
        <v>172.99700000000001</v>
      </c>
      <c r="H224">
        <v>178.74700000000001</v>
      </c>
      <c r="BM224">
        <v>44.908999999999999</v>
      </c>
      <c r="BV224">
        <v>166.14099999999999</v>
      </c>
      <c r="DM224">
        <v>106.349</v>
      </c>
      <c r="DT224">
        <v>220.25</v>
      </c>
      <c r="GB224">
        <v>1100</v>
      </c>
      <c r="HG224">
        <v>1100</v>
      </c>
      <c r="HY224">
        <v>1100</v>
      </c>
    </row>
    <row r="225" spans="1:215" x14ac:dyDescent="0.35">
      <c r="A225">
        <v>108.25</v>
      </c>
      <c r="H225">
        <v>178.22200000000001</v>
      </c>
      <c r="BM225">
        <v>175.892</v>
      </c>
      <c r="BV225">
        <v>165.95099999999999</v>
      </c>
      <c r="DM225">
        <v>194.08500000000001</v>
      </c>
      <c r="DT225">
        <v>219.84700000000001</v>
      </c>
      <c r="GB225">
        <v>1105</v>
      </c>
      <c r="HG225">
        <v>1105</v>
      </c>
    </row>
    <row r="226" spans="1:215" x14ac:dyDescent="0.35">
      <c r="A226">
        <v>164.90199999999999</v>
      </c>
      <c r="H226">
        <v>177.92599999999999</v>
      </c>
      <c r="BM226">
        <v>67.730999999999995</v>
      </c>
      <c r="BV226">
        <v>165.738</v>
      </c>
      <c r="DM226">
        <v>132.65799999999999</v>
      </c>
      <c r="DT226">
        <v>219.63</v>
      </c>
      <c r="GB226">
        <v>1110</v>
      </c>
      <c r="HG226">
        <v>1110</v>
      </c>
    </row>
    <row r="227" spans="1:215" x14ac:dyDescent="0.35">
      <c r="A227">
        <v>121.075</v>
      </c>
      <c r="H227">
        <v>177.91300000000001</v>
      </c>
      <c r="BM227">
        <v>151.405</v>
      </c>
      <c r="BV227">
        <v>165.58199999999999</v>
      </c>
      <c r="DM227">
        <v>169.02199999999999</v>
      </c>
      <c r="DT227">
        <v>219.53399999999999</v>
      </c>
    </row>
    <row r="228" spans="1:215" x14ac:dyDescent="0.35">
      <c r="A228">
        <v>82.366</v>
      </c>
      <c r="H228" s="8">
        <v>177.34899999999999</v>
      </c>
      <c r="BM228">
        <v>138.703</v>
      </c>
      <c r="BV228">
        <v>164.88300000000001</v>
      </c>
      <c r="DT228">
        <v>219.477</v>
      </c>
    </row>
    <row r="229" spans="1:215" x14ac:dyDescent="0.35">
      <c r="A229">
        <v>51.534999999999997</v>
      </c>
      <c r="H229">
        <v>176.34899999999999</v>
      </c>
      <c r="BM229">
        <v>31.425000000000001</v>
      </c>
      <c r="BV229">
        <v>164.32300000000001</v>
      </c>
      <c r="DM229">
        <v>237.768</v>
      </c>
      <c r="DT229">
        <v>217.27099999999999</v>
      </c>
    </row>
    <row r="230" spans="1:215" x14ac:dyDescent="0.35">
      <c r="A230">
        <v>119.913</v>
      </c>
      <c r="H230">
        <v>175.01400000000001</v>
      </c>
      <c r="BM230">
        <v>112.57599999999999</v>
      </c>
      <c r="BV230">
        <v>164.095</v>
      </c>
      <c r="DM230">
        <v>173.083</v>
      </c>
      <c r="DT230">
        <v>216.946</v>
      </c>
    </row>
    <row r="231" spans="1:215" x14ac:dyDescent="0.35">
      <c r="A231">
        <v>53.451000000000001</v>
      </c>
      <c r="H231">
        <v>174.77500000000001</v>
      </c>
      <c r="BM231">
        <v>109.345</v>
      </c>
      <c r="BV231">
        <v>163.36199999999999</v>
      </c>
      <c r="DM231">
        <v>209.70099999999999</v>
      </c>
      <c r="DT231">
        <v>215.83</v>
      </c>
    </row>
    <row r="232" spans="1:215" x14ac:dyDescent="0.35">
      <c r="A232">
        <v>130.773</v>
      </c>
      <c r="H232">
        <v>174.376</v>
      </c>
      <c r="BM232">
        <v>33.887999999999998</v>
      </c>
      <c r="BV232">
        <v>162.06200000000001</v>
      </c>
      <c r="DM232">
        <v>88.54</v>
      </c>
      <c r="DT232">
        <v>214.30799999999999</v>
      </c>
    </row>
    <row r="233" spans="1:215" x14ac:dyDescent="0.35">
      <c r="A233">
        <v>52.061999999999998</v>
      </c>
      <c r="H233">
        <v>174.126</v>
      </c>
      <c r="BM233">
        <v>86.775000000000006</v>
      </c>
      <c r="BV233">
        <v>161.24</v>
      </c>
      <c r="DM233">
        <v>29.634</v>
      </c>
      <c r="DT233">
        <v>213.92400000000001</v>
      </c>
    </row>
    <row r="234" spans="1:215" x14ac:dyDescent="0.35">
      <c r="A234">
        <v>135.11099999999999</v>
      </c>
      <c r="H234">
        <v>172.99700000000001</v>
      </c>
      <c r="BM234">
        <v>46.499000000000002</v>
      </c>
      <c r="BV234">
        <v>160.16800000000001</v>
      </c>
      <c r="DM234">
        <v>64.195999999999998</v>
      </c>
      <c r="DT234">
        <v>212.58199999999999</v>
      </c>
    </row>
    <row r="235" spans="1:215" x14ac:dyDescent="0.35">
      <c r="A235">
        <v>240.279</v>
      </c>
      <c r="H235">
        <v>172.863</v>
      </c>
      <c r="BM235">
        <v>41.414000000000001</v>
      </c>
      <c r="BV235">
        <v>159.911</v>
      </c>
      <c r="DM235">
        <v>70.156000000000006</v>
      </c>
      <c r="DT235">
        <v>212.25800000000001</v>
      </c>
    </row>
    <row r="236" spans="1:215" x14ac:dyDescent="0.35">
      <c r="A236">
        <v>174.376</v>
      </c>
      <c r="H236">
        <v>171.99100000000001</v>
      </c>
      <c r="J236" s="8"/>
      <c r="BM236">
        <v>15.416</v>
      </c>
      <c r="BV236">
        <v>159.22499999999999</v>
      </c>
      <c r="DM236">
        <v>29.678999999999998</v>
      </c>
      <c r="DT236">
        <v>211.52199999999999</v>
      </c>
    </row>
    <row r="237" spans="1:215" x14ac:dyDescent="0.35">
      <c r="A237">
        <v>243.27</v>
      </c>
      <c r="H237">
        <v>171.75200000000001</v>
      </c>
      <c r="BM237">
        <v>51.765999999999998</v>
      </c>
      <c r="BV237">
        <v>158.828</v>
      </c>
      <c r="DM237">
        <v>42.83</v>
      </c>
      <c r="DT237">
        <v>211.43600000000001</v>
      </c>
    </row>
    <row r="238" spans="1:215" x14ac:dyDescent="0.35">
      <c r="A238">
        <v>113.49299999999999</v>
      </c>
      <c r="H238">
        <v>171.358</v>
      </c>
      <c r="BM238">
        <v>140.13200000000001</v>
      </c>
      <c r="BV238">
        <v>158.53800000000001</v>
      </c>
      <c r="DM238">
        <v>117.83199999999999</v>
      </c>
      <c r="DT238">
        <v>211.06100000000001</v>
      </c>
    </row>
    <row r="239" spans="1:215" x14ac:dyDescent="0.35">
      <c r="A239">
        <v>201.874</v>
      </c>
      <c r="H239">
        <v>171.18700000000001</v>
      </c>
      <c r="BM239">
        <v>57.186</v>
      </c>
      <c r="BV239">
        <v>157.65199999999999</v>
      </c>
      <c r="DM239">
        <v>118.233</v>
      </c>
      <c r="DT239">
        <v>210.285</v>
      </c>
    </row>
    <row r="240" spans="1:215" x14ac:dyDescent="0.35">
      <c r="A240">
        <v>137.18100000000001</v>
      </c>
      <c r="H240">
        <v>170.94900000000001</v>
      </c>
      <c r="BM240">
        <v>102.03700000000001</v>
      </c>
      <c r="BV240">
        <v>157.49799999999999</v>
      </c>
      <c r="DM240">
        <v>165.923</v>
      </c>
      <c r="DT240">
        <v>210.245</v>
      </c>
    </row>
    <row r="241" spans="1:124" x14ac:dyDescent="0.35">
      <c r="A241">
        <v>214.07</v>
      </c>
      <c r="H241">
        <v>170.815</v>
      </c>
      <c r="J241" s="8"/>
      <c r="BM241">
        <v>85.912999999999997</v>
      </c>
      <c r="BV241">
        <v>157.15299999999999</v>
      </c>
      <c r="DM241">
        <v>225.643</v>
      </c>
      <c r="DT241">
        <v>210.054</v>
      </c>
    </row>
    <row r="242" spans="1:124" x14ac:dyDescent="0.35">
      <c r="A242">
        <v>123.666</v>
      </c>
      <c r="H242">
        <v>170.74299999999999</v>
      </c>
      <c r="J242" s="8"/>
      <c r="BM242">
        <v>34.960999999999999</v>
      </c>
      <c r="BV242">
        <v>156.83199999999999</v>
      </c>
      <c r="DM242">
        <v>30.513999999999999</v>
      </c>
      <c r="DT242">
        <v>209.96</v>
      </c>
    </row>
    <row r="243" spans="1:124" x14ac:dyDescent="0.35">
      <c r="A243">
        <v>64.088999999999999</v>
      </c>
      <c r="H243">
        <v>170.54599999999999</v>
      </c>
      <c r="BM243">
        <v>42.56</v>
      </c>
      <c r="BV243">
        <v>154.41800000000001</v>
      </c>
      <c r="DM243">
        <v>63.383000000000003</v>
      </c>
      <c r="DT243">
        <v>209.70099999999999</v>
      </c>
    </row>
    <row r="244" spans="1:124" x14ac:dyDescent="0.35">
      <c r="A244">
        <v>111.217</v>
      </c>
      <c r="H244">
        <v>170.48</v>
      </c>
      <c r="BM244">
        <v>96.486000000000004</v>
      </c>
      <c r="BV244">
        <v>154.31899999999999</v>
      </c>
      <c r="DM244">
        <v>116.23699999999999</v>
      </c>
      <c r="DT244">
        <v>209.32300000000001</v>
      </c>
    </row>
    <row r="245" spans="1:124" x14ac:dyDescent="0.35">
      <c r="A245">
        <v>67.328999999999994</v>
      </c>
      <c r="H245">
        <v>170.39599999999999</v>
      </c>
      <c r="BM245">
        <v>21.582999999999998</v>
      </c>
      <c r="BV245">
        <v>154.26300000000001</v>
      </c>
      <c r="DM245">
        <v>47.753</v>
      </c>
      <c r="DT245">
        <v>208.73699999999999</v>
      </c>
    </row>
    <row r="246" spans="1:124" x14ac:dyDescent="0.35">
      <c r="A246">
        <v>52.021000000000001</v>
      </c>
      <c r="H246">
        <v>169.589</v>
      </c>
      <c r="BM246">
        <v>58.216000000000001</v>
      </c>
      <c r="BV246">
        <v>154.05000000000001</v>
      </c>
      <c r="DM246">
        <v>108.417</v>
      </c>
      <c r="DT246">
        <v>208.58</v>
      </c>
    </row>
    <row r="247" spans="1:124" x14ac:dyDescent="0.35">
      <c r="A247">
        <v>79.198999999999998</v>
      </c>
      <c r="H247">
        <v>169.351</v>
      </c>
      <c r="BM247">
        <v>53.085000000000001</v>
      </c>
      <c r="BV247">
        <v>153.649</v>
      </c>
      <c r="DM247">
        <v>57.646000000000001</v>
      </c>
      <c r="DT247">
        <v>208.15799999999999</v>
      </c>
    </row>
    <row r="248" spans="1:124" x14ac:dyDescent="0.35">
      <c r="A248">
        <v>93.991</v>
      </c>
      <c r="H248">
        <v>168.17400000000001</v>
      </c>
      <c r="BM248">
        <v>79.825000000000003</v>
      </c>
      <c r="BV248">
        <v>153.227</v>
      </c>
      <c r="DM248">
        <v>55.453000000000003</v>
      </c>
      <c r="DT248">
        <v>207.65100000000001</v>
      </c>
    </row>
    <row r="249" spans="1:124" x14ac:dyDescent="0.35">
      <c r="A249">
        <v>42.87</v>
      </c>
      <c r="H249">
        <v>167.30799999999999</v>
      </c>
      <c r="BM249">
        <v>179.48400000000001</v>
      </c>
      <c r="BV249">
        <v>152.82300000000001</v>
      </c>
      <c r="DM249">
        <v>151.17099999999999</v>
      </c>
      <c r="DT249">
        <v>207.28200000000001</v>
      </c>
    </row>
    <row r="250" spans="1:124" x14ac:dyDescent="0.35">
      <c r="A250">
        <v>163.12200000000001</v>
      </c>
      <c r="H250">
        <v>167.13499999999999</v>
      </c>
      <c r="BM250">
        <v>92.900999999999996</v>
      </c>
      <c r="BV250">
        <v>152.75299999999999</v>
      </c>
      <c r="DM250">
        <v>188.76400000000001</v>
      </c>
      <c r="DT250">
        <v>206.48</v>
      </c>
    </row>
    <row r="251" spans="1:124" x14ac:dyDescent="0.35">
      <c r="A251">
        <v>134.78</v>
      </c>
      <c r="H251">
        <v>166.91200000000001</v>
      </c>
      <c r="BM251">
        <v>138.95099999999999</v>
      </c>
      <c r="BV251">
        <v>152.31399999999999</v>
      </c>
      <c r="DM251">
        <v>245.60900000000001</v>
      </c>
      <c r="DT251">
        <v>206.23699999999999</v>
      </c>
    </row>
    <row r="252" spans="1:124" x14ac:dyDescent="0.35">
      <c r="A252">
        <v>121.209</v>
      </c>
      <c r="H252">
        <v>166.86500000000001</v>
      </c>
      <c r="BM252">
        <v>47.155999999999999</v>
      </c>
      <c r="BV252">
        <v>151.857</v>
      </c>
      <c r="DM252">
        <v>135.755</v>
      </c>
      <c r="DT252">
        <v>206.143</v>
      </c>
    </row>
    <row r="253" spans="1:124" x14ac:dyDescent="0.35">
      <c r="A253">
        <v>254.00299999999999</v>
      </c>
      <c r="H253">
        <v>166.733</v>
      </c>
      <c r="BM253">
        <v>127.2</v>
      </c>
      <c r="BV253">
        <v>151.405</v>
      </c>
      <c r="DM253">
        <v>174.40799999999999</v>
      </c>
      <c r="DT253">
        <v>205.517</v>
      </c>
    </row>
    <row r="254" spans="1:124" x14ac:dyDescent="0.35">
      <c r="A254" s="8">
        <v>132.87799999999999</v>
      </c>
      <c r="H254">
        <v>165.05</v>
      </c>
      <c r="BM254">
        <v>46.597999999999999</v>
      </c>
      <c r="BV254">
        <v>151.13399999999999</v>
      </c>
      <c r="DM254">
        <v>221.81100000000001</v>
      </c>
      <c r="DT254">
        <v>204.84399999999999</v>
      </c>
    </row>
    <row r="255" spans="1:124" x14ac:dyDescent="0.35">
      <c r="A255" s="8">
        <v>188.107</v>
      </c>
      <c r="H255">
        <v>164.90199999999999</v>
      </c>
      <c r="BM255">
        <v>87.923000000000002</v>
      </c>
      <c r="BV255">
        <v>151.03</v>
      </c>
      <c r="DM255">
        <v>38.524000000000001</v>
      </c>
      <c r="DT255">
        <v>204.279</v>
      </c>
    </row>
    <row r="256" spans="1:124" x14ac:dyDescent="0.35">
      <c r="A256" s="8">
        <v>58.804000000000002</v>
      </c>
      <c r="H256">
        <v>164.56899999999999</v>
      </c>
      <c r="BM256">
        <v>120.08</v>
      </c>
      <c r="BV256">
        <v>150.73599999999999</v>
      </c>
      <c r="DM256">
        <v>96.494</v>
      </c>
      <c r="DT256">
        <v>203.798</v>
      </c>
    </row>
    <row r="257" spans="1:124" x14ac:dyDescent="0.35">
      <c r="A257" s="8">
        <v>93.942999999999998</v>
      </c>
      <c r="H257">
        <v>164.523</v>
      </c>
      <c r="BM257">
        <v>25.363</v>
      </c>
      <c r="BV257">
        <v>150.554</v>
      </c>
      <c r="DM257">
        <v>68.600999999999999</v>
      </c>
      <c r="DT257">
        <v>203.73699999999999</v>
      </c>
    </row>
    <row r="258" spans="1:124" x14ac:dyDescent="0.35">
      <c r="A258" s="8">
        <v>48.316000000000003</v>
      </c>
      <c r="H258">
        <v>164.364</v>
      </c>
      <c r="BM258">
        <v>67.084999999999994</v>
      </c>
      <c r="BV258">
        <v>150.17699999999999</v>
      </c>
      <c r="DM258">
        <v>107.777</v>
      </c>
      <c r="DT258">
        <v>203.63300000000001</v>
      </c>
    </row>
    <row r="259" spans="1:124" x14ac:dyDescent="0.35">
      <c r="A259" s="8">
        <v>22.111999999999998</v>
      </c>
      <c r="H259">
        <v>163.81100000000001</v>
      </c>
      <c r="BM259">
        <v>96.322000000000003</v>
      </c>
      <c r="BV259">
        <v>149.28299999999999</v>
      </c>
      <c r="BW259">
        <f>255*2</f>
        <v>510</v>
      </c>
      <c r="BX259">
        <v>10</v>
      </c>
      <c r="DM259">
        <v>164.71899999999999</v>
      </c>
      <c r="DT259">
        <v>203.34899999999999</v>
      </c>
    </row>
    <row r="260" spans="1:124" x14ac:dyDescent="0.35">
      <c r="A260" s="8">
        <v>154.208</v>
      </c>
      <c r="H260">
        <v>163.12200000000001</v>
      </c>
      <c r="BM260">
        <v>58.215000000000003</v>
      </c>
      <c r="BV260">
        <v>149.06800000000001</v>
      </c>
      <c r="DM260">
        <v>253.423</v>
      </c>
      <c r="DT260">
        <v>203.06399999999999</v>
      </c>
    </row>
    <row r="261" spans="1:124" x14ac:dyDescent="0.35">
      <c r="A261" s="8">
        <v>122.364</v>
      </c>
      <c r="H261">
        <v>162.64599999999999</v>
      </c>
      <c r="BM261">
        <v>46.576999999999998</v>
      </c>
      <c r="BV261">
        <v>148.739</v>
      </c>
      <c r="DM261">
        <v>263.06099999999998</v>
      </c>
      <c r="DT261">
        <v>202.941</v>
      </c>
    </row>
    <row r="262" spans="1:124" x14ac:dyDescent="0.35">
      <c r="A262" s="8">
        <v>143.27699999999999</v>
      </c>
      <c r="H262" s="8">
        <v>162.58000000000001</v>
      </c>
      <c r="BM262">
        <v>60.243000000000002</v>
      </c>
      <c r="BV262">
        <v>148.09</v>
      </c>
      <c r="DM262">
        <v>317.71499999999997</v>
      </c>
      <c r="DT262">
        <v>202.392</v>
      </c>
    </row>
    <row r="263" spans="1:124" x14ac:dyDescent="0.35">
      <c r="A263" s="8">
        <v>134.048</v>
      </c>
      <c r="H263">
        <v>162.511</v>
      </c>
      <c r="BM263">
        <v>19.899999999999999</v>
      </c>
      <c r="BV263">
        <v>147.851</v>
      </c>
      <c r="DM263">
        <v>55.713999999999999</v>
      </c>
      <c r="DT263">
        <v>201.90199999999999</v>
      </c>
    </row>
    <row r="264" spans="1:124" x14ac:dyDescent="0.35">
      <c r="A264">
        <v>66.599000000000004</v>
      </c>
      <c r="H264" s="8">
        <v>162.184</v>
      </c>
      <c r="BM264">
        <v>31.545000000000002</v>
      </c>
      <c r="BV264">
        <v>147.78899999999999</v>
      </c>
      <c r="DM264">
        <v>307.13600000000002</v>
      </c>
      <c r="DT264">
        <v>201.709</v>
      </c>
    </row>
    <row r="265" spans="1:124" x14ac:dyDescent="0.35">
      <c r="A265">
        <v>46.064</v>
      </c>
      <c r="H265">
        <v>162.07</v>
      </c>
      <c r="BM265">
        <v>41.899000000000001</v>
      </c>
      <c r="BV265">
        <v>147.67599999999999</v>
      </c>
      <c r="DM265">
        <v>56.576999999999998</v>
      </c>
      <c r="DT265">
        <v>201.428</v>
      </c>
    </row>
    <row r="266" spans="1:124" x14ac:dyDescent="0.35">
      <c r="A266">
        <v>97.744</v>
      </c>
      <c r="H266">
        <v>161.98500000000001</v>
      </c>
      <c r="BM266">
        <v>108.47199999999999</v>
      </c>
      <c r="BV266">
        <v>147.47800000000001</v>
      </c>
      <c r="DM266">
        <v>154.47900000000001</v>
      </c>
      <c r="DT266">
        <v>200.85900000000001</v>
      </c>
    </row>
    <row r="267" spans="1:124" x14ac:dyDescent="0.35">
      <c r="A267">
        <v>75.058999999999997</v>
      </c>
      <c r="H267">
        <v>161.655</v>
      </c>
      <c r="BM267">
        <v>54.49</v>
      </c>
      <c r="BV267">
        <v>147.078</v>
      </c>
      <c r="DM267">
        <v>154.05699999999999</v>
      </c>
      <c r="DT267">
        <v>200.83199999999999</v>
      </c>
    </row>
    <row r="268" spans="1:124" x14ac:dyDescent="0.35">
      <c r="A268">
        <v>93.488</v>
      </c>
      <c r="H268">
        <v>161.45400000000001</v>
      </c>
      <c r="BM268">
        <v>146.202</v>
      </c>
      <c r="BV268">
        <v>146.202</v>
      </c>
      <c r="DM268">
        <v>212.58199999999999</v>
      </c>
      <c r="DT268">
        <v>200.679</v>
      </c>
    </row>
    <row r="269" spans="1:124" x14ac:dyDescent="0.35">
      <c r="A269">
        <v>76.277000000000001</v>
      </c>
      <c r="H269" s="8">
        <v>161.31200000000001</v>
      </c>
      <c r="BM269">
        <v>69.929000000000002</v>
      </c>
      <c r="BV269">
        <v>146.15</v>
      </c>
      <c r="DM269">
        <v>132.79499999999999</v>
      </c>
      <c r="DT269">
        <v>200.58699999999999</v>
      </c>
    </row>
    <row r="270" spans="1:124" x14ac:dyDescent="0.35">
      <c r="A270">
        <v>105.53400000000001</v>
      </c>
      <c r="H270">
        <v>160.74</v>
      </c>
      <c r="BM270">
        <v>38.164000000000001</v>
      </c>
      <c r="BV270">
        <v>145.89099999999999</v>
      </c>
      <c r="DM270">
        <v>148.07499999999999</v>
      </c>
      <c r="DT270">
        <v>200.24199999999999</v>
      </c>
    </row>
    <row r="271" spans="1:124" x14ac:dyDescent="0.35">
      <c r="A271">
        <v>235.36</v>
      </c>
      <c r="H271">
        <v>160.58600000000001</v>
      </c>
      <c r="BM271">
        <v>46.067999999999998</v>
      </c>
      <c r="BV271">
        <v>145.88999999999999</v>
      </c>
      <c r="DM271">
        <v>102.89100000000001</v>
      </c>
      <c r="DT271">
        <v>200.012</v>
      </c>
    </row>
    <row r="272" spans="1:124" x14ac:dyDescent="0.35">
      <c r="A272">
        <v>210.62899999999999</v>
      </c>
      <c r="H272" s="8">
        <v>160.16</v>
      </c>
      <c r="BM272">
        <v>87.373000000000005</v>
      </c>
      <c r="BV272">
        <v>145.16499999999999</v>
      </c>
      <c r="DM272">
        <v>103.586</v>
      </c>
      <c r="DT272">
        <v>199.768</v>
      </c>
    </row>
    <row r="273" spans="1:124" x14ac:dyDescent="0.35">
      <c r="A273">
        <v>229.12299999999999</v>
      </c>
      <c r="H273">
        <v>160.096</v>
      </c>
      <c r="BM273">
        <v>51.173999999999999</v>
      </c>
      <c r="BV273">
        <v>144.92599999999999</v>
      </c>
      <c r="DM273">
        <v>158.15899999999999</v>
      </c>
      <c r="DT273">
        <v>198.98699999999999</v>
      </c>
    </row>
    <row r="274" spans="1:124" x14ac:dyDescent="0.35">
      <c r="A274">
        <v>46.744999999999997</v>
      </c>
      <c r="H274">
        <v>159.90299999999999</v>
      </c>
      <c r="BM274">
        <v>130.73400000000001</v>
      </c>
      <c r="BV274">
        <v>144.798</v>
      </c>
      <c r="DT274">
        <v>197.91800000000001</v>
      </c>
    </row>
    <row r="275" spans="1:124" x14ac:dyDescent="0.35">
      <c r="A275">
        <v>161.655</v>
      </c>
      <c r="H275">
        <v>159.88300000000001</v>
      </c>
      <c r="BM275">
        <v>34.008000000000003</v>
      </c>
      <c r="BV275">
        <v>144.06399999999999</v>
      </c>
      <c r="DM275">
        <v>157.482</v>
      </c>
      <c r="DT275">
        <v>197.822</v>
      </c>
    </row>
    <row r="276" spans="1:124" x14ac:dyDescent="0.35">
      <c r="A276">
        <v>141.85</v>
      </c>
      <c r="H276" s="8">
        <v>159.76400000000001</v>
      </c>
      <c r="BM276">
        <v>62.564</v>
      </c>
      <c r="BV276">
        <v>143.642</v>
      </c>
      <c r="DM276">
        <v>72.072999999999993</v>
      </c>
      <c r="DT276">
        <v>197.47300000000001</v>
      </c>
    </row>
    <row r="277" spans="1:124" x14ac:dyDescent="0.35">
      <c r="A277">
        <v>159.76</v>
      </c>
      <c r="H277">
        <v>159.76</v>
      </c>
      <c r="BM277">
        <v>127.622</v>
      </c>
      <c r="BV277">
        <v>143.28399999999999</v>
      </c>
      <c r="DM277">
        <v>94.697999999999993</v>
      </c>
      <c r="DT277">
        <v>197.41</v>
      </c>
    </row>
    <row r="278" spans="1:124" x14ac:dyDescent="0.35">
      <c r="A278">
        <v>138.5</v>
      </c>
      <c r="H278">
        <v>159.70699999999999</v>
      </c>
      <c r="BM278">
        <v>74.313000000000002</v>
      </c>
      <c r="BV278">
        <v>143.15299999999999</v>
      </c>
      <c r="DM278">
        <v>61.241</v>
      </c>
      <c r="DT278">
        <v>197.18600000000001</v>
      </c>
    </row>
    <row r="279" spans="1:124" x14ac:dyDescent="0.35">
      <c r="A279">
        <v>108.458</v>
      </c>
      <c r="H279">
        <v>159.559</v>
      </c>
      <c r="BM279">
        <v>167.143</v>
      </c>
      <c r="BV279">
        <v>143.03700000000001</v>
      </c>
      <c r="DM279">
        <v>219.84700000000001</v>
      </c>
      <c r="DT279">
        <v>196.86699999999999</v>
      </c>
    </row>
    <row r="280" spans="1:124" x14ac:dyDescent="0.35">
      <c r="A280">
        <v>124.95699999999999</v>
      </c>
      <c r="H280">
        <v>159.04</v>
      </c>
      <c r="BM280">
        <v>51.246000000000002</v>
      </c>
      <c r="BV280">
        <v>142.935</v>
      </c>
      <c r="DM280">
        <v>99.174999999999997</v>
      </c>
      <c r="DT280">
        <v>196.34299999999999</v>
      </c>
    </row>
    <row r="281" spans="1:124" x14ac:dyDescent="0.35">
      <c r="A281">
        <v>46.896999999999998</v>
      </c>
      <c r="H281">
        <v>158.958</v>
      </c>
      <c r="BM281">
        <v>114.17</v>
      </c>
      <c r="BV281">
        <v>142.708</v>
      </c>
      <c r="DM281">
        <v>204.279</v>
      </c>
      <c r="DT281">
        <v>196.286</v>
      </c>
    </row>
    <row r="282" spans="1:124" x14ac:dyDescent="0.35">
      <c r="A282" s="8">
        <v>37.46</v>
      </c>
      <c r="H282">
        <v>158.941</v>
      </c>
      <c r="BM282">
        <v>61.192</v>
      </c>
      <c r="BV282">
        <v>142.24600000000001</v>
      </c>
      <c r="DM282">
        <v>315.43099999999998</v>
      </c>
      <c r="DT282">
        <v>195.45500000000001</v>
      </c>
    </row>
    <row r="283" spans="1:124" x14ac:dyDescent="0.35">
      <c r="A283">
        <v>20.042999999999999</v>
      </c>
      <c r="H283">
        <v>158.72200000000001</v>
      </c>
      <c r="BM283">
        <v>154.31899999999999</v>
      </c>
      <c r="BV283">
        <v>141.97999999999999</v>
      </c>
      <c r="DM283">
        <v>265.45499999999998</v>
      </c>
      <c r="DT283">
        <v>195.292</v>
      </c>
    </row>
    <row r="284" spans="1:124" x14ac:dyDescent="0.35">
      <c r="A284">
        <v>136.41200000000001</v>
      </c>
      <c r="H284">
        <v>158.57</v>
      </c>
      <c r="BM284">
        <v>66.025999999999996</v>
      </c>
      <c r="BV284">
        <v>141.35499999999999</v>
      </c>
      <c r="DM284">
        <v>292.78300000000002</v>
      </c>
      <c r="DT284">
        <v>195.00200000000001</v>
      </c>
    </row>
    <row r="285" spans="1:124" x14ac:dyDescent="0.35">
      <c r="A285">
        <v>59.561</v>
      </c>
      <c r="H285" s="8">
        <v>158.352</v>
      </c>
      <c r="BM285">
        <v>13.023999999999999</v>
      </c>
      <c r="BV285">
        <v>140.958</v>
      </c>
      <c r="DM285">
        <v>122.056</v>
      </c>
      <c r="DT285">
        <v>194.666</v>
      </c>
    </row>
    <row r="286" spans="1:124" x14ac:dyDescent="0.35">
      <c r="A286">
        <v>88.983000000000004</v>
      </c>
      <c r="H286" s="8">
        <v>158.33199999999999</v>
      </c>
      <c r="BM286">
        <v>106.907</v>
      </c>
      <c r="BV286">
        <v>140.13200000000001</v>
      </c>
      <c r="DM286">
        <v>17.928000000000001</v>
      </c>
      <c r="DT286">
        <v>194.08500000000001</v>
      </c>
    </row>
    <row r="287" spans="1:124" x14ac:dyDescent="0.35">
      <c r="A287">
        <v>117.053</v>
      </c>
      <c r="H287">
        <v>158.12299999999999</v>
      </c>
      <c r="BM287">
        <v>54.487000000000002</v>
      </c>
      <c r="BV287">
        <v>140.01300000000001</v>
      </c>
      <c r="DM287">
        <v>98.269000000000005</v>
      </c>
      <c r="DT287">
        <v>193.571</v>
      </c>
    </row>
    <row r="288" spans="1:124" x14ac:dyDescent="0.35">
      <c r="A288">
        <v>193.392</v>
      </c>
      <c r="H288" s="8">
        <v>157.90899999999999</v>
      </c>
      <c r="BM288">
        <v>43.261000000000003</v>
      </c>
      <c r="BV288">
        <v>139.53700000000001</v>
      </c>
      <c r="DM288">
        <v>46.393000000000001</v>
      </c>
      <c r="DT288">
        <v>193.45099999999999</v>
      </c>
    </row>
    <row r="289" spans="1:124" x14ac:dyDescent="0.35">
      <c r="A289">
        <v>255.67</v>
      </c>
      <c r="H289" s="8">
        <v>157.059</v>
      </c>
      <c r="BM289">
        <v>53.911999999999999</v>
      </c>
      <c r="BV289">
        <v>139.376</v>
      </c>
      <c r="DM289">
        <v>78.286000000000001</v>
      </c>
      <c r="DT289">
        <v>193.31700000000001</v>
      </c>
    </row>
    <row r="290" spans="1:124" x14ac:dyDescent="0.35">
      <c r="A290">
        <v>190.78299999999999</v>
      </c>
      <c r="H290">
        <v>156.82900000000001</v>
      </c>
      <c r="BM290">
        <v>76.647000000000006</v>
      </c>
      <c r="BV290">
        <v>138.95099999999999</v>
      </c>
      <c r="DM290">
        <v>104.899</v>
      </c>
      <c r="DT290">
        <v>192.99799999999999</v>
      </c>
    </row>
    <row r="291" spans="1:124" x14ac:dyDescent="0.35">
      <c r="A291">
        <v>60.613</v>
      </c>
      <c r="H291" s="8">
        <v>156.13300000000001</v>
      </c>
      <c r="BM291">
        <v>38.709000000000003</v>
      </c>
      <c r="BV291">
        <v>138.84100000000001</v>
      </c>
      <c r="DM291">
        <v>214.30799999999999</v>
      </c>
      <c r="DT291">
        <v>192.45</v>
      </c>
    </row>
    <row r="292" spans="1:124" x14ac:dyDescent="0.35">
      <c r="A292">
        <v>24.411999999999999</v>
      </c>
      <c r="H292">
        <v>155.30099999999999</v>
      </c>
      <c r="BM292">
        <v>28.367000000000001</v>
      </c>
      <c r="BV292">
        <v>138.703</v>
      </c>
      <c r="DM292">
        <v>167.01400000000001</v>
      </c>
      <c r="DT292">
        <v>191.756</v>
      </c>
    </row>
    <row r="293" spans="1:124" x14ac:dyDescent="0.35">
      <c r="A293">
        <v>59.521999999999998</v>
      </c>
      <c r="H293">
        <v>155.04</v>
      </c>
      <c r="BM293">
        <v>93.881</v>
      </c>
      <c r="BV293">
        <v>138.17400000000001</v>
      </c>
      <c r="DM293">
        <v>193.45099999999999</v>
      </c>
      <c r="DT293">
        <v>191.19800000000001</v>
      </c>
    </row>
    <row r="294" spans="1:124" x14ac:dyDescent="0.35">
      <c r="A294">
        <v>123.41800000000001</v>
      </c>
      <c r="H294">
        <v>154.904</v>
      </c>
      <c r="BM294">
        <v>199.614</v>
      </c>
      <c r="BV294">
        <v>137.696</v>
      </c>
      <c r="DM294">
        <v>111.58199999999999</v>
      </c>
      <c r="DT294">
        <v>190.67699999999999</v>
      </c>
    </row>
    <row r="295" spans="1:124" x14ac:dyDescent="0.35">
      <c r="A295">
        <v>146.84200000000001</v>
      </c>
      <c r="H295">
        <v>154.68100000000001</v>
      </c>
      <c r="BM295">
        <v>119.60899999999999</v>
      </c>
      <c r="BV295">
        <v>137.61699999999999</v>
      </c>
      <c r="DM295">
        <v>62.468000000000004</v>
      </c>
      <c r="DT295">
        <v>190.49799999999999</v>
      </c>
    </row>
    <row r="296" spans="1:124" x14ac:dyDescent="0.35">
      <c r="A296">
        <v>171.75200000000001</v>
      </c>
      <c r="H296">
        <v>154.56</v>
      </c>
      <c r="BM296">
        <v>152.75299999999999</v>
      </c>
      <c r="BV296">
        <v>137.292</v>
      </c>
      <c r="DM296">
        <v>92.488</v>
      </c>
      <c r="DT296">
        <v>190.03100000000001</v>
      </c>
    </row>
    <row r="297" spans="1:124" x14ac:dyDescent="0.35">
      <c r="A297">
        <v>249.60599999999999</v>
      </c>
      <c r="H297" s="8">
        <v>154.208</v>
      </c>
      <c r="K297" s="8"/>
      <c r="BM297">
        <v>103.943</v>
      </c>
      <c r="BV297">
        <v>137.24</v>
      </c>
      <c r="DM297">
        <v>56.707999999999998</v>
      </c>
      <c r="DT297">
        <v>189.31700000000001</v>
      </c>
    </row>
    <row r="298" spans="1:124" x14ac:dyDescent="0.35">
      <c r="A298">
        <v>304.57</v>
      </c>
      <c r="H298" s="8">
        <v>154.178</v>
      </c>
      <c r="BM298">
        <v>82.394000000000005</v>
      </c>
      <c r="BV298">
        <v>137.166</v>
      </c>
      <c r="DM298">
        <v>63.848999999999997</v>
      </c>
      <c r="DT298">
        <v>189.00899999999999</v>
      </c>
    </row>
    <row r="299" spans="1:124" x14ac:dyDescent="0.35">
      <c r="A299">
        <v>38.975999999999999</v>
      </c>
      <c r="H299">
        <v>153.87700000000001</v>
      </c>
      <c r="K299" s="8"/>
      <c r="BM299">
        <v>41.091999999999999</v>
      </c>
      <c r="BV299">
        <v>137.03100000000001</v>
      </c>
      <c r="DM299">
        <v>37.737000000000002</v>
      </c>
      <c r="DT299">
        <v>188.76400000000001</v>
      </c>
    </row>
    <row r="300" spans="1:124" x14ac:dyDescent="0.35">
      <c r="A300">
        <v>110.44</v>
      </c>
      <c r="H300">
        <v>153.624</v>
      </c>
      <c r="BM300">
        <v>125.67</v>
      </c>
      <c r="BV300">
        <v>136.55699999999999</v>
      </c>
      <c r="DM300">
        <v>80.34</v>
      </c>
      <c r="DT300">
        <v>188.55199999999999</v>
      </c>
    </row>
    <row r="301" spans="1:124" x14ac:dyDescent="0.35">
      <c r="A301">
        <v>180.101</v>
      </c>
      <c r="H301">
        <v>153.273</v>
      </c>
      <c r="BM301">
        <v>45.472999999999999</v>
      </c>
      <c r="BV301">
        <v>136.43299999999999</v>
      </c>
      <c r="DM301">
        <v>177.81800000000001</v>
      </c>
      <c r="DT301">
        <v>188.405</v>
      </c>
    </row>
    <row r="302" spans="1:124" x14ac:dyDescent="0.35">
      <c r="A302">
        <v>76.844999999999999</v>
      </c>
      <c r="H302">
        <v>152.97200000000001</v>
      </c>
      <c r="BM302">
        <v>85.272000000000006</v>
      </c>
      <c r="BV302">
        <v>136.40700000000001</v>
      </c>
      <c r="DM302">
        <v>191.19800000000001</v>
      </c>
      <c r="DT302">
        <v>187.547</v>
      </c>
    </row>
    <row r="303" spans="1:124" x14ac:dyDescent="0.35">
      <c r="A303">
        <v>144.78200000000001</v>
      </c>
      <c r="H303">
        <v>152.697</v>
      </c>
      <c r="BM303">
        <v>22.027999999999999</v>
      </c>
      <c r="BV303">
        <v>134.631</v>
      </c>
      <c r="DM303">
        <v>250.14099999999999</v>
      </c>
      <c r="DT303">
        <v>186.74299999999999</v>
      </c>
    </row>
    <row r="304" spans="1:124" x14ac:dyDescent="0.35">
      <c r="A304">
        <v>80.066000000000003</v>
      </c>
      <c r="H304">
        <v>152.685</v>
      </c>
      <c r="BM304">
        <v>128.94900000000001</v>
      </c>
      <c r="BV304">
        <v>134.43100000000001</v>
      </c>
      <c r="DM304">
        <v>291.05599999999998</v>
      </c>
      <c r="DT304">
        <v>186.06800000000001</v>
      </c>
    </row>
    <row r="305" spans="1:124" x14ac:dyDescent="0.35">
      <c r="A305">
        <v>26.965</v>
      </c>
      <c r="H305">
        <v>152.09899999999999</v>
      </c>
      <c r="BM305">
        <v>228.42599999999999</v>
      </c>
      <c r="BV305">
        <v>134.09700000000001</v>
      </c>
      <c r="DM305">
        <v>331.423</v>
      </c>
      <c r="DT305">
        <v>185.79300000000001</v>
      </c>
    </row>
    <row r="306" spans="1:124" x14ac:dyDescent="0.35">
      <c r="A306">
        <v>71.897000000000006</v>
      </c>
      <c r="H306">
        <v>151.809</v>
      </c>
      <c r="BM306">
        <v>147.078</v>
      </c>
      <c r="BV306">
        <v>133.62100000000001</v>
      </c>
      <c r="DM306">
        <v>398.01499999999999</v>
      </c>
      <c r="DT306">
        <v>185.63200000000001</v>
      </c>
    </row>
    <row r="307" spans="1:124" x14ac:dyDescent="0.35">
      <c r="A307" s="8">
        <v>68.88</v>
      </c>
      <c r="H307" s="8">
        <v>151.566</v>
      </c>
      <c r="BM307">
        <v>185.97900000000001</v>
      </c>
      <c r="BV307">
        <v>133.46799999999999</v>
      </c>
      <c r="DM307">
        <v>127.453</v>
      </c>
      <c r="DT307">
        <v>184.92</v>
      </c>
    </row>
    <row r="308" spans="1:124" x14ac:dyDescent="0.35">
      <c r="A308" s="8">
        <v>140.54599999999999</v>
      </c>
      <c r="H308">
        <v>151.18899999999999</v>
      </c>
      <c r="BM308">
        <v>111.874</v>
      </c>
      <c r="BV308">
        <v>133.08000000000001</v>
      </c>
      <c r="DM308">
        <v>120.479</v>
      </c>
      <c r="DT308">
        <v>184.876</v>
      </c>
    </row>
    <row r="309" spans="1:124" x14ac:dyDescent="0.35">
      <c r="A309" s="8">
        <v>239.18299999999999</v>
      </c>
      <c r="H309">
        <v>150.77199999999999</v>
      </c>
      <c r="BM309">
        <v>208.517</v>
      </c>
      <c r="BV309">
        <v>132.952</v>
      </c>
      <c r="DM309">
        <v>190.03100000000001</v>
      </c>
      <c r="DT309">
        <v>184.51</v>
      </c>
    </row>
    <row r="310" spans="1:124" x14ac:dyDescent="0.35">
      <c r="A310" s="8">
        <v>142.40199999999999</v>
      </c>
      <c r="H310">
        <v>150.173</v>
      </c>
      <c r="BM310">
        <v>129.428</v>
      </c>
      <c r="BV310">
        <v>132.786</v>
      </c>
      <c r="DM310">
        <v>219.53399999999999</v>
      </c>
      <c r="DT310">
        <v>183.44900000000001</v>
      </c>
    </row>
    <row r="311" spans="1:124" x14ac:dyDescent="0.35">
      <c r="A311" s="8">
        <v>214.41200000000001</v>
      </c>
      <c r="H311">
        <v>149.97300000000001</v>
      </c>
      <c r="I311">
        <f>323*2</f>
        <v>646</v>
      </c>
      <c r="J311">
        <v>22</v>
      </c>
      <c r="BM311">
        <v>166.14099999999999</v>
      </c>
      <c r="BV311">
        <v>132.71899999999999</v>
      </c>
      <c r="DM311">
        <v>257.38799999999998</v>
      </c>
      <c r="DT311">
        <v>182.398</v>
      </c>
    </row>
    <row r="312" spans="1:124" x14ac:dyDescent="0.35">
      <c r="A312">
        <v>98.644999999999996</v>
      </c>
      <c r="H312">
        <v>149.714</v>
      </c>
      <c r="BM312">
        <v>113.35</v>
      </c>
      <c r="BV312">
        <v>132.441</v>
      </c>
      <c r="DM312">
        <v>324.29700000000003</v>
      </c>
      <c r="DT312">
        <v>181.30199999999999</v>
      </c>
    </row>
    <row r="313" spans="1:124" x14ac:dyDescent="0.35">
      <c r="A313">
        <v>88.497</v>
      </c>
      <c r="H313">
        <v>149.36600000000001</v>
      </c>
      <c r="BM313">
        <v>46.42</v>
      </c>
      <c r="BV313">
        <v>131.64599999999999</v>
      </c>
      <c r="DM313">
        <v>61.027999999999999</v>
      </c>
      <c r="DT313">
        <v>181.19200000000001</v>
      </c>
    </row>
    <row r="314" spans="1:124" x14ac:dyDescent="0.35">
      <c r="A314">
        <v>71.435000000000002</v>
      </c>
      <c r="H314">
        <v>149.18199999999999</v>
      </c>
      <c r="BM314">
        <v>61.375</v>
      </c>
      <c r="BV314">
        <v>131.595</v>
      </c>
      <c r="DM314">
        <v>81.087999999999994</v>
      </c>
      <c r="DT314">
        <v>181.12700000000001</v>
      </c>
    </row>
    <row r="315" spans="1:124" x14ac:dyDescent="0.35">
      <c r="A315">
        <v>211.886</v>
      </c>
      <c r="H315">
        <v>148.922</v>
      </c>
      <c r="BM315">
        <v>82.125</v>
      </c>
      <c r="BV315">
        <v>131.29400000000001</v>
      </c>
      <c r="DM315">
        <v>136.53200000000001</v>
      </c>
      <c r="DT315">
        <v>180.53700000000001</v>
      </c>
    </row>
    <row r="316" spans="1:124" x14ac:dyDescent="0.35">
      <c r="A316">
        <v>112.303</v>
      </c>
      <c r="H316" s="8">
        <v>148.83799999999999</v>
      </c>
      <c r="BM316">
        <v>55.518000000000001</v>
      </c>
      <c r="BV316">
        <v>131.077</v>
      </c>
      <c r="DM316">
        <v>169.81</v>
      </c>
      <c r="DT316">
        <v>180.065</v>
      </c>
    </row>
    <row r="317" spans="1:124" x14ac:dyDescent="0.35">
      <c r="A317">
        <v>185.26599999999999</v>
      </c>
      <c r="H317">
        <v>148.511</v>
      </c>
      <c r="BM317">
        <v>45.113</v>
      </c>
      <c r="BV317">
        <v>130.73400000000001</v>
      </c>
      <c r="DM317">
        <v>246.44399999999999</v>
      </c>
      <c r="DT317">
        <v>180.036</v>
      </c>
    </row>
    <row r="318" spans="1:124" x14ac:dyDescent="0.35">
      <c r="A318">
        <v>36.277000000000001</v>
      </c>
      <c r="H318">
        <v>148.11099999999999</v>
      </c>
      <c r="BM318">
        <v>50.585999999999999</v>
      </c>
      <c r="BV318">
        <v>130.27699999999999</v>
      </c>
      <c r="DM318">
        <v>71.510000000000005</v>
      </c>
      <c r="DT318">
        <v>179.92400000000001</v>
      </c>
    </row>
    <row r="319" spans="1:124" x14ac:dyDescent="0.35">
      <c r="A319">
        <v>166.86500000000001</v>
      </c>
      <c r="H319">
        <v>147.82300000000001</v>
      </c>
      <c r="BM319">
        <v>84.23</v>
      </c>
      <c r="BV319">
        <v>129.96700000000001</v>
      </c>
      <c r="DM319">
        <v>100.741</v>
      </c>
      <c r="DT319">
        <v>179.489</v>
      </c>
    </row>
    <row r="320" spans="1:124" x14ac:dyDescent="0.35">
      <c r="A320" s="8">
        <v>307.13499999999999</v>
      </c>
      <c r="H320">
        <v>147.64500000000001</v>
      </c>
      <c r="BM320">
        <v>181.54900000000001</v>
      </c>
      <c r="BV320">
        <v>129.785</v>
      </c>
      <c r="DM320">
        <v>136.71799999999999</v>
      </c>
      <c r="DT320">
        <v>179.00700000000001</v>
      </c>
    </row>
    <row r="321" spans="1:124" x14ac:dyDescent="0.35">
      <c r="A321" s="8">
        <v>210.541</v>
      </c>
      <c r="H321">
        <v>147.13999999999999</v>
      </c>
      <c r="BM321">
        <v>106.753</v>
      </c>
      <c r="BV321">
        <v>129.774</v>
      </c>
      <c r="DM321">
        <v>211.52199999999999</v>
      </c>
      <c r="DT321">
        <v>177.81800000000001</v>
      </c>
    </row>
    <row r="322" spans="1:124" x14ac:dyDescent="0.35">
      <c r="A322" s="8">
        <v>280.92700000000002</v>
      </c>
      <c r="H322">
        <v>147.08699999999999</v>
      </c>
      <c r="BM322">
        <v>123.878</v>
      </c>
      <c r="BV322">
        <v>129.428</v>
      </c>
      <c r="DM322">
        <v>60.444000000000003</v>
      </c>
      <c r="DT322">
        <v>177.80600000000001</v>
      </c>
    </row>
    <row r="323" spans="1:124" x14ac:dyDescent="0.35">
      <c r="A323">
        <v>154.68100000000001</v>
      </c>
      <c r="H323">
        <v>146.99600000000001</v>
      </c>
      <c r="BM323">
        <v>33.988999999999997</v>
      </c>
      <c r="BV323">
        <v>129.369</v>
      </c>
      <c r="DM323">
        <v>92.587000000000003</v>
      </c>
      <c r="DT323">
        <v>177.715</v>
      </c>
    </row>
    <row r="324" spans="1:124" x14ac:dyDescent="0.35">
      <c r="A324">
        <v>283.07499999999999</v>
      </c>
      <c r="H324" s="8">
        <v>146.96299999999999</v>
      </c>
      <c r="BM324">
        <v>132.71899999999999</v>
      </c>
      <c r="BV324">
        <v>128.94900000000001</v>
      </c>
      <c r="DM324">
        <v>166.00200000000001</v>
      </c>
      <c r="DT324">
        <v>177.696</v>
      </c>
    </row>
    <row r="325" spans="1:124" x14ac:dyDescent="0.35">
      <c r="A325">
        <v>188.42699999999999</v>
      </c>
      <c r="H325">
        <v>146.88</v>
      </c>
      <c r="BM325">
        <v>56.496000000000002</v>
      </c>
      <c r="BV325">
        <v>128.78</v>
      </c>
      <c r="DM325">
        <v>38.973999999999997</v>
      </c>
      <c r="DT325">
        <v>177.678</v>
      </c>
    </row>
    <row r="326" spans="1:124" x14ac:dyDescent="0.35">
      <c r="A326">
        <v>261.63499999999999</v>
      </c>
      <c r="H326">
        <v>146.84200000000001</v>
      </c>
      <c r="BM326">
        <v>76.802999999999997</v>
      </c>
      <c r="BV326">
        <v>128.71</v>
      </c>
      <c r="DM326">
        <v>115.69799999999999</v>
      </c>
      <c r="DT326">
        <v>176.119</v>
      </c>
    </row>
    <row r="327" spans="1:124" x14ac:dyDescent="0.35">
      <c r="A327">
        <v>145.01499999999999</v>
      </c>
      <c r="H327">
        <v>145.70099999999999</v>
      </c>
      <c r="BM327">
        <v>102.697</v>
      </c>
      <c r="BV327">
        <v>127.995</v>
      </c>
      <c r="DM327">
        <v>77.180000000000007</v>
      </c>
      <c r="DT327">
        <v>175.614</v>
      </c>
    </row>
    <row r="328" spans="1:124" x14ac:dyDescent="0.35">
      <c r="A328">
        <v>47.759</v>
      </c>
      <c r="H328">
        <v>145.67599999999999</v>
      </c>
      <c r="BM328">
        <v>31.283000000000001</v>
      </c>
      <c r="BV328">
        <v>127.98</v>
      </c>
      <c r="DM328">
        <v>275.65100000000001</v>
      </c>
      <c r="DT328">
        <v>175.41399999999999</v>
      </c>
    </row>
    <row r="329" spans="1:124" x14ac:dyDescent="0.35">
      <c r="A329">
        <v>115.696</v>
      </c>
      <c r="H329">
        <v>145.673</v>
      </c>
      <c r="BM329">
        <v>44.046999999999997</v>
      </c>
      <c r="BV329">
        <v>127.622</v>
      </c>
      <c r="DM329">
        <v>294.11399999999998</v>
      </c>
      <c r="DT329">
        <v>175.22200000000001</v>
      </c>
    </row>
    <row r="330" spans="1:124" x14ac:dyDescent="0.35">
      <c r="A330">
        <v>98.686000000000007</v>
      </c>
      <c r="H330">
        <v>145.655</v>
      </c>
      <c r="BM330">
        <v>77.983999999999995</v>
      </c>
      <c r="BV330">
        <v>127.2</v>
      </c>
      <c r="DM330">
        <v>251.64</v>
      </c>
      <c r="DT330">
        <v>174.40799999999999</v>
      </c>
    </row>
    <row r="331" spans="1:124" x14ac:dyDescent="0.35">
      <c r="A331">
        <v>39.5</v>
      </c>
      <c r="H331">
        <v>145.29900000000001</v>
      </c>
      <c r="BM331">
        <v>58.959000000000003</v>
      </c>
      <c r="BV331">
        <v>125.67</v>
      </c>
      <c r="DM331">
        <v>270.90800000000002</v>
      </c>
      <c r="DT331">
        <v>173.64099999999999</v>
      </c>
    </row>
    <row r="332" spans="1:124" x14ac:dyDescent="0.35">
      <c r="A332">
        <v>75.753</v>
      </c>
      <c r="H332">
        <v>145.02199999999999</v>
      </c>
      <c r="BM332">
        <v>20.495999999999999</v>
      </c>
      <c r="BV332">
        <v>124.64100000000001</v>
      </c>
      <c r="DM332">
        <v>222.91200000000001</v>
      </c>
      <c r="DT332">
        <v>173.571</v>
      </c>
    </row>
    <row r="333" spans="1:124" x14ac:dyDescent="0.35">
      <c r="A333">
        <v>42.823999999999998</v>
      </c>
      <c r="H333">
        <v>145.01499999999999</v>
      </c>
      <c r="BM333">
        <v>54.290999999999997</v>
      </c>
      <c r="BV333">
        <v>124.35</v>
      </c>
      <c r="DM333">
        <v>240.19399999999999</v>
      </c>
      <c r="DT333">
        <v>173.50299999999999</v>
      </c>
    </row>
    <row r="334" spans="1:124" x14ac:dyDescent="0.35">
      <c r="A334">
        <v>74.036000000000001</v>
      </c>
      <c r="H334">
        <v>144.88</v>
      </c>
      <c r="BM334">
        <v>24.437000000000001</v>
      </c>
      <c r="BV334">
        <v>124.155</v>
      </c>
      <c r="DM334">
        <v>201.90199999999999</v>
      </c>
      <c r="DT334">
        <v>173.21600000000001</v>
      </c>
    </row>
    <row r="335" spans="1:124" x14ac:dyDescent="0.35">
      <c r="A335">
        <v>58.776000000000003</v>
      </c>
      <c r="H335">
        <v>144.78200000000001</v>
      </c>
      <c r="BM335">
        <v>20.763000000000002</v>
      </c>
      <c r="BV335">
        <v>124.00700000000001</v>
      </c>
      <c r="DM335">
        <v>220.989</v>
      </c>
      <c r="DT335">
        <v>173.083</v>
      </c>
    </row>
    <row r="336" spans="1:124" x14ac:dyDescent="0.35">
      <c r="A336">
        <v>98.653999999999996</v>
      </c>
      <c r="H336">
        <v>144.59399999999999</v>
      </c>
      <c r="BM336">
        <v>20.015000000000001</v>
      </c>
      <c r="BV336">
        <v>123.88200000000001</v>
      </c>
      <c r="DM336">
        <v>20.311</v>
      </c>
      <c r="DT336">
        <v>172.827</v>
      </c>
    </row>
    <row r="337" spans="1:124" x14ac:dyDescent="0.35">
      <c r="A337">
        <v>121.19799999999999</v>
      </c>
      <c r="H337" s="8">
        <v>144.25899999999999</v>
      </c>
      <c r="BM337">
        <v>81.36</v>
      </c>
      <c r="BV337">
        <v>123.878</v>
      </c>
      <c r="DM337">
        <v>29.016999999999999</v>
      </c>
      <c r="DT337">
        <v>172.411</v>
      </c>
    </row>
    <row r="338" spans="1:124" x14ac:dyDescent="0.35">
      <c r="A338">
        <v>167.30799999999999</v>
      </c>
      <c r="H338" s="8">
        <v>143.60900000000001</v>
      </c>
      <c r="BM338">
        <v>120.36799999999999</v>
      </c>
      <c r="BV338">
        <v>123.56</v>
      </c>
      <c r="DM338">
        <v>14.509</v>
      </c>
      <c r="DT338">
        <v>172.3</v>
      </c>
    </row>
    <row r="339" spans="1:124" x14ac:dyDescent="0.35">
      <c r="A339">
        <v>208.83</v>
      </c>
      <c r="H339" s="8">
        <v>143.446</v>
      </c>
      <c r="BM339">
        <v>77.686000000000007</v>
      </c>
      <c r="BV339">
        <v>123.31399999999999</v>
      </c>
      <c r="DM339">
        <v>49.725000000000001</v>
      </c>
      <c r="DT339">
        <v>171.90700000000001</v>
      </c>
    </row>
    <row r="340" spans="1:124" x14ac:dyDescent="0.35">
      <c r="A340">
        <v>108.892</v>
      </c>
      <c r="H340">
        <v>143.34899999999999</v>
      </c>
      <c r="BM340">
        <v>37.482999999999997</v>
      </c>
      <c r="BV340">
        <v>122.60899999999999</v>
      </c>
      <c r="DM340">
        <v>32.573</v>
      </c>
      <c r="DT340">
        <v>171.45099999999999</v>
      </c>
    </row>
    <row r="341" spans="1:124" x14ac:dyDescent="0.35">
      <c r="A341">
        <v>90.332999999999998</v>
      </c>
      <c r="H341" s="8">
        <v>143.27699999999999</v>
      </c>
      <c r="BM341">
        <v>47.81</v>
      </c>
      <c r="BV341">
        <v>122.20699999999999</v>
      </c>
      <c r="DM341">
        <v>20.728999999999999</v>
      </c>
      <c r="DT341">
        <v>171.334</v>
      </c>
    </row>
    <row r="342" spans="1:124" x14ac:dyDescent="0.35">
      <c r="A342">
        <v>66.900999999999996</v>
      </c>
      <c r="H342">
        <v>143.02099999999999</v>
      </c>
      <c r="BM342">
        <v>28.809000000000001</v>
      </c>
      <c r="BV342">
        <v>121.88500000000001</v>
      </c>
      <c r="DM342">
        <v>16.285</v>
      </c>
      <c r="DT342">
        <v>170.93700000000001</v>
      </c>
    </row>
    <row r="343" spans="1:124" x14ac:dyDescent="0.35">
      <c r="A343">
        <v>78.567999999999998</v>
      </c>
      <c r="H343">
        <v>142.76400000000001</v>
      </c>
      <c r="BM343">
        <v>66.197999999999993</v>
      </c>
      <c r="BV343">
        <v>121.831</v>
      </c>
      <c r="DM343">
        <v>186.06800000000001</v>
      </c>
      <c r="DT343">
        <v>170.87</v>
      </c>
    </row>
    <row r="344" spans="1:124" x14ac:dyDescent="0.35">
      <c r="A344">
        <v>127.003</v>
      </c>
      <c r="H344">
        <v>142.751</v>
      </c>
      <c r="BM344">
        <v>43.966999999999999</v>
      </c>
      <c r="BV344">
        <v>121.581</v>
      </c>
      <c r="DM344">
        <v>203.798</v>
      </c>
      <c r="DT344">
        <v>170.845</v>
      </c>
    </row>
    <row r="345" spans="1:124" x14ac:dyDescent="0.35">
      <c r="A345">
        <v>168.17400000000001</v>
      </c>
      <c r="H345">
        <v>142.66900000000001</v>
      </c>
      <c r="BM345">
        <v>39.01</v>
      </c>
      <c r="BV345">
        <v>120.381</v>
      </c>
      <c r="DM345">
        <v>282.15699999999998</v>
      </c>
      <c r="DT345">
        <v>170.47300000000001</v>
      </c>
    </row>
    <row r="346" spans="1:124" x14ac:dyDescent="0.35">
      <c r="A346">
        <v>20.957999999999998</v>
      </c>
      <c r="H346">
        <v>142.64599999999999</v>
      </c>
      <c r="BM346">
        <v>104.14700000000001</v>
      </c>
      <c r="BV346">
        <v>120.36799999999999</v>
      </c>
      <c r="DM346">
        <v>376.88600000000002</v>
      </c>
      <c r="DT346">
        <v>170.47200000000001</v>
      </c>
    </row>
    <row r="347" spans="1:124" x14ac:dyDescent="0.35">
      <c r="A347">
        <v>171.358</v>
      </c>
      <c r="H347" s="8">
        <v>142.40199999999999</v>
      </c>
      <c r="BM347">
        <v>143.03700000000001</v>
      </c>
      <c r="BV347">
        <v>120.08</v>
      </c>
      <c r="DM347">
        <v>179.00700000000001</v>
      </c>
      <c r="DT347">
        <v>169.83199999999999</v>
      </c>
    </row>
    <row r="348" spans="1:124" x14ac:dyDescent="0.35">
      <c r="A348">
        <v>187.352</v>
      </c>
      <c r="H348">
        <v>141.85</v>
      </c>
      <c r="BM348">
        <v>24.83</v>
      </c>
      <c r="BV348">
        <v>119.60899999999999</v>
      </c>
      <c r="DM348">
        <v>193.31700000000001</v>
      </c>
      <c r="DT348">
        <v>169.81</v>
      </c>
    </row>
    <row r="349" spans="1:124" x14ac:dyDescent="0.35">
      <c r="A349">
        <v>235.20099999999999</v>
      </c>
      <c r="H349">
        <v>141.24</v>
      </c>
      <c r="BM349">
        <v>65.064999999999998</v>
      </c>
      <c r="BV349">
        <v>119.468</v>
      </c>
      <c r="DM349">
        <v>272.60500000000002</v>
      </c>
      <c r="DT349">
        <v>169.51400000000001</v>
      </c>
    </row>
    <row r="350" spans="1:124" x14ac:dyDescent="0.35">
      <c r="A350">
        <v>274.01400000000001</v>
      </c>
      <c r="H350">
        <v>141.15600000000001</v>
      </c>
      <c r="BM350">
        <v>102.202</v>
      </c>
      <c r="BV350">
        <v>119.467</v>
      </c>
      <c r="DM350">
        <v>368.03300000000002</v>
      </c>
      <c r="DT350">
        <v>169.50299999999999</v>
      </c>
    </row>
    <row r="351" spans="1:124" x14ac:dyDescent="0.35">
      <c r="A351">
        <v>152.09899999999999</v>
      </c>
      <c r="H351">
        <v>140.81200000000001</v>
      </c>
      <c r="BM351">
        <v>72.733999999999995</v>
      </c>
      <c r="BV351">
        <v>119.315</v>
      </c>
      <c r="DM351">
        <v>146.72800000000001</v>
      </c>
      <c r="DT351">
        <v>169.429</v>
      </c>
    </row>
    <row r="352" spans="1:124" x14ac:dyDescent="0.35">
      <c r="A352">
        <v>170.74299999999999</v>
      </c>
      <c r="H352" s="8">
        <v>140.572</v>
      </c>
      <c r="BM352">
        <v>113.82</v>
      </c>
      <c r="BV352">
        <v>118.872</v>
      </c>
      <c r="DM352">
        <v>307.34699999999998</v>
      </c>
      <c r="DT352">
        <v>169.416</v>
      </c>
    </row>
    <row r="353" spans="1:124" x14ac:dyDescent="0.35">
      <c r="A353">
        <v>217.04499999999999</v>
      </c>
      <c r="H353" s="8">
        <v>140.54599999999999</v>
      </c>
      <c r="BM353">
        <v>42.97</v>
      </c>
      <c r="BV353">
        <v>117.93600000000001</v>
      </c>
      <c r="DM353">
        <v>36.036000000000001</v>
      </c>
      <c r="DT353">
        <v>169.33099999999999</v>
      </c>
    </row>
    <row r="354" spans="1:124" x14ac:dyDescent="0.35">
      <c r="A354">
        <v>258.07400000000001</v>
      </c>
      <c r="H354">
        <v>140.38300000000001</v>
      </c>
      <c r="BM354">
        <v>92.108000000000004</v>
      </c>
      <c r="BV354">
        <v>117.86799999999999</v>
      </c>
      <c r="DM354">
        <v>93.036000000000001</v>
      </c>
      <c r="DT354">
        <v>169.02199999999999</v>
      </c>
    </row>
    <row r="355" spans="1:124" x14ac:dyDescent="0.35">
      <c r="A355">
        <v>37.959000000000003</v>
      </c>
      <c r="H355">
        <v>139.142</v>
      </c>
      <c r="BM355">
        <v>49.670999999999999</v>
      </c>
      <c r="BV355">
        <v>117.596</v>
      </c>
      <c r="DM355">
        <v>192.45</v>
      </c>
      <c r="DT355">
        <v>168.941</v>
      </c>
    </row>
    <row r="356" spans="1:124" x14ac:dyDescent="0.35">
      <c r="A356">
        <v>76.616</v>
      </c>
      <c r="H356">
        <v>138.809</v>
      </c>
      <c r="BM356">
        <v>40.844999999999999</v>
      </c>
      <c r="BV356">
        <v>117.297</v>
      </c>
      <c r="DM356">
        <v>80.091999999999999</v>
      </c>
      <c r="DT356">
        <v>168.636</v>
      </c>
    </row>
    <row r="357" spans="1:124" x14ac:dyDescent="0.35">
      <c r="A357">
        <v>122.258</v>
      </c>
      <c r="H357">
        <v>138.64500000000001</v>
      </c>
      <c r="BM357">
        <v>59.58</v>
      </c>
      <c r="BV357">
        <v>117.03100000000001</v>
      </c>
      <c r="DM357">
        <v>98.703999999999994</v>
      </c>
      <c r="DT357">
        <v>167.84100000000001</v>
      </c>
    </row>
    <row r="358" spans="1:124" x14ac:dyDescent="0.35">
      <c r="A358">
        <v>49.323</v>
      </c>
      <c r="H358">
        <v>138.5</v>
      </c>
      <c r="BM358">
        <v>276.60700000000003</v>
      </c>
      <c r="BV358">
        <v>116.85599999999999</v>
      </c>
      <c r="DM358">
        <v>85.134</v>
      </c>
      <c r="DT358">
        <v>167.01400000000001</v>
      </c>
    </row>
    <row r="359" spans="1:124" x14ac:dyDescent="0.35">
      <c r="A359">
        <v>92.456999999999994</v>
      </c>
      <c r="H359">
        <v>138.30199999999999</v>
      </c>
      <c r="BM359">
        <v>186.773</v>
      </c>
      <c r="BV359">
        <v>116.223</v>
      </c>
      <c r="DM359">
        <v>177.715</v>
      </c>
      <c r="DT359">
        <v>166.51599999999999</v>
      </c>
    </row>
    <row r="360" spans="1:124" x14ac:dyDescent="0.35">
      <c r="A360">
        <v>46.134999999999998</v>
      </c>
      <c r="H360">
        <v>137.91200000000001</v>
      </c>
      <c r="BM360">
        <v>232.839</v>
      </c>
      <c r="BV360">
        <v>116.176</v>
      </c>
      <c r="DM360">
        <v>305.67</v>
      </c>
      <c r="DT360">
        <v>166.309</v>
      </c>
    </row>
    <row r="361" spans="1:124" x14ac:dyDescent="0.35">
      <c r="A361">
        <v>53.433999999999997</v>
      </c>
      <c r="H361">
        <v>137.874</v>
      </c>
      <c r="BM361">
        <v>137.03100000000001</v>
      </c>
      <c r="BV361">
        <v>116.11199999999999</v>
      </c>
      <c r="DT361">
        <v>166.00200000000001</v>
      </c>
    </row>
    <row r="362" spans="1:124" x14ac:dyDescent="0.35">
      <c r="A362">
        <v>62.566000000000003</v>
      </c>
      <c r="H362">
        <v>137.46199999999999</v>
      </c>
      <c r="BM362">
        <v>54.71</v>
      </c>
      <c r="BV362">
        <v>115.51300000000001</v>
      </c>
      <c r="DM362">
        <v>107.7</v>
      </c>
      <c r="DT362">
        <v>165.923</v>
      </c>
    </row>
    <row r="363" spans="1:124" x14ac:dyDescent="0.35">
      <c r="A363">
        <v>68.805999999999997</v>
      </c>
      <c r="H363">
        <v>137.18100000000001</v>
      </c>
      <c r="BM363">
        <v>37.246000000000002</v>
      </c>
      <c r="BV363">
        <v>115.458</v>
      </c>
      <c r="DM363">
        <v>36.453000000000003</v>
      </c>
      <c r="DT363">
        <v>165.78700000000001</v>
      </c>
    </row>
    <row r="364" spans="1:124" x14ac:dyDescent="0.35">
      <c r="A364">
        <v>195.417</v>
      </c>
      <c r="H364">
        <v>136.41200000000001</v>
      </c>
      <c r="BM364">
        <v>184.87799999999999</v>
      </c>
      <c r="BV364">
        <v>114.996</v>
      </c>
      <c r="DM364">
        <v>40.54</v>
      </c>
      <c r="DT364">
        <v>165.74100000000001</v>
      </c>
    </row>
    <row r="365" spans="1:124" x14ac:dyDescent="0.35">
      <c r="A365">
        <v>130.00700000000001</v>
      </c>
      <c r="H365" s="8">
        <v>136.024</v>
      </c>
      <c r="BM365">
        <v>97.222999999999999</v>
      </c>
      <c r="BV365">
        <v>114.637</v>
      </c>
      <c r="DM365">
        <v>52.895000000000003</v>
      </c>
      <c r="DT365">
        <v>165.399</v>
      </c>
    </row>
    <row r="366" spans="1:124" x14ac:dyDescent="0.35">
      <c r="A366">
        <v>147.08699999999999</v>
      </c>
      <c r="H366">
        <v>135.83799999999999</v>
      </c>
      <c r="BM366">
        <v>141.35499999999999</v>
      </c>
      <c r="BV366">
        <v>114.471</v>
      </c>
      <c r="DM366">
        <v>106.486</v>
      </c>
      <c r="DT366">
        <v>165.34700000000001</v>
      </c>
    </row>
    <row r="367" spans="1:124" x14ac:dyDescent="0.35">
      <c r="A367">
        <v>114.861</v>
      </c>
      <c r="H367">
        <v>135.673</v>
      </c>
      <c r="BM367">
        <v>83.617999999999995</v>
      </c>
      <c r="BV367">
        <v>114.26900000000001</v>
      </c>
      <c r="DM367">
        <v>15.967000000000001</v>
      </c>
      <c r="DT367">
        <v>165.328</v>
      </c>
    </row>
    <row r="368" spans="1:124" x14ac:dyDescent="0.35">
      <c r="A368">
        <v>113.01900000000001</v>
      </c>
      <c r="H368" s="8">
        <v>135.304</v>
      </c>
      <c r="BM368">
        <v>105.617</v>
      </c>
      <c r="BV368">
        <v>114.17</v>
      </c>
      <c r="DM368">
        <v>68.715999999999994</v>
      </c>
      <c r="DT368">
        <v>165.27500000000001</v>
      </c>
    </row>
    <row r="369" spans="1:124" x14ac:dyDescent="0.35">
      <c r="A369">
        <v>142.64599999999999</v>
      </c>
      <c r="H369">
        <v>135.11099999999999</v>
      </c>
      <c r="BM369">
        <v>315.55700000000002</v>
      </c>
      <c r="BV369">
        <v>113.928</v>
      </c>
      <c r="DM369">
        <v>61.238999999999997</v>
      </c>
      <c r="DT369">
        <v>164.71899999999999</v>
      </c>
    </row>
    <row r="370" spans="1:124" x14ac:dyDescent="0.35">
      <c r="A370">
        <v>76.989999999999995</v>
      </c>
      <c r="H370">
        <v>134.78</v>
      </c>
      <c r="BM370">
        <v>228.75</v>
      </c>
      <c r="BV370">
        <v>113.873</v>
      </c>
      <c r="DM370">
        <v>189.31700000000001</v>
      </c>
      <c r="DT370">
        <v>163.59100000000001</v>
      </c>
    </row>
    <row r="371" spans="1:124" x14ac:dyDescent="0.35">
      <c r="A371">
        <v>96.674000000000007</v>
      </c>
      <c r="H371">
        <v>134.71199999999999</v>
      </c>
      <c r="BM371">
        <v>273.20600000000002</v>
      </c>
      <c r="BV371">
        <v>113.82</v>
      </c>
      <c r="DM371">
        <v>119.276</v>
      </c>
      <c r="DT371">
        <v>162.93799999999999</v>
      </c>
    </row>
    <row r="372" spans="1:124" x14ac:dyDescent="0.35">
      <c r="A372">
        <v>27.212</v>
      </c>
      <c r="H372" s="8">
        <v>134.048</v>
      </c>
      <c r="BM372">
        <v>30.899000000000001</v>
      </c>
      <c r="BV372">
        <v>113.35</v>
      </c>
      <c r="DM372">
        <v>118.18600000000001</v>
      </c>
      <c r="DT372">
        <v>162.74299999999999</v>
      </c>
    </row>
    <row r="373" spans="1:124" x14ac:dyDescent="0.35">
      <c r="A373">
        <v>251.749</v>
      </c>
      <c r="H373">
        <v>133.49600000000001</v>
      </c>
      <c r="BM373">
        <v>232.28700000000001</v>
      </c>
      <c r="BV373">
        <v>113.00700000000001</v>
      </c>
      <c r="DM373">
        <v>73.465000000000003</v>
      </c>
      <c r="DT373">
        <v>161.94300000000001</v>
      </c>
    </row>
    <row r="374" spans="1:124" x14ac:dyDescent="0.35">
      <c r="A374">
        <v>190.62700000000001</v>
      </c>
      <c r="H374" s="8">
        <v>132.87799999999999</v>
      </c>
      <c r="BM374">
        <v>147.67599999999999</v>
      </c>
      <c r="BV374">
        <v>112.57599999999999</v>
      </c>
      <c r="DM374">
        <v>59.649000000000001</v>
      </c>
      <c r="DT374">
        <v>161.941</v>
      </c>
    </row>
    <row r="375" spans="1:124" x14ac:dyDescent="0.35">
      <c r="A375">
        <v>202.75700000000001</v>
      </c>
      <c r="H375">
        <v>132.76</v>
      </c>
      <c r="BM375">
        <v>193.16</v>
      </c>
      <c r="BV375">
        <v>111.874</v>
      </c>
      <c r="DM375">
        <v>39.191000000000003</v>
      </c>
      <c r="DT375">
        <v>160.58799999999999</v>
      </c>
    </row>
    <row r="376" spans="1:124" x14ac:dyDescent="0.35">
      <c r="A376">
        <v>248.90700000000001</v>
      </c>
      <c r="H376">
        <v>132.374</v>
      </c>
      <c r="BM376">
        <v>220.23</v>
      </c>
      <c r="BV376">
        <v>109.934</v>
      </c>
      <c r="DM376">
        <v>154.88499999999999</v>
      </c>
      <c r="DT376">
        <v>160.446</v>
      </c>
    </row>
    <row r="377" spans="1:124" x14ac:dyDescent="0.35">
      <c r="A377">
        <v>185.05</v>
      </c>
      <c r="H377">
        <v>132.149</v>
      </c>
      <c r="BM377">
        <v>129.774</v>
      </c>
      <c r="BV377">
        <v>109.925</v>
      </c>
      <c r="DM377">
        <v>29.417000000000002</v>
      </c>
      <c r="DT377">
        <v>160.31800000000001</v>
      </c>
    </row>
    <row r="378" spans="1:124" x14ac:dyDescent="0.35">
      <c r="A378">
        <v>197.423</v>
      </c>
      <c r="H378">
        <v>131.85300000000001</v>
      </c>
      <c r="BM378">
        <v>178.03200000000001</v>
      </c>
      <c r="BV378">
        <v>109.727</v>
      </c>
      <c r="DM378">
        <v>135.96700000000001</v>
      </c>
      <c r="DT378">
        <v>159.90100000000001</v>
      </c>
    </row>
    <row r="379" spans="1:124" x14ac:dyDescent="0.35">
      <c r="A379">
        <v>65.347999999999999</v>
      </c>
      <c r="H379">
        <v>131.345</v>
      </c>
      <c r="BM379">
        <v>89.35</v>
      </c>
      <c r="BV379">
        <v>109.44799999999999</v>
      </c>
      <c r="DM379">
        <v>185.63200000000001</v>
      </c>
      <c r="DT379">
        <v>159.779</v>
      </c>
    </row>
    <row r="380" spans="1:124" x14ac:dyDescent="0.35">
      <c r="A380">
        <v>52.911000000000001</v>
      </c>
      <c r="H380">
        <v>131.035</v>
      </c>
      <c r="BM380">
        <v>46.018000000000001</v>
      </c>
      <c r="BV380">
        <v>109.345</v>
      </c>
      <c r="DM380">
        <v>173.50299999999999</v>
      </c>
      <c r="DT380">
        <v>159.06100000000001</v>
      </c>
    </row>
    <row r="381" spans="1:124" x14ac:dyDescent="0.35">
      <c r="A381">
        <v>28.212</v>
      </c>
      <c r="H381">
        <v>130.773</v>
      </c>
      <c r="BM381">
        <v>47.789000000000001</v>
      </c>
      <c r="BV381">
        <v>109.33</v>
      </c>
      <c r="DM381">
        <v>77.521000000000001</v>
      </c>
      <c r="DT381">
        <v>158.94200000000001</v>
      </c>
    </row>
    <row r="382" spans="1:124" x14ac:dyDescent="0.35">
      <c r="A382">
        <v>80.198999999999998</v>
      </c>
      <c r="H382">
        <v>130.00700000000001</v>
      </c>
      <c r="BM382">
        <v>66.558999999999997</v>
      </c>
      <c r="BV382">
        <v>108.741</v>
      </c>
      <c r="DM382">
        <v>40.981999999999999</v>
      </c>
      <c r="DT382">
        <v>158.75399999999999</v>
      </c>
    </row>
    <row r="383" spans="1:124" x14ac:dyDescent="0.35">
      <c r="A383">
        <v>61.134999999999998</v>
      </c>
      <c r="H383">
        <v>129.273</v>
      </c>
      <c r="BM383">
        <v>101.37</v>
      </c>
      <c r="BV383">
        <v>108.56399999999999</v>
      </c>
      <c r="DM383">
        <v>69.308000000000007</v>
      </c>
      <c r="DT383">
        <v>158.15899999999999</v>
      </c>
    </row>
    <row r="384" spans="1:124" x14ac:dyDescent="0.35">
      <c r="A384">
        <v>19.565999999999999</v>
      </c>
      <c r="H384">
        <v>127.67700000000001</v>
      </c>
      <c r="BM384">
        <v>165.58199999999999</v>
      </c>
      <c r="BV384">
        <v>108.47199999999999</v>
      </c>
      <c r="DM384">
        <v>23.126999999999999</v>
      </c>
      <c r="DT384">
        <v>157.482</v>
      </c>
    </row>
    <row r="385" spans="1:124" x14ac:dyDescent="0.35">
      <c r="A385">
        <v>43.981999999999999</v>
      </c>
      <c r="H385">
        <v>127.432</v>
      </c>
      <c r="BM385">
        <v>214.81800000000001</v>
      </c>
      <c r="BV385">
        <v>108.133</v>
      </c>
      <c r="DM385">
        <v>16.413</v>
      </c>
      <c r="DT385">
        <v>156.233</v>
      </c>
    </row>
    <row r="386" spans="1:124" x14ac:dyDescent="0.35">
      <c r="A386">
        <v>207.25</v>
      </c>
      <c r="H386">
        <v>127.003</v>
      </c>
      <c r="BM386">
        <v>300.51900000000001</v>
      </c>
      <c r="BV386">
        <v>106.907</v>
      </c>
      <c r="DM386">
        <v>109.52</v>
      </c>
      <c r="DT386">
        <v>155.78</v>
      </c>
    </row>
    <row r="387" spans="1:124" x14ac:dyDescent="0.35">
      <c r="A387">
        <v>115.381</v>
      </c>
      <c r="H387">
        <v>126.90900000000001</v>
      </c>
      <c r="BM387">
        <v>39.923000000000002</v>
      </c>
      <c r="BV387">
        <v>106.753</v>
      </c>
      <c r="DM387">
        <v>227.16300000000001</v>
      </c>
      <c r="DT387">
        <v>154.99299999999999</v>
      </c>
    </row>
    <row r="388" spans="1:124" x14ac:dyDescent="0.35">
      <c r="A388">
        <v>184.41</v>
      </c>
      <c r="H388">
        <v>126.717</v>
      </c>
      <c r="BM388">
        <v>98.206999999999994</v>
      </c>
      <c r="BV388">
        <v>106.324</v>
      </c>
      <c r="DM388">
        <v>96.79</v>
      </c>
      <c r="DT388">
        <v>154.934</v>
      </c>
    </row>
    <row r="389" spans="1:124" x14ac:dyDescent="0.35">
      <c r="A389">
        <v>120.93300000000001</v>
      </c>
      <c r="H389">
        <v>126.678</v>
      </c>
      <c r="BM389">
        <v>151.03</v>
      </c>
      <c r="BV389">
        <v>106.05800000000001</v>
      </c>
      <c r="DM389">
        <v>203.34899999999999</v>
      </c>
      <c r="DT389">
        <v>154.88499999999999</v>
      </c>
    </row>
    <row r="390" spans="1:124" x14ac:dyDescent="0.35">
      <c r="A390">
        <v>74.882999999999996</v>
      </c>
      <c r="H390">
        <v>126.65600000000001</v>
      </c>
      <c r="BM390">
        <v>235.357</v>
      </c>
      <c r="BV390">
        <v>105.687</v>
      </c>
      <c r="DM390">
        <v>97.316999999999993</v>
      </c>
      <c r="DT390">
        <v>154.78899999999999</v>
      </c>
    </row>
    <row r="391" spans="1:124" x14ac:dyDescent="0.35">
      <c r="A391">
        <v>45.859000000000002</v>
      </c>
      <c r="H391">
        <v>126.592</v>
      </c>
      <c r="BM391">
        <v>62.746000000000002</v>
      </c>
      <c r="BV391">
        <v>105.617</v>
      </c>
      <c r="DM391">
        <v>211.06100000000001</v>
      </c>
      <c r="DT391">
        <v>154.63</v>
      </c>
    </row>
    <row r="392" spans="1:124" x14ac:dyDescent="0.35">
      <c r="A392">
        <v>129.273</v>
      </c>
      <c r="H392">
        <v>126.34399999999999</v>
      </c>
      <c r="BM392">
        <v>117.03100000000001</v>
      </c>
      <c r="BV392">
        <v>105.16800000000001</v>
      </c>
      <c r="DM392">
        <v>57.764000000000003</v>
      </c>
      <c r="DT392">
        <v>154.47900000000001</v>
      </c>
    </row>
    <row r="393" spans="1:124" x14ac:dyDescent="0.35">
      <c r="A393">
        <v>37.29</v>
      </c>
      <c r="H393">
        <v>126.27500000000001</v>
      </c>
      <c r="BM393">
        <v>199.09299999999999</v>
      </c>
      <c r="BV393">
        <v>104.175</v>
      </c>
      <c r="DM393">
        <v>134.58699999999999</v>
      </c>
      <c r="DT393">
        <v>154.05699999999999</v>
      </c>
    </row>
    <row r="394" spans="1:124" x14ac:dyDescent="0.35">
      <c r="A394">
        <v>110.54900000000001</v>
      </c>
      <c r="H394">
        <v>126.155</v>
      </c>
      <c r="BM394">
        <v>55.029000000000003</v>
      </c>
      <c r="BV394">
        <v>104.16500000000001</v>
      </c>
      <c r="DM394">
        <v>108.16500000000001</v>
      </c>
      <c r="DT394">
        <v>153.946</v>
      </c>
    </row>
    <row r="395" spans="1:124" x14ac:dyDescent="0.35">
      <c r="A395">
        <v>53.582000000000001</v>
      </c>
      <c r="H395">
        <v>124.95699999999999</v>
      </c>
      <c r="BM395">
        <v>138.17400000000001</v>
      </c>
      <c r="BV395">
        <v>104.14700000000001</v>
      </c>
      <c r="DM395">
        <v>77.489000000000004</v>
      </c>
      <c r="DT395">
        <v>153.94</v>
      </c>
    </row>
    <row r="396" spans="1:124" x14ac:dyDescent="0.35">
      <c r="A396">
        <v>101.056</v>
      </c>
      <c r="H396">
        <v>124.91</v>
      </c>
      <c r="BM396">
        <v>85.411000000000001</v>
      </c>
      <c r="BV396">
        <v>103.943</v>
      </c>
      <c r="DM396">
        <v>202.392</v>
      </c>
      <c r="DT396">
        <v>152.857</v>
      </c>
    </row>
    <row r="397" spans="1:124" x14ac:dyDescent="0.35">
      <c r="A397">
        <v>246.16200000000001</v>
      </c>
      <c r="H397">
        <v>124.405</v>
      </c>
      <c r="BM397">
        <v>159.22499999999999</v>
      </c>
      <c r="BV397">
        <v>103.185</v>
      </c>
      <c r="DM397">
        <v>99.655000000000001</v>
      </c>
      <c r="DT397">
        <v>152.851</v>
      </c>
    </row>
    <row r="398" spans="1:124" x14ac:dyDescent="0.35">
      <c r="A398">
        <v>158.941</v>
      </c>
      <c r="H398">
        <v>123.741</v>
      </c>
      <c r="BM398">
        <v>127.98</v>
      </c>
      <c r="BV398">
        <v>103.152</v>
      </c>
      <c r="DM398">
        <v>137.38900000000001</v>
      </c>
      <c r="DT398">
        <v>152.392</v>
      </c>
    </row>
    <row r="399" spans="1:124" x14ac:dyDescent="0.35">
      <c r="A399">
        <v>231.041</v>
      </c>
      <c r="H399">
        <v>123.724</v>
      </c>
      <c r="BM399">
        <v>90.528000000000006</v>
      </c>
      <c r="BV399">
        <v>102.697</v>
      </c>
      <c r="DM399">
        <v>81.902000000000001</v>
      </c>
      <c r="DT399">
        <v>151.96700000000001</v>
      </c>
    </row>
    <row r="400" spans="1:124" x14ac:dyDescent="0.35">
      <c r="A400">
        <v>46.709000000000003</v>
      </c>
      <c r="H400">
        <v>123.72199999999999</v>
      </c>
      <c r="BM400">
        <v>317.548</v>
      </c>
      <c r="BV400">
        <v>102.43600000000001</v>
      </c>
      <c r="DM400">
        <v>55.512999999999998</v>
      </c>
      <c r="DT400">
        <v>151.88999999999999</v>
      </c>
    </row>
    <row r="401" spans="1:126" x14ac:dyDescent="0.35">
      <c r="A401">
        <v>200.05600000000001</v>
      </c>
      <c r="H401">
        <v>123.666</v>
      </c>
      <c r="BM401">
        <v>309.53100000000001</v>
      </c>
      <c r="BV401">
        <v>102.399</v>
      </c>
      <c r="DM401">
        <v>92.272999999999996</v>
      </c>
      <c r="DT401">
        <v>151.71100000000001</v>
      </c>
    </row>
    <row r="402" spans="1:126" x14ac:dyDescent="0.35">
      <c r="A402">
        <v>109.824</v>
      </c>
      <c r="H402">
        <v>123.41800000000001</v>
      </c>
      <c r="BM402">
        <v>277.22199999999998</v>
      </c>
      <c r="BV402">
        <v>102.363</v>
      </c>
      <c r="DM402">
        <v>227.893</v>
      </c>
      <c r="DT402">
        <v>151.339</v>
      </c>
    </row>
    <row r="403" spans="1:126" x14ac:dyDescent="0.35">
      <c r="A403">
        <v>180.12200000000001</v>
      </c>
      <c r="H403">
        <v>123.40300000000001</v>
      </c>
      <c r="BM403">
        <v>76.957999999999998</v>
      </c>
      <c r="BV403">
        <v>102.202</v>
      </c>
      <c r="DM403">
        <v>140.143</v>
      </c>
      <c r="DT403">
        <v>151.17099999999999</v>
      </c>
    </row>
    <row r="404" spans="1:126" x14ac:dyDescent="0.35">
      <c r="A404">
        <v>164.56899999999999</v>
      </c>
      <c r="H404">
        <v>123.238</v>
      </c>
      <c r="BM404">
        <v>158.828</v>
      </c>
      <c r="BV404">
        <v>102.087</v>
      </c>
      <c r="DM404">
        <v>170.47300000000001</v>
      </c>
      <c r="DT404">
        <v>150.26499999999999</v>
      </c>
    </row>
    <row r="405" spans="1:126" x14ac:dyDescent="0.35">
      <c r="A405">
        <v>72.977000000000004</v>
      </c>
      <c r="H405">
        <v>123.167</v>
      </c>
      <c r="BM405">
        <v>148.739</v>
      </c>
      <c r="BV405">
        <v>102.03700000000001</v>
      </c>
      <c r="DM405">
        <v>35.606999999999999</v>
      </c>
      <c r="DT405">
        <v>148.666</v>
      </c>
      <c r="DU405">
        <f>267*2</f>
        <v>534</v>
      </c>
      <c r="DV405">
        <v>4</v>
      </c>
    </row>
    <row r="406" spans="1:126" x14ac:dyDescent="0.35">
      <c r="A406">
        <v>138.809</v>
      </c>
      <c r="H406">
        <v>122.883</v>
      </c>
      <c r="BM406">
        <v>204.41</v>
      </c>
      <c r="BV406">
        <v>101.80200000000001</v>
      </c>
      <c r="DM406">
        <v>169.33099999999999</v>
      </c>
      <c r="DT406">
        <v>148.46700000000001</v>
      </c>
    </row>
    <row r="407" spans="1:126" x14ac:dyDescent="0.35">
      <c r="A407">
        <v>94.662999999999997</v>
      </c>
      <c r="H407">
        <v>122.819</v>
      </c>
      <c r="BM407">
        <v>429.30200000000002</v>
      </c>
      <c r="BV407">
        <v>101.37</v>
      </c>
      <c r="DM407">
        <v>302.15199999999999</v>
      </c>
      <c r="DT407">
        <v>148.07499999999999</v>
      </c>
    </row>
    <row r="408" spans="1:126" x14ac:dyDescent="0.35">
      <c r="A408">
        <v>38.631</v>
      </c>
      <c r="H408" s="8">
        <v>122.364</v>
      </c>
      <c r="BM408">
        <v>422.48599999999999</v>
      </c>
      <c r="BV408">
        <v>100.798</v>
      </c>
      <c r="DM408">
        <v>222.22499999999999</v>
      </c>
      <c r="DT408">
        <v>147.82499999999999</v>
      </c>
    </row>
    <row r="409" spans="1:126" x14ac:dyDescent="0.35">
      <c r="A409">
        <v>77.825000000000003</v>
      </c>
      <c r="H409">
        <v>122.258</v>
      </c>
      <c r="BM409">
        <v>227.37700000000001</v>
      </c>
      <c r="BV409">
        <v>100.78</v>
      </c>
      <c r="DM409">
        <v>249.316</v>
      </c>
      <c r="DT409">
        <v>147.45500000000001</v>
      </c>
    </row>
    <row r="410" spans="1:126" x14ac:dyDescent="0.35">
      <c r="A410">
        <v>138.64500000000001</v>
      </c>
      <c r="H410">
        <v>122.098</v>
      </c>
      <c r="BM410">
        <v>221.93899999999999</v>
      </c>
      <c r="BV410">
        <v>100.422</v>
      </c>
      <c r="DM410">
        <v>138.71700000000001</v>
      </c>
      <c r="DT410">
        <v>146.858</v>
      </c>
    </row>
    <row r="411" spans="1:126" x14ac:dyDescent="0.35">
      <c r="A411">
        <v>27.010999999999999</v>
      </c>
      <c r="H411">
        <v>121.69799999999999</v>
      </c>
      <c r="BM411">
        <v>25.596</v>
      </c>
      <c r="BV411">
        <v>99.673000000000002</v>
      </c>
      <c r="DM411">
        <v>271.55500000000001</v>
      </c>
      <c r="DT411">
        <v>146.72800000000001</v>
      </c>
    </row>
    <row r="412" spans="1:126" x14ac:dyDescent="0.35">
      <c r="A412">
        <v>232.244</v>
      </c>
      <c r="H412">
        <v>121.52500000000001</v>
      </c>
      <c r="BM412">
        <v>153.227</v>
      </c>
      <c r="BV412">
        <v>99.126999999999995</v>
      </c>
      <c r="DM412">
        <v>190.67699999999999</v>
      </c>
      <c r="DT412">
        <v>146.709</v>
      </c>
    </row>
    <row r="413" spans="1:126" x14ac:dyDescent="0.35">
      <c r="A413">
        <v>145.67599999999999</v>
      </c>
      <c r="H413">
        <v>121.45</v>
      </c>
      <c r="BM413">
        <v>84.634</v>
      </c>
      <c r="BV413">
        <v>98.747</v>
      </c>
      <c r="DM413">
        <v>217.27099999999999</v>
      </c>
      <c r="DT413">
        <v>146.666</v>
      </c>
    </row>
    <row r="414" spans="1:126" x14ac:dyDescent="0.35">
      <c r="A414">
        <v>171.18700000000001</v>
      </c>
      <c r="H414">
        <v>121.209</v>
      </c>
      <c r="BM414">
        <v>42.48</v>
      </c>
      <c r="BV414">
        <v>98.617000000000004</v>
      </c>
      <c r="DM414">
        <v>135.21700000000001</v>
      </c>
      <c r="DT414">
        <v>146.60900000000001</v>
      </c>
    </row>
    <row r="415" spans="1:126" x14ac:dyDescent="0.35">
      <c r="A415">
        <v>114.51</v>
      </c>
      <c r="H415">
        <v>121.19799999999999</v>
      </c>
      <c r="BM415">
        <v>59.914999999999999</v>
      </c>
      <c r="BV415">
        <v>98.608000000000004</v>
      </c>
      <c r="DM415">
        <v>59.619</v>
      </c>
      <c r="DT415">
        <v>146.39599999999999</v>
      </c>
    </row>
    <row r="416" spans="1:126" x14ac:dyDescent="0.35">
      <c r="A416">
        <v>97.814999999999998</v>
      </c>
      <c r="H416">
        <v>121.075</v>
      </c>
      <c r="BM416">
        <v>201.977</v>
      </c>
      <c r="BV416">
        <v>98.444999999999993</v>
      </c>
      <c r="DM416">
        <v>83.3</v>
      </c>
      <c r="DT416">
        <v>146.26</v>
      </c>
    </row>
    <row r="417" spans="1:124" x14ac:dyDescent="0.35">
      <c r="A417">
        <v>41.366</v>
      </c>
      <c r="H417">
        <v>120.93300000000001</v>
      </c>
      <c r="BM417">
        <v>86.762</v>
      </c>
      <c r="BV417">
        <v>98.206999999999994</v>
      </c>
      <c r="DM417">
        <v>106.58199999999999</v>
      </c>
      <c r="DT417">
        <v>146.149</v>
      </c>
    </row>
    <row r="418" spans="1:124" x14ac:dyDescent="0.35">
      <c r="A418">
        <v>45.506</v>
      </c>
      <c r="H418">
        <v>120.72199999999999</v>
      </c>
      <c r="BM418">
        <v>136.40700000000001</v>
      </c>
      <c r="BV418">
        <v>97.222999999999999</v>
      </c>
      <c r="DM418">
        <v>68.507000000000005</v>
      </c>
      <c r="DT418">
        <v>146.029</v>
      </c>
    </row>
    <row r="419" spans="1:124" x14ac:dyDescent="0.35">
      <c r="A419">
        <v>210.71899999999999</v>
      </c>
      <c r="H419">
        <v>120.64</v>
      </c>
      <c r="BM419">
        <v>213.94200000000001</v>
      </c>
      <c r="BV419">
        <v>97.036000000000001</v>
      </c>
      <c r="DM419">
        <v>38.104999999999997</v>
      </c>
      <c r="DT419">
        <v>145.672</v>
      </c>
    </row>
    <row r="420" spans="1:124" x14ac:dyDescent="0.35">
      <c r="A420">
        <v>124.91</v>
      </c>
      <c r="H420">
        <v>120.32299999999999</v>
      </c>
      <c r="BM420">
        <v>153.649</v>
      </c>
      <c r="BV420">
        <v>96.781999999999996</v>
      </c>
      <c r="DM420">
        <v>141.928</v>
      </c>
      <c r="DT420">
        <v>145.32300000000001</v>
      </c>
    </row>
    <row r="421" spans="1:124" x14ac:dyDescent="0.35">
      <c r="A421">
        <v>150.173</v>
      </c>
      <c r="H421" s="8">
        <v>120.08799999999999</v>
      </c>
      <c r="BM421">
        <v>93.43</v>
      </c>
      <c r="BV421">
        <v>96.65</v>
      </c>
      <c r="DM421">
        <v>62.701000000000001</v>
      </c>
      <c r="DT421">
        <v>143.79300000000001</v>
      </c>
    </row>
    <row r="422" spans="1:124" x14ac:dyDescent="0.35">
      <c r="A422">
        <v>92.754999999999995</v>
      </c>
      <c r="H422">
        <v>120.005</v>
      </c>
      <c r="BM422">
        <v>54.603999999999999</v>
      </c>
      <c r="BV422">
        <v>96.543000000000006</v>
      </c>
      <c r="DM422">
        <v>62.948999999999998</v>
      </c>
      <c r="DT422">
        <v>143.56100000000001</v>
      </c>
    </row>
    <row r="423" spans="1:124" x14ac:dyDescent="0.35">
      <c r="A423">
        <v>66.635999999999996</v>
      </c>
      <c r="H423">
        <v>119.913</v>
      </c>
      <c r="BM423">
        <v>65.912999999999997</v>
      </c>
      <c r="BV423">
        <v>96.486000000000004</v>
      </c>
      <c r="DM423">
        <v>78.783000000000001</v>
      </c>
      <c r="DT423">
        <v>143.30600000000001</v>
      </c>
    </row>
    <row r="424" spans="1:124" x14ac:dyDescent="0.35">
      <c r="A424">
        <v>30.465</v>
      </c>
      <c r="H424" s="8">
        <v>119.56699999999999</v>
      </c>
      <c r="BM424">
        <v>23.91</v>
      </c>
      <c r="BV424">
        <v>96.322000000000003</v>
      </c>
      <c r="DM424">
        <v>172.411</v>
      </c>
      <c r="DT424">
        <v>143.066</v>
      </c>
    </row>
    <row r="425" spans="1:124" x14ac:dyDescent="0.35">
      <c r="A425">
        <v>49.021999999999998</v>
      </c>
      <c r="H425" s="8">
        <v>119.566</v>
      </c>
      <c r="BM425">
        <v>62.738999999999997</v>
      </c>
      <c r="BV425">
        <v>95.998999999999995</v>
      </c>
      <c r="DM425">
        <v>113.22799999999999</v>
      </c>
      <c r="DT425">
        <v>141.928</v>
      </c>
    </row>
    <row r="426" spans="1:124" x14ac:dyDescent="0.35">
      <c r="A426">
        <v>69.634</v>
      </c>
      <c r="H426">
        <v>118.982</v>
      </c>
      <c r="BM426">
        <v>128.78</v>
      </c>
      <c r="BV426">
        <v>95.736999999999995</v>
      </c>
      <c r="DM426">
        <v>171.334</v>
      </c>
      <c r="DT426">
        <v>141.38399999999999</v>
      </c>
    </row>
    <row r="427" spans="1:124" x14ac:dyDescent="0.35">
      <c r="A427">
        <v>115.79300000000001</v>
      </c>
      <c r="H427">
        <v>118.47499999999999</v>
      </c>
      <c r="BM427">
        <v>266.61700000000002</v>
      </c>
      <c r="BV427">
        <v>95.584000000000003</v>
      </c>
      <c r="DM427">
        <v>191.756</v>
      </c>
      <c r="DT427">
        <v>140.81700000000001</v>
      </c>
    </row>
    <row r="428" spans="1:124" x14ac:dyDescent="0.35">
      <c r="A428">
        <v>120.32299999999999</v>
      </c>
      <c r="H428">
        <v>118.452</v>
      </c>
      <c r="BM428">
        <v>152.82300000000001</v>
      </c>
      <c r="BV428">
        <v>94.003</v>
      </c>
      <c r="DM428">
        <v>81.414000000000001</v>
      </c>
      <c r="DT428">
        <v>140.55799999999999</v>
      </c>
    </row>
    <row r="429" spans="1:124" x14ac:dyDescent="0.35">
      <c r="A429">
        <v>160.096</v>
      </c>
      <c r="H429">
        <v>118.328</v>
      </c>
      <c r="BM429">
        <v>205.495</v>
      </c>
      <c r="BV429">
        <v>93.881</v>
      </c>
      <c r="DM429">
        <v>67.765000000000001</v>
      </c>
      <c r="DT429">
        <v>140.44900000000001</v>
      </c>
    </row>
    <row r="430" spans="1:124" x14ac:dyDescent="0.35">
      <c r="A430">
        <v>24.603999999999999</v>
      </c>
      <c r="H430">
        <v>118.268</v>
      </c>
      <c r="BM430">
        <v>67.614000000000004</v>
      </c>
      <c r="BV430">
        <v>93.769000000000005</v>
      </c>
      <c r="DM430">
        <v>48.965000000000003</v>
      </c>
      <c r="DT430">
        <v>140.143</v>
      </c>
    </row>
    <row r="431" spans="1:124" x14ac:dyDescent="0.35">
      <c r="A431">
        <v>69.903999999999996</v>
      </c>
      <c r="H431">
        <v>117.107</v>
      </c>
      <c r="BM431">
        <v>205.857</v>
      </c>
      <c r="BV431">
        <v>93.43</v>
      </c>
      <c r="DM431">
        <v>84.638000000000005</v>
      </c>
      <c r="DT431">
        <v>139.59299999999999</v>
      </c>
    </row>
    <row r="432" spans="1:124" x14ac:dyDescent="0.35">
      <c r="A432">
        <v>77.182000000000002</v>
      </c>
      <c r="H432">
        <v>117.053</v>
      </c>
      <c r="BM432">
        <v>91.736999999999995</v>
      </c>
      <c r="BV432">
        <v>92.938999999999993</v>
      </c>
      <c r="DM432">
        <v>84.46</v>
      </c>
      <c r="DT432">
        <v>139.44200000000001</v>
      </c>
    </row>
    <row r="433" spans="1:124" x14ac:dyDescent="0.35">
      <c r="A433">
        <v>116.723</v>
      </c>
      <c r="H433">
        <v>116.827</v>
      </c>
      <c r="BM433">
        <v>142.935</v>
      </c>
      <c r="BV433">
        <v>92.900999999999996</v>
      </c>
      <c r="DM433">
        <v>121.05200000000001</v>
      </c>
      <c r="DT433">
        <v>139.30500000000001</v>
      </c>
    </row>
    <row r="434" spans="1:124" x14ac:dyDescent="0.35">
      <c r="A434">
        <v>50.338000000000001</v>
      </c>
      <c r="H434">
        <v>116.733</v>
      </c>
      <c r="BM434">
        <v>143.642</v>
      </c>
      <c r="BV434">
        <v>92.450999999999993</v>
      </c>
      <c r="DM434">
        <v>133.69800000000001</v>
      </c>
      <c r="DT434">
        <v>139.126</v>
      </c>
    </row>
    <row r="435" spans="1:124" x14ac:dyDescent="0.35">
      <c r="A435">
        <v>55.27</v>
      </c>
      <c r="H435">
        <v>116.723</v>
      </c>
      <c r="BM435">
        <v>27.346</v>
      </c>
      <c r="BV435">
        <v>92.108000000000004</v>
      </c>
      <c r="DM435">
        <v>228.38399999999999</v>
      </c>
      <c r="DT435">
        <v>139.124</v>
      </c>
    </row>
    <row r="436" spans="1:124" x14ac:dyDescent="0.35">
      <c r="A436">
        <v>93.45</v>
      </c>
      <c r="H436">
        <v>116.593</v>
      </c>
      <c r="BM436">
        <v>79.067999999999998</v>
      </c>
      <c r="BV436">
        <v>91.736999999999995</v>
      </c>
      <c r="DM436">
        <v>175.614</v>
      </c>
      <c r="DT436">
        <v>139.042</v>
      </c>
    </row>
    <row r="437" spans="1:124" x14ac:dyDescent="0.35">
      <c r="A437">
        <v>34.96</v>
      </c>
      <c r="H437">
        <v>116.03100000000001</v>
      </c>
      <c r="BM437">
        <v>117.297</v>
      </c>
      <c r="BV437">
        <v>91.510999999999996</v>
      </c>
      <c r="DM437">
        <v>233.74600000000001</v>
      </c>
      <c r="DT437">
        <v>138.74100000000001</v>
      </c>
    </row>
    <row r="438" spans="1:124" x14ac:dyDescent="0.35">
      <c r="A438">
        <v>52.079000000000001</v>
      </c>
      <c r="H438">
        <v>115.983</v>
      </c>
      <c r="BM438">
        <v>64.793000000000006</v>
      </c>
      <c r="BV438">
        <v>91.168000000000006</v>
      </c>
      <c r="DM438">
        <v>15.568</v>
      </c>
      <c r="DT438">
        <v>138.71700000000001</v>
      </c>
    </row>
    <row r="439" spans="1:124" x14ac:dyDescent="0.35">
      <c r="A439">
        <v>44.082000000000001</v>
      </c>
      <c r="H439">
        <v>115.958</v>
      </c>
      <c r="BM439">
        <v>53.686999999999998</v>
      </c>
      <c r="BV439">
        <v>90.751000000000005</v>
      </c>
      <c r="DM439">
        <v>111.158</v>
      </c>
      <c r="DT439">
        <v>138.56299999999999</v>
      </c>
    </row>
    <row r="440" spans="1:124" x14ac:dyDescent="0.35">
      <c r="A440">
        <v>61.131999999999998</v>
      </c>
      <c r="H440">
        <v>115.79300000000001</v>
      </c>
      <c r="BM440">
        <v>83.397000000000006</v>
      </c>
      <c r="BV440">
        <v>90.582999999999998</v>
      </c>
      <c r="DM440">
        <v>63.344000000000001</v>
      </c>
      <c r="DT440">
        <v>137.447</v>
      </c>
    </row>
    <row r="441" spans="1:124" x14ac:dyDescent="0.35">
      <c r="A441">
        <v>101.366</v>
      </c>
      <c r="H441">
        <v>115.696</v>
      </c>
      <c r="BM441">
        <v>68.271000000000001</v>
      </c>
      <c r="BV441">
        <v>90.528000000000006</v>
      </c>
      <c r="DM441">
        <v>115.545</v>
      </c>
      <c r="DT441">
        <v>137.38900000000001</v>
      </c>
    </row>
    <row r="442" spans="1:124" x14ac:dyDescent="0.35">
      <c r="A442">
        <v>116.03100000000001</v>
      </c>
      <c r="H442">
        <v>115.49299999999999</v>
      </c>
      <c r="BM442">
        <v>67.236000000000004</v>
      </c>
      <c r="BV442">
        <v>89.951999999999998</v>
      </c>
      <c r="DM442">
        <v>95.537000000000006</v>
      </c>
      <c r="DT442">
        <v>137.31</v>
      </c>
    </row>
    <row r="443" spans="1:124" x14ac:dyDescent="0.35">
      <c r="A443">
        <v>170.39599999999999</v>
      </c>
      <c r="H443">
        <v>115.381</v>
      </c>
      <c r="BM443">
        <v>203.84700000000001</v>
      </c>
      <c r="BV443">
        <v>89.35</v>
      </c>
      <c r="DM443">
        <v>56.561</v>
      </c>
      <c r="DT443">
        <v>136.833</v>
      </c>
    </row>
    <row r="444" spans="1:124" x14ac:dyDescent="0.35">
      <c r="A444">
        <v>161.98500000000001</v>
      </c>
      <c r="H444">
        <v>114.861</v>
      </c>
      <c r="BM444">
        <v>129.785</v>
      </c>
      <c r="BV444">
        <v>88.210999999999999</v>
      </c>
      <c r="DM444">
        <v>102.486</v>
      </c>
      <c r="DT444">
        <v>136.71799999999999</v>
      </c>
    </row>
    <row r="445" spans="1:124" x14ac:dyDescent="0.35">
      <c r="A445">
        <v>202.47300000000001</v>
      </c>
      <c r="H445" s="8">
        <v>114.69</v>
      </c>
      <c r="BM445">
        <v>261.00400000000002</v>
      </c>
      <c r="BV445">
        <v>88.162000000000006</v>
      </c>
      <c r="DM445">
        <v>81.962000000000003</v>
      </c>
      <c r="DT445">
        <v>136.65</v>
      </c>
    </row>
    <row r="446" spans="1:124" x14ac:dyDescent="0.35">
      <c r="A446">
        <v>219.548</v>
      </c>
      <c r="H446">
        <v>114.51</v>
      </c>
      <c r="BM446">
        <v>140.01300000000001</v>
      </c>
      <c r="BV446">
        <v>88.052000000000007</v>
      </c>
      <c r="DM446">
        <v>47.027000000000001</v>
      </c>
      <c r="DT446">
        <v>136.53200000000001</v>
      </c>
    </row>
    <row r="447" spans="1:124" x14ac:dyDescent="0.35">
      <c r="A447">
        <v>33.985999999999997</v>
      </c>
      <c r="H447">
        <v>114.273</v>
      </c>
      <c r="BM447">
        <v>22.170999999999999</v>
      </c>
      <c r="BV447">
        <v>87.923000000000002</v>
      </c>
      <c r="DM447">
        <v>62.112000000000002</v>
      </c>
      <c r="DT447">
        <v>136.39699999999999</v>
      </c>
    </row>
    <row r="448" spans="1:124" x14ac:dyDescent="0.35">
      <c r="A448">
        <v>69.406999999999996</v>
      </c>
      <c r="H448">
        <v>114.191</v>
      </c>
      <c r="BM448">
        <v>124.64100000000001</v>
      </c>
      <c r="BV448">
        <v>87.847999999999999</v>
      </c>
      <c r="DM448">
        <v>382.65499999999997</v>
      </c>
      <c r="DT448">
        <v>136.286</v>
      </c>
    </row>
    <row r="449" spans="1:124" x14ac:dyDescent="0.35">
      <c r="A449">
        <v>233.626</v>
      </c>
      <c r="H449">
        <v>113.783</v>
      </c>
      <c r="BM449">
        <v>46.97</v>
      </c>
      <c r="BV449">
        <v>87.683000000000007</v>
      </c>
      <c r="DM449">
        <v>42.573</v>
      </c>
      <c r="DT449">
        <v>135.96700000000001</v>
      </c>
    </row>
    <row r="450" spans="1:124" x14ac:dyDescent="0.35">
      <c r="A450">
        <v>356.69</v>
      </c>
      <c r="H450" s="8">
        <v>113.761</v>
      </c>
      <c r="BM450">
        <v>180.578</v>
      </c>
      <c r="BV450">
        <v>87.531999999999996</v>
      </c>
      <c r="DM450">
        <v>97.66</v>
      </c>
      <c r="DT450">
        <v>135.755</v>
      </c>
    </row>
    <row r="451" spans="1:124" x14ac:dyDescent="0.35">
      <c r="A451">
        <v>266.00799999999998</v>
      </c>
      <c r="H451">
        <v>113.629</v>
      </c>
      <c r="BM451">
        <v>122.60899999999999</v>
      </c>
      <c r="BV451">
        <v>87.46</v>
      </c>
      <c r="DM451">
        <v>216.946</v>
      </c>
      <c r="DT451">
        <v>135.53800000000001</v>
      </c>
    </row>
    <row r="452" spans="1:124" x14ac:dyDescent="0.35">
      <c r="A452">
        <v>172.863</v>
      </c>
      <c r="H452">
        <v>113.49299999999999</v>
      </c>
      <c r="BM452">
        <v>248.828</v>
      </c>
      <c r="BV452">
        <v>87.373000000000005</v>
      </c>
      <c r="DM452">
        <v>332.99799999999999</v>
      </c>
      <c r="DT452">
        <v>135.38200000000001</v>
      </c>
    </row>
    <row r="453" spans="1:124" x14ac:dyDescent="0.35">
      <c r="A453">
        <v>194.42699999999999</v>
      </c>
      <c r="H453">
        <v>113.113</v>
      </c>
      <c r="BM453">
        <v>183.089</v>
      </c>
      <c r="BV453">
        <v>87.131</v>
      </c>
      <c r="DM453">
        <v>231.40600000000001</v>
      </c>
      <c r="DT453">
        <v>135.23599999999999</v>
      </c>
    </row>
    <row r="454" spans="1:124" x14ac:dyDescent="0.35">
      <c r="A454">
        <v>149.714</v>
      </c>
      <c r="H454" s="8">
        <v>113.095</v>
      </c>
      <c r="BM454">
        <v>306.81799999999998</v>
      </c>
      <c r="BV454">
        <v>87.045000000000002</v>
      </c>
      <c r="DM454">
        <v>250.81299999999999</v>
      </c>
      <c r="DT454">
        <v>135.21700000000001</v>
      </c>
    </row>
    <row r="455" spans="1:124" x14ac:dyDescent="0.35">
      <c r="A455">
        <v>39.909999999999997</v>
      </c>
      <c r="H455">
        <v>113.01900000000001</v>
      </c>
      <c r="BM455">
        <v>140.958</v>
      </c>
      <c r="BV455">
        <v>86.775000000000006</v>
      </c>
      <c r="DM455">
        <v>387.95800000000003</v>
      </c>
      <c r="DT455">
        <v>134.964</v>
      </c>
    </row>
    <row r="456" spans="1:124" x14ac:dyDescent="0.35">
      <c r="A456">
        <v>146.88</v>
      </c>
      <c r="H456" s="8">
        <v>112.617</v>
      </c>
      <c r="BM456">
        <v>67.688000000000002</v>
      </c>
      <c r="BV456">
        <v>86.762</v>
      </c>
      <c r="DM456">
        <v>303.51799999999997</v>
      </c>
      <c r="DT456">
        <v>134.84700000000001</v>
      </c>
    </row>
    <row r="457" spans="1:124" x14ac:dyDescent="0.35">
      <c r="A457">
        <v>60.308999999999997</v>
      </c>
      <c r="H457">
        <v>112.357</v>
      </c>
      <c r="BM457">
        <v>200.03399999999999</v>
      </c>
      <c r="BV457">
        <v>86.141999999999996</v>
      </c>
      <c r="DM457">
        <v>169.83199999999999</v>
      </c>
      <c r="DT457">
        <v>134.58699999999999</v>
      </c>
    </row>
    <row r="458" spans="1:124" x14ac:dyDescent="0.35">
      <c r="A458">
        <v>37.485999999999997</v>
      </c>
      <c r="H458">
        <v>112.303</v>
      </c>
      <c r="BM458">
        <v>80.807000000000002</v>
      </c>
      <c r="BV458">
        <v>85.912999999999997</v>
      </c>
      <c r="DM458">
        <v>53.908999999999999</v>
      </c>
      <c r="DT458">
        <v>133.69800000000001</v>
      </c>
    </row>
    <row r="459" spans="1:124" x14ac:dyDescent="0.35">
      <c r="A459">
        <v>55.8</v>
      </c>
      <c r="H459">
        <v>111.31399999999999</v>
      </c>
      <c r="BM459">
        <v>60.710999999999999</v>
      </c>
      <c r="BV459">
        <v>85.504999999999995</v>
      </c>
      <c r="DM459">
        <v>153.94</v>
      </c>
      <c r="DT459">
        <v>133.19999999999999</v>
      </c>
    </row>
    <row r="460" spans="1:124" x14ac:dyDescent="0.35">
      <c r="A460">
        <v>209.43100000000001</v>
      </c>
      <c r="H460">
        <v>111.288</v>
      </c>
      <c r="BM460">
        <v>133.08000000000001</v>
      </c>
      <c r="BV460">
        <v>85.477999999999994</v>
      </c>
      <c r="DM460">
        <v>136.65</v>
      </c>
      <c r="DT460">
        <v>133.03100000000001</v>
      </c>
    </row>
    <row r="461" spans="1:124" x14ac:dyDescent="0.35">
      <c r="A461">
        <v>341.17700000000002</v>
      </c>
      <c r="H461">
        <v>111.217</v>
      </c>
      <c r="BM461">
        <v>77.069000000000003</v>
      </c>
      <c r="BV461">
        <v>85.462999999999994</v>
      </c>
      <c r="DM461">
        <v>87.278999999999996</v>
      </c>
      <c r="DT461">
        <v>132.79499999999999</v>
      </c>
    </row>
    <row r="462" spans="1:124" x14ac:dyDescent="0.35">
      <c r="A462">
        <v>249.11500000000001</v>
      </c>
      <c r="H462">
        <v>111.16200000000001</v>
      </c>
      <c r="BM462">
        <v>22.766999999999999</v>
      </c>
      <c r="BV462">
        <v>85.411000000000001</v>
      </c>
      <c r="DM462">
        <v>219.477</v>
      </c>
      <c r="DT462">
        <v>132.65799999999999</v>
      </c>
    </row>
    <row r="463" spans="1:124" x14ac:dyDescent="0.35">
      <c r="A463">
        <v>20.905000000000001</v>
      </c>
      <c r="H463">
        <v>110.858</v>
      </c>
      <c r="BM463">
        <v>53.47</v>
      </c>
      <c r="BV463">
        <v>85.272000000000006</v>
      </c>
      <c r="DM463">
        <v>340.04300000000001</v>
      </c>
      <c r="DT463">
        <v>132.35300000000001</v>
      </c>
    </row>
    <row r="464" spans="1:124" x14ac:dyDescent="0.35">
      <c r="A464">
        <v>164.364</v>
      </c>
      <c r="H464">
        <v>110.712</v>
      </c>
      <c r="BM464">
        <v>59.521999999999998</v>
      </c>
      <c r="BV464">
        <v>84.787000000000006</v>
      </c>
      <c r="DM464">
        <v>239.99700000000001</v>
      </c>
      <c r="DT464">
        <v>132.185</v>
      </c>
    </row>
    <row r="465" spans="1:124" x14ac:dyDescent="0.35">
      <c r="A465">
        <v>289.33800000000002</v>
      </c>
      <c r="H465">
        <v>110.709</v>
      </c>
      <c r="BM465">
        <v>32.756</v>
      </c>
      <c r="BV465">
        <v>84.634</v>
      </c>
      <c r="DM465">
        <v>257.86900000000003</v>
      </c>
      <c r="DT465">
        <v>131.607</v>
      </c>
    </row>
    <row r="466" spans="1:124" x14ac:dyDescent="0.35">
      <c r="A466">
        <v>194.74799999999999</v>
      </c>
      <c r="H466">
        <v>110.54900000000001</v>
      </c>
      <c r="BM466">
        <v>39.625999999999998</v>
      </c>
      <c r="BV466">
        <v>84.486999999999995</v>
      </c>
      <c r="DM466">
        <v>136.39699999999999</v>
      </c>
      <c r="DT466">
        <v>130.98500000000001</v>
      </c>
    </row>
    <row r="467" spans="1:124" x14ac:dyDescent="0.35">
      <c r="A467">
        <v>147.82300000000001</v>
      </c>
      <c r="H467">
        <v>110.49</v>
      </c>
      <c r="BM467">
        <v>47.814</v>
      </c>
      <c r="BV467">
        <v>84.313000000000002</v>
      </c>
      <c r="DM467">
        <v>257.517</v>
      </c>
      <c r="DT467">
        <v>129.964</v>
      </c>
    </row>
    <row r="468" spans="1:124" x14ac:dyDescent="0.35">
      <c r="A468">
        <v>158.12299999999999</v>
      </c>
      <c r="H468">
        <v>110.44</v>
      </c>
      <c r="BM468">
        <v>114.996</v>
      </c>
      <c r="BV468">
        <v>84.23</v>
      </c>
      <c r="DM468">
        <v>160.31800000000001</v>
      </c>
      <c r="DT468">
        <v>129.916</v>
      </c>
    </row>
    <row r="469" spans="1:124" x14ac:dyDescent="0.35">
      <c r="A469">
        <v>76.28</v>
      </c>
      <c r="H469">
        <v>110.21</v>
      </c>
      <c r="BM469">
        <v>66.813000000000002</v>
      </c>
      <c r="BV469">
        <v>84.195999999999998</v>
      </c>
      <c r="DM469">
        <v>177.678</v>
      </c>
      <c r="DT469">
        <v>129.73599999999999</v>
      </c>
    </row>
    <row r="470" spans="1:124" x14ac:dyDescent="0.35">
      <c r="A470">
        <v>35.542000000000002</v>
      </c>
      <c r="H470">
        <v>110.099</v>
      </c>
      <c r="BM470">
        <v>84.486999999999995</v>
      </c>
      <c r="BV470">
        <v>84.103999999999999</v>
      </c>
      <c r="DM470">
        <v>122.84</v>
      </c>
      <c r="DT470">
        <v>127.453</v>
      </c>
    </row>
    <row r="471" spans="1:124" x14ac:dyDescent="0.35">
      <c r="A471">
        <v>93.356999999999999</v>
      </c>
      <c r="H471">
        <v>109.824</v>
      </c>
      <c r="BM471">
        <v>114.471</v>
      </c>
      <c r="BV471">
        <v>83.864999999999995</v>
      </c>
      <c r="DM471">
        <v>34.197000000000003</v>
      </c>
      <c r="DT471">
        <v>127.38800000000001</v>
      </c>
    </row>
    <row r="472" spans="1:124" x14ac:dyDescent="0.35">
      <c r="A472">
        <v>184.965</v>
      </c>
      <c r="H472" s="8">
        <v>109.07599999999999</v>
      </c>
      <c r="BM472">
        <v>190.83699999999999</v>
      </c>
      <c r="BV472">
        <v>83.617999999999995</v>
      </c>
      <c r="DM472">
        <v>44.548000000000002</v>
      </c>
      <c r="DT472">
        <v>127.31699999999999</v>
      </c>
    </row>
    <row r="473" spans="1:124" x14ac:dyDescent="0.35">
      <c r="A473">
        <v>59.277999999999999</v>
      </c>
      <c r="H473">
        <v>108.892</v>
      </c>
      <c r="BM473">
        <v>137.24</v>
      </c>
      <c r="BV473">
        <v>83.397000000000006</v>
      </c>
      <c r="DM473">
        <v>102.873</v>
      </c>
      <c r="DT473">
        <v>127.08199999999999</v>
      </c>
    </row>
    <row r="474" spans="1:124" x14ac:dyDescent="0.35">
      <c r="A474">
        <v>57.597999999999999</v>
      </c>
      <c r="H474">
        <v>108.458</v>
      </c>
      <c r="BM474">
        <v>164.095</v>
      </c>
      <c r="BV474">
        <v>83.281000000000006</v>
      </c>
      <c r="DM474">
        <v>84.308000000000007</v>
      </c>
      <c r="DT474">
        <v>126.69</v>
      </c>
    </row>
    <row r="475" spans="1:124" x14ac:dyDescent="0.35">
      <c r="A475">
        <v>82.784999999999997</v>
      </c>
      <c r="H475">
        <v>108.273</v>
      </c>
      <c r="BM475">
        <v>80.463999999999999</v>
      </c>
      <c r="BV475">
        <v>82.448999999999998</v>
      </c>
      <c r="DM475">
        <v>24.527000000000001</v>
      </c>
      <c r="DT475">
        <v>126.262</v>
      </c>
    </row>
    <row r="476" spans="1:124" x14ac:dyDescent="0.35">
      <c r="A476">
        <v>233.27099999999999</v>
      </c>
      <c r="H476">
        <v>108.25</v>
      </c>
      <c r="BM476">
        <v>36.359000000000002</v>
      </c>
      <c r="BV476">
        <v>82.394000000000005</v>
      </c>
      <c r="DM476">
        <v>71.688000000000002</v>
      </c>
      <c r="DT476">
        <v>125.792</v>
      </c>
    </row>
    <row r="477" spans="1:124" x14ac:dyDescent="0.35">
      <c r="A477">
        <v>126.717</v>
      </c>
      <c r="H477">
        <v>107.759</v>
      </c>
      <c r="BM477">
        <v>91.510999999999996</v>
      </c>
      <c r="BV477">
        <v>82.125</v>
      </c>
      <c r="DM477">
        <v>115.148</v>
      </c>
      <c r="DT477">
        <v>124.874</v>
      </c>
    </row>
    <row r="478" spans="1:124" x14ac:dyDescent="0.35">
      <c r="A478">
        <v>140.38300000000001</v>
      </c>
      <c r="H478">
        <v>107.19499999999999</v>
      </c>
      <c r="BM478">
        <v>145.89099999999999</v>
      </c>
      <c r="BV478">
        <v>81.867000000000004</v>
      </c>
      <c r="DM478">
        <v>125.792</v>
      </c>
      <c r="DT478">
        <v>124.01</v>
      </c>
    </row>
    <row r="479" spans="1:124" x14ac:dyDescent="0.35">
      <c r="A479">
        <v>222.077</v>
      </c>
      <c r="H479">
        <v>107.02500000000001</v>
      </c>
      <c r="BM479">
        <v>210.04900000000001</v>
      </c>
      <c r="BV479">
        <v>81.587999999999994</v>
      </c>
      <c r="DM479">
        <v>247.37700000000001</v>
      </c>
      <c r="DT479">
        <v>123.84699999999999</v>
      </c>
    </row>
    <row r="480" spans="1:124" x14ac:dyDescent="0.35">
      <c r="A480">
        <v>132.374</v>
      </c>
      <c r="H480">
        <v>106.604</v>
      </c>
      <c r="BM480">
        <v>222.23400000000001</v>
      </c>
      <c r="BV480">
        <v>81.515000000000001</v>
      </c>
      <c r="DM480">
        <v>267.16000000000003</v>
      </c>
      <c r="DT480">
        <v>123.703</v>
      </c>
    </row>
    <row r="481" spans="1:124" x14ac:dyDescent="0.35">
      <c r="A481">
        <v>116.733</v>
      </c>
      <c r="H481">
        <v>106.184</v>
      </c>
      <c r="BM481">
        <v>291.16800000000001</v>
      </c>
      <c r="BV481">
        <v>81.451999999999998</v>
      </c>
      <c r="DM481">
        <v>41.142000000000003</v>
      </c>
      <c r="DT481">
        <v>123.51600000000001</v>
      </c>
    </row>
    <row r="482" spans="1:124" x14ac:dyDescent="0.35">
      <c r="A482">
        <v>64.113</v>
      </c>
      <c r="H482">
        <v>105.72</v>
      </c>
      <c r="BM482">
        <v>293.27</v>
      </c>
      <c r="BV482">
        <v>81.396000000000001</v>
      </c>
      <c r="DM482">
        <v>55.768999999999998</v>
      </c>
      <c r="DT482">
        <v>123.444</v>
      </c>
    </row>
    <row r="483" spans="1:124" x14ac:dyDescent="0.35">
      <c r="A483">
        <v>69.025999999999996</v>
      </c>
      <c r="H483">
        <v>105.53400000000001</v>
      </c>
      <c r="BM483">
        <v>74.203999999999994</v>
      </c>
      <c r="BV483">
        <v>81.36</v>
      </c>
      <c r="DM483">
        <v>175.41399999999999</v>
      </c>
      <c r="DT483">
        <v>123.352</v>
      </c>
    </row>
    <row r="484" spans="1:124" x14ac:dyDescent="0.35">
      <c r="A484">
        <v>50.664000000000001</v>
      </c>
      <c r="H484">
        <v>105.49299999999999</v>
      </c>
      <c r="BM484">
        <v>131.595</v>
      </c>
      <c r="BV484">
        <v>81.236999999999995</v>
      </c>
      <c r="DM484">
        <v>197.41</v>
      </c>
      <c r="DT484">
        <v>123.089</v>
      </c>
    </row>
    <row r="485" spans="1:124" x14ac:dyDescent="0.35">
      <c r="A485">
        <v>92.537000000000006</v>
      </c>
      <c r="H485">
        <v>105.34099999999999</v>
      </c>
      <c r="BM485">
        <v>199.12799999999999</v>
      </c>
      <c r="BV485">
        <v>81.188000000000002</v>
      </c>
      <c r="DM485">
        <v>17.405000000000001</v>
      </c>
      <c r="DT485">
        <v>123.042</v>
      </c>
    </row>
    <row r="486" spans="1:124" x14ac:dyDescent="0.35">
      <c r="A486">
        <v>132.149</v>
      </c>
      <c r="H486">
        <v>104.962</v>
      </c>
      <c r="BM486">
        <v>210.60300000000001</v>
      </c>
      <c r="BV486">
        <v>81.096000000000004</v>
      </c>
      <c r="DM486">
        <v>132.185</v>
      </c>
      <c r="DT486">
        <v>122.982</v>
      </c>
    </row>
    <row r="487" spans="1:124" x14ac:dyDescent="0.35">
      <c r="A487">
        <v>274.19600000000003</v>
      </c>
      <c r="H487">
        <v>104.669</v>
      </c>
      <c r="BM487">
        <v>280.52300000000002</v>
      </c>
      <c r="BV487">
        <v>80.941999999999993</v>
      </c>
      <c r="DM487">
        <v>154.99299999999999</v>
      </c>
      <c r="DT487">
        <v>122.84</v>
      </c>
    </row>
    <row r="488" spans="1:124" x14ac:dyDescent="0.35">
      <c r="A488">
        <v>169.351</v>
      </c>
      <c r="H488">
        <v>104.627</v>
      </c>
      <c r="BM488">
        <v>284.815</v>
      </c>
      <c r="BV488">
        <v>80.807000000000002</v>
      </c>
      <c r="DM488">
        <v>123.042</v>
      </c>
      <c r="DT488">
        <v>122.426</v>
      </c>
    </row>
    <row r="489" spans="1:124" x14ac:dyDescent="0.35">
      <c r="A489">
        <v>184.262</v>
      </c>
      <c r="H489">
        <v>104.48099999999999</v>
      </c>
      <c r="BM489">
        <v>56.771999999999998</v>
      </c>
      <c r="BV489">
        <v>80.596000000000004</v>
      </c>
      <c r="DM489">
        <v>146.26</v>
      </c>
      <c r="DT489">
        <v>122.056</v>
      </c>
    </row>
    <row r="490" spans="1:124" x14ac:dyDescent="0.35">
      <c r="A490">
        <v>46.97</v>
      </c>
      <c r="H490">
        <v>104.352</v>
      </c>
      <c r="BM490">
        <v>124.00700000000001</v>
      </c>
      <c r="BV490">
        <v>80.468999999999994</v>
      </c>
      <c r="DM490">
        <v>31.878</v>
      </c>
      <c r="DT490">
        <v>121.986</v>
      </c>
    </row>
    <row r="491" spans="1:124" x14ac:dyDescent="0.35">
      <c r="A491">
        <v>182.76300000000001</v>
      </c>
      <c r="H491" s="8">
        <v>104.321</v>
      </c>
      <c r="BM491">
        <v>137.61699999999999</v>
      </c>
      <c r="BV491">
        <v>80.463999999999999</v>
      </c>
      <c r="DM491">
        <v>233.995</v>
      </c>
      <c r="DT491">
        <v>121.82899999999999</v>
      </c>
    </row>
    <row r="492" spans="1:124" x14ac:dyDescent="0.35">
      <c r="A492">
        <v>80.302999999999997</v>
      </c>
      <c r="H492" s="8">
        <v>103.821</v>
      </c>
      <c r="BM492">
        <v>203.773</v>
      </c>
      <c r="BV492">
        <v>79.834000000000003</v>
      </c>
      <c r="DM492">
        <v>35.857999999999997</v>
      </c>
      <c r="DT492">
        <v>121.43600000000001</v>
      </c>
    </row>
    <row r="493" spans="1:124" x14ac:dyDescent="0.35">
      <c r="A493">
        <v>92.875</v>
      </c>
      <c r="H493">
        <v>103.613</v>
      </c>
      <c r="BM493">
        <v>212.41300000000001</v>
      </c>
      <c r="BV493">
        <v>79.825000000000003</v>
      </c>
      <c r="DM493">
        <v>47.95</v>
      </c>
      <c r="DT493">
        <v>121.309</v>
      </c>
    </row>
    <row r="494" spans="1:124" x14ac:dyDescent="0.35">
      <c r="A494">
        <v>153.273</v>
      </c>
      <c r="H494">
        <v>103.404</v>
      </c>
      <c r="BM494">
        <v>68.936999999999998</v>
      </c>
      <c r="BV494">
        <v>79.777000000000001</v>
      </c>
      <c r="DM494">
        <v>83.09</v>
      </c>
      <c r="DT494">
        <v>121.14700000000001</v>
      </c>
    </row>
    <row r="495" spans="1:124" x14ac:dyDescent="0.35">
      <c r="A495">
        <v>48.377000000000002</v>
      </c>
      <c r="H495">
        <v>103.325</v>
      </c>
      <c r="BM495">
        <v>80.596000000000004</v>
      </c>
      <c r="BV495">
        <v>79.067999999999998</v>
      </c>
      <c r="DM495">
        <v>226.78700000000001</v>
      </c>
      <c r="DT495">
        <v>121.05200000000001</v>
      </c>
    </row>
    <row r="496" spans="1:124" x14ac:dyDescent="0.35">
      <c r="A496">
        <v>66.94</v>
      </c>
      <c r="H496">
        <v>103.255</v>
      </c>
      <c r="BM496">
        <v>149.28299999999999</v>
      </c>
      <c r="BV496">
        <v>78.510999999999996</v>
      </c>
      <c r="DM496">
        <v>161.941</v>
      </c>
      <c r="DT496">
        <v>120.479</v>
      </c>
    </row>
    <row r="497" spans="1:124" x14ac:dyDescent="0.35">
      <c r="A497" s="8">
        <v>109.07599999999999</v>
      </c>
      <c r="H497">
        <v>103.06100000000001</v>
      </c>
      <c r="BM497">
        <v>156.83199999999999</v>
      </c>
      <c r="BV497">
        <v>78.245999999999995</v>
      </c>
      <c r="DM497">
        <v>197.47300000000001</v>
      </c>
      <c r="DT497">
        <v>120.122</v>
      </c>
    </row>
    <row r="498" spans="1:124" x14ac:dyDescent="0.35">
      <c r="A498">
        <v>93.462000000000003</v>
      </c>
      <c r="H498" s="8">
        <v>102.643</v>
      </c>
      <c r="BM498">
        <v>13.603999999999999</v>
      </c>
      <c r="BV498">
        <v>78.194999999999993</v>
      </c>
      <c r="DM498">
        <v>200.85900000000001</v>
      </c>
      <c r="DT498">
        <v>119.92</v>
      </c>
    </row>
    <row r="499" spans="1:124" x14ac:dyDescent="0.35">
      <c r="A499">
        <v>18.779</v>
      </c>
      <c r="H499">
        <v>102.30200000000001</v>
      </c>
      <c r="BM499">
        <v>83.281000000000006</v>
      </c>
      <c r="BV499">
        <v>77.983999999999995</v>
      </c>
      <c r="DM499">
        <v>290.95999999999998</v>
      </c>
      <c r="DT499">
        <v>119.791</v>
      </c>
    </row>
    <row r="500" spans="1:124" x14ac:dyDescent="0.35">
      <c r="A500">
        <v>151.18899999999999</v>
      </c>
      <c r="H500" s="8">
        <v>102.117</v>
      </c>
      <c r="BM500">
        <v>87.045000000000002</v>
      </c>
      <c r="BV500">
        <v>77.781000000000006</v>
      </c>
      <c r="DM500">
        <v>252.09</v>
      </c>
      <c r="DT500">
        <v>119.276</v>
      </c>
    </row>
    <row r="501" spans="1:124" x14ac:dyDescent="0.35">
      <c r="A501">
        <v>27.536000000000001</v>
      </c>
      <c r="H501">
        <v>101.879</v>
      </c>
      <c r="BM501">
        <v>70.682000000000002</v>
      </c>
      <c r="BV501">
        <v>77.686000000000007</v>
      </c>
      <c r="DM501">
        <v>28.63</v>
      </c>
      <c r="DT501">
        <v>119.218</v>
      </c>
    </row>
    <row r="502" spans="1:124" x14ac:dyDescent="0.35">
      <c r="A502">
        <v>68.317999999999998</v>
      </c>
      <c r="H502">
        <v>101.789</v>
      </c>
      <c r="BM502">
        <v>75.733999999999995</v>
      </c>
      <c r="BV502">
        <v>77.605000000000004</v>
      </c>
      <c r="DM502">
        <v>81.369</v>
      </c>
      <c r="DT502">
        <v>119.127</v>
      </c>
    </row>
    <row r="503" spans="1:124" x14ac:dyDescent="0.35">
      <c r="A503">
        <v>222.643</v>
      </c>
      <c r="H503">
        <v>101.625</v>
      </c>
      <c r="BM503">
        <v>28.600999999999999</v>
      </c>
      <c r="BV503">
        <v>77.408000000000001</v>
      </c>
      <c r="DM503">
        <v>52.226999999999997</v>
      </c>
      <c r="DT503">
        <v>119.009</v>
      </c>
    </row>
    <row r="504" spans="1:124" x14ac:dyDescent="0.35">
      <c r="A504">
        <v>137.91200000000001</v>
      </c>
      <c r="H504">
        <v>101.58</v>
      </c>
      <c r="BM504">
        <v>123.88200000000001</v>
      </c>
      <c r="BV504">
        <v>77.069000000000003</v>
      </c>
      <c r="DM504">
        <v>233.52</v>
      </c>
      <c r="DT504">
        <v>118.602</v>
      </c>
    </row>
    <row r="505" spans="1:124" x14ac:dyDescent="0.35">
      <c r="A505">
        <v>176.34899999999999</v>
      </c>
      <c r="H505">
        <v>101.366</v>
      </c>
      <c r="BM505">
        <v>137.166</v>
      </c>
      <c r="BV505">
        <v>76.957999999999998</v>
      </c>
      <c r="DM505">
        <v>229</v>
      </c>
      <c r="DT505">
        <v>118.57</v>
      </c>
    </row>
    <row r="506" spans="1:124" x14ac:dyDescent="0.35">
      <c r="A506">
        <v>149.97300000000001</v>
      </c>
      <c r="H506">
        <v>101.276</v>
      </c>
      <c r="BM506">
        <v>172.483</v>
      </c>
      <c r="BV506">
        <v>76.802999999999997</v>
      </c>
      <c r="DM506">
        <v>196.286</v>
      </c>
      <c r="DT506">
        <v>118.491</v>
      </c>
    </row>
    <row r="507" spans="1:124" x14ac:dyDescent="0.35">
      <c r="A507">
        <v>103.255</v>
      </c>
      <c r="H507">
        <v>101.056</v>
      </c>
      <c r="BM507">
        <v>236.16800000000001</v>
      </c>
      <c r="BV507">
        <v>76.703000000000003</v>
      </c>
      <c r="DM507">
        <v>130.98500000000001</v>
      </c>
      <c r="DT507">
        <v>118.233</v>
      </c>
    </row>
    <row r="508" spans="1:124" x14ac:dyDescent="0.35">
      <c r="A508">
        <v>81.271000000000001</v>
      </c>
      <c r="H508">
        <v>100.33199999999999</v>
      </c>
      <c r="BM508">
        <v>299.17599999999999</v>
      </c>
      <c r="BV508">
        <v>76.647000000000006</v>
      </c>
      <c r="DM508">
        <v>165.78700000000001</v>
      </c>
      <c r="DT508">
        <v>118.18600000000001</v>
      </c>
    </row>
    <row r="509" spans="1:124" x14ac:dyDescent="0.35">
      <c r="A509">
        <v>78.298000000000002</v>
      </c>
      <c r="H509">
        <v>100.327</v>
      </c>
      <c r="BM509">
        <v>360.62599999999998</v>
      </c>
      <c r="BV509">
        <v>76.566999999999993</v>
      </c>
      <c r="DM509">
        <v>300.83999999999997</v>
      </c>
      <c r="DT509">
        <v>117.83199999999999</v>
      </c>
    </row>
    <row r="510" spans="1:124" x14ac:dyDescent="0.35">
      <c r="A510">
        <v>67.691000000000003</v>
      </c>
      <c r="H510">
        <v>100.066</v>
      </c>
      <c r="BM510">
        <v>35.975999999999999</v>
      </c>
      <c r="BV510">
        <v>76.12</v>
      </c>
      <c r="DM510">
        <v>36.630000000000003</v>
      </c>
      <c r="DT510">
        <v>117.59099999999999</v>
      </c>
    </row>
    <row r="511" spans="1:124" x14ac:dyDescent="0.35">
      <c r="A511">
        <v>53.408999999999999</v>
      </c>
      <c r="H511">
        <v>99.748000000000005</v>
      </c>
      <c r="BM511">
        <v>74.733000000000004</v>
      </c>
      <c r="BV511">
        <v>75.733999999999995</v>
      </c>
      <c r="DM511">
        <v>52.43</v>
      </c>
      <c r="DT511">
        <v>117.46599999999999</v>
      </c>
    </row>
    <row r="512" spans="1:124" x14ac:dyDescent="0.35">
      <c r="A512">
        <v>223.60499999999999</v>
      </c>
      <c r="H512">
        <v>99.13</v>
      </c>
      <c r="BM512">
        <v>129.369</v>
      </c>
      <c r="BV512">
        <v>75.48</v>
      </c>
      <c r="DM512">
        <v>184.92</v>
      </c>
      <c r="DT512">
        <v>117.14400000000001</v>
      </c>
    </row>
    <row r="513" spans="1:124" x14ac:dyDescent="0.35">
      <c r="A513">
        <v>147.64500000000001</v>
      </c>
      <c r="H513">
        <v>99.096000000000004</v>
      </c>
      <c r="BM513">
        <v>205.47399999999999</v>
      </c>
      <c r="BV513">
        <v>75.090999999999994</v>
      </c>
      <c r="DM513">
        <v>67.287999999999997</v>
      </c>
      <c r="DT513">
        <v>116.967</v>
      </c>
    </row>
    <row r="514" spans="1:124" x14ac:dyDescent="0.35">
      <c r="A514">
        <v>181.988</v>
      </c>
      <c r="H514">
        <v>99.036000000000001</v>
      </c>
      <c r="BM514">
        <v>259.88</v>
      </c>
      <c r="BV514">
        <v>74.984999999999999</v>
      </c>
      <c r="BW514">
        <f>253*2</f>
        <v>506</v>
      </c>
      <c r="BX514">
        <v>8</v>
      </c>
      <c r="DM514">
        <v>33.692999999999998</v>
      </c>
      <c r="DT514">
        <v>116.821</v>
      </c>
    </row>
    <row r="515" spans="1:124" x14ac:dyDescent="0.35">
      <c r="A515">
        <v>182.28800000000001</v>
      </c>
      <c r="H515">
        <v>98.686000000000007</v>
      </c>
      <c r="BM515">
        <v>42.848999999999997</v>
      </c>
      <c r="BV515">
        <v>74.733000000000004</v>
      </c>
      <c r="DM515">
        <v>37.328000000000003</v>
      </c>
      <c r="DT515">
        <v>116.44799999999999</v>
      </c>
    </row>
    <row r="516" spans="1:124" x14ac:dyDescent="0.35">
      <c r="A516">
        <v>126.90900000000001</v>
      </c>
      <c r="H516">
        <v>98.653999999999996</v>
      </c>
      <c r="BM516">
        <v>103.152</v>
      </c>
      <c r="BV516">
        <v>74.680999999999997</v>
      </c>
      <c r="DM516">
        <v>65.257000000000005</v>
      </c>
      <c r="DT516">
        <v>116.254</v>
      </c>
    </row>
    <row r="517" spans="1:124" x14ac:dyDescent="0.35">
      <c r="A517">
        <v>148.11099999999999</v>
      </c>
      <c r="H517">
        <v>98.644999999999996</v>
      </c>
      <c r="BM517">
        <v>172.649</v>
      </c>
      <c r="BV517">
        <v>74.578999999999994</v>
      </c>
      <c r="DM517">
        <v>71.352999999999994</v>
      </c>
      <c r="DT517">
        <v>116.23699999999999</v>
      </c>
    </row>
    <row r="518" spans="1:124" x14ac:dyDescent="0.35">
      <c r="A518">
        <v>103.06100000000001</v>
      </c>
      <c r="H518">
        <v>98.451999999999998</v>
      </c>
      <c r="BM518">
        <v>228.874</v>
      </c>
      <c r="BV518">
        <v>74.313000000000002</v>
      </c>
      <c r="DM518">
        <v>139.30500000000001</v>
      </c>
      <c r="DT518">
        <v>116.169</v>
      </c>
    </row>
    <row r="519" spans="1:124" x14ac:dyDescent="0.35">
      <c r="A519">
        <v>58.253999999999998</v>
      </c>
      <c r="H519">
        <v>97.814999999999998</v>
      </c>
      <c r="BM519">
        <v>64.686000000000007</v>
      </c>
      <c r="BV519">
        <v>74.203999999999994</v>
      </c>
      <c r="DM519">
        <v>143.066</v>
      </c>
      <c r="DT519">
        <v>115.69799999999999</v>
      </c>
    </row>
    <row r="520" spans="1:124" x14ac:dyDescent="0.35">
      <c r="A520">
        <v>44.215000000000003</v>
      </c>
      <c r="H520">
        <v>97.744</v>
      </c>
      <c r="BM520">
        <v>132.441</v>
      </c>
      <c r="BV520">
        <v>74.125</v>
      </c>
      <c r="DM520">
        <v>181.12700000000001</v>
      </c>
      <c r="DT520">
        <v>115.545</v>
      </c>
    </row>
    <row r="521" spans="1:124" x14ac:dyDescent="0.35">
      <c r="A521">
        <v>52.462000000000003</v>
      </c>
      <c r="H521">
        <v>97.685000000000002</v>
      </c>
      <c r="BM521">
        <v>190.43899999999999</v>
      </c>
      <c r="BV521">
        <v>73.834000000000003</v>
      </c>
      <c r="DM521">
        <v>283.60899999999998</v>
      </c>
      <c r="DT521">
        <v>115.42</v>
      </c>
    </row>
    <row r="522" spans="1:124" x14ac:dyDescent="0.35">
      <c r="A522">
        <v>41.363999999999997</v>
      </c>
      <c r="H522">
        <v>97.635000000000005</v>
      </c>
      <c r="BM522">
        <v>78.245999999999995</v>
      </c>
      <c r="BV522">
        <v>73.727000000000004</v>
      </c>
      <c r="DM522">
        <v>310.50099999999998</v>
      </c>
      <c r="DT522">
        <v>115.148</v>
      </c>
    </row>
    <row r="523" spans="1:124" x14ac:dyDescent="0.35">
      <c r="A523">
        <v>42.929000000000002</v>
      </c>
      <c r="H523">
        <v>97.444000000000003</v>
      </c>
      <c r="BM523">
        <v>134.43100000000001</v>
      </c>
      <c r="BV523">
        <v>73.617000000000004</v>
      </c>
      <c r="DM523">
        <v>35.119999999999997</v>
      </c>
      <c r="DT523">
        <v>114.655</v>
      </c>
    </row>
    <row r="524" spans="1:124" x14ac:dyDescent="0.35">
      <c r="A524">
        <v>60.182000000000002</v>
      </c>
      <c r="H524" s="8">
        <v>96.975999999999999</v>
      </c>
      <c r="BM524">
        <v>58.515999999999998</v>
      </c>
      <c r="BV524">
        <v>72.962999999999994</v>
      </c>
      <c r="DM524">
        <v>95.635000000000005</v>
      </c>
      <c r="DT524">
        <v>114.596</v>
      </c>
    </row>
    <row r="525" spans="1:124" x14ac:dyDescent="0.35">
      <c r="A525">
        <v>111.288</v>
      </c>
      <c r="H525">
        <v>96.674000000000007</v>
      </c>
      <c r="BM525">
        <v>267.101</v>
      </c>
      <c r="BV525">
        <v>72.777000000000001</v>
      </c>
      <c r="DM525">
        <v>127.38800000000001</v>
      </c>
      <c r="DT525">
        <v>114.361</v>
      </c>
    </row>
    <row r="526" spans="1:124" x14ac:dyDescent="0.35">
      <c r="A526">
        <v>141.24</v>
      </c>
      <c r="H526">
        <v>96.402000000000001</v>
      </c>
      <c r="BM526">
        <v>37.247999999999998</v>
      </c>
      <c r="BV526">
        <v>72.733999999999995</v>
      </c>
      <c r="DM526">
        <v>146.858</v>
      </c>
      <c r="DT526">
        <v>114.15</v>
      </c>
    </row>
    <row r="527" spans="1:124" x14ac:dyDescent="0.35">
      <c r="A527">
        <v>91.278000000000006</v>
      </c>
      <c r="H527">
        <v>95.933000000000007</v>
      </c>
      <c r="BM527">
        <v>46.802999999999997</v>
      </c>
      <c r="BV527">
        <v>72.444000000000003</v>
      </c>
      <c r="DM527">
        <v>260</v>
      </c>
      <c r="DT527">
        <v>114.107</v>
      </c>
    </row>
    <row r="528" spans="1:124" x14ac:dyDescent="0.35">
      <c r="A528">
        <v>80.087999999999994</v>
      </c>
      <c r="H528">
        <v>95.917000000000002</v>
      </c>
      <c r="BM528">
        <v>91.168000000000006</v>
      </c>
      <c r="BV528">
        <v>71.89</v>
      </c>
      <c r="DM528">
        <v>289.84100000000001</v>
      </c>
      <c r="DT528">
        <v>113.89700000000001</v>
      </c>
    </row>
    <row r="529" spans="1:124" x14ac:dyDescent="0.35">
      <c r="A529">
        <v>95.46</v>
      </c>
      <c r="H529">
        <v>95.879000000000005</v>
      </c>
      <c r="BM529">
        <v>276.73500000000001</v>
      </c>
      <c r="BV529">
        <v>70.978999999999999</v>
      </c>
      <c r="DM529">
        <v>71.391000000000005</v>
      </c>
      <c r="DT529">
        <v>113.807</v>
      </c>
    </row>
    <row r="530" spans="1:124" x14ac:dyDescent="0.35">
      <c r="A530">
        <v>32.048000000000002</v>
      </c>
      <c r="H530">
        <v>95.46</v>
      </c>
      <c r="BM530">
        <v>165.738</v>
      </c>
      <c r="BV530">
        <v>70.712000000000003</v>
      </c>
      <c r="DM530">
        <v>93.46</v>
      </c>
      <c r="DT530">
        <v>113.526</v>
      </c>
    </row>
    <row r="531" spans="1:124" x14ac:dyDescent="0.35">
      <c r="A531">
        <v>152.697</v>
      </c>
      <c r="H531">
        <v>95.430999999999997</v>
      </c>
      <c r="BM531">
        <v>188.37</v>
      </c>
      <c r="BV531">
        <v>70.682000000000002</v>
      </c>
      <c r="DM531">
        <v>119.009</v>
      </c>
      <c r="DT531">
        <v>113.372</v>
      </c>
    </row>
    <row r="532" spans="1:124" x14ac:dyDescent="0.35">
      <c r="A532">
        <v>181.626</v>
      </c>
      <c r="H532">
        <v>95.323999999999998</v>
      </c>
      <c r="BM532">
        <v>238.80099999999999</v>
      </c>
      <c r="BV532">
        <v>69.929000000000002</v>
      </c>
      <c r="DM532">
        <v>229.04</v>
      </c>
      <c r="DT532">
        <v>113.288</v>
      </c>
    </row>
    <row r="533" spans="1:124" x14ac:dyDescent="0.35">
      <c r="A533">
        <v>137.46199999999999</v>
      </c>
      <c r="H533">
        <v>95.102000000000004</v>
      </c>
      <c r="BM533">
        <v>219.61</v>
      </c>
      <c r="BV533">
        <v>69.620999999999995</v>
      </c>
      <c r="DM533">
        <v>261.43400000000003</v>
      </c>
      <c r="DT533">
        <v>113.22799999999999</v>
      </c>
    </row>
    <row r="534" spans="1:124" x14ac:dyDescent="0.35">
      <c r="A534">
        <v>151.809</v>
      </c>
      <c r="H534">
        <v>94.662999999999997</v>
      </c>
      <c r="BM534">
        <v>174.35900000000001</v>
      </c>
      <c r="BV534">
        <v>69.53</v>
      </c>
      <c r="DM534">
        <v>61.219000000000001</v>
      </c>
      <c r="DT534">
        <v>112.901</v>
      </c>
    </row>
    <row r="535" spans="1:124" x14ac:dyDescent="0.35">
      <c r="A535">
        <v>97.635000000000005</v>
      </c>
      <c r="H535">
        <v>94.334000000000003</v>
      </c>
      <c r="BM535">
        <v>30.280999999999999</v>
      </c>
      <c r="BV535">
        <v>69.516000000000005</v>
      </c>
      <c r="DM535">
        <v>54.665999999999997</v>
      </c>
      <c r="DT535">
        <v>112.697</v>
      </c>
    </row>
    <row r="536" spans="1:124" x14ac:dyDescent="0.35">
      <c r="A536">
        <v>64.774000000000001</v>
      </c>
      <c r="H536" s="8">
        <v>94.304000000000002</v>
      </c>
      <c r="BM536">
        <v>98.747</v>
      </c>
      <c r="BV536">
        <v>69.382999999999996</v>
      </c>
      <c r="DM536">
        <v>169.429</v>
      </c>
      <c r="DT536">
        <v>112.58199999999999</v>
      </c>
    </row>
    <row r="537" spans="1:124" x14ac:dyDescent="0.35">
      <c r="A537">
        <v>159.90299999999999</v>
      </c>
      <c r="H537">
        <v>93.991</v>
      </c>
      <c r="BM537">
        <v>81.451999999999998</v>
      </c>
      <c r="BV537">
        <v>68.936999999999998</v>
      </c>
      <c r="DM537">
        <v>200.24199999999999</v>
      </c>
      <c r="DT537">
        <v>112.536</v>
      </c>
    </row>
    <row r="538" spans="1:124" x14ac:dyDescent="0.35">
      <c r="A538">
        <v>308.73599999999999</v>
      </c>
      <c r="H538" s="8">
        <v>93.942999999999998</v>
      </c>
      <c r="BM538">
        <v>28.346</v>
      </c>
      <c r="BV538">
        <v>68.584999999999994</v>
      </c>
      <c r="DM538">
        <v>51.869</v>
      </c>
      <c r="DT538">
        <v>111.58199999999999</v>
      </c>
    </row>
    <row r="539" spans="1:124" x14ac:dyDescent="0.35">
      <c r="A539">
        <v>204.06100000000001</v>
      </c>
      <c r="H539" s="8">
        <v>93.906000000000006</v>
      </c>
      <c r="BM539">
        <v>76.12</v>
      </c>
      <c r="BV539">
        <v>68.271000000000001</v>
      </c>
      <c r="DM539">
        <v>139.44200000000001</v>
      </c>
      <c r="DT539">
        <v>111.55500000000001</v>
      </c>
    </row>
    <row r="540" spans="1:124" x14ac:dyDescent="0.35">
      <c r="A540">
        <v>311.23599999999999</v>
      </c>
      <c r="H540">
        <v>93.820999999999998</v>
      </c>
      <c r="BM540">
        <v>255.684</v>
      </c>
      <c r="BV540">
        <v>67.730999999999995</v>
      </c>
      <c r="DM540">
        <v>168.941</v>
      </c>
      <c r="DT540">
        <v>111.413</v>
      </c>
    </row>
    <row r="541" spans="1:124" x14ac:dyDescent="0.35">
      <c r="A541">
        <v>212.357</v>
      </c>
      <c r="H541">
        <v>93.588999999999999</v>
      </c>
      <c r="BM541">
        <v>144.06399999999999</v>
      </c>
      <c r="BV541">
        <v>67.688000000000002</v>
      </c>
      <c r="DM541">
        <v>116.967</v>
      </c>
      <c r="DT541">
        <v>111.342</v>
      </c>
    </row>
    <row r="542" spans="1:124" x14ac:dyDescent="0.35">
      <c r="A542">
        <v>93.820999999999998</v>
      </c>
      <c r="H542">
        <v>93.488</v>
      </c>
      <c r="BM542">
        <v>166.47300000000001</v>
      </c>
      <c r="BV542">
        <v>67.614000000000004</v>
      </c>
      <c r="DM542">
        <v>145.32300000000001</v>
      </c>
      <c r="DT542">
        <v>111.158</v>
      </c>
    </row>
    <row r="543" spans="1:124" x14ac:dyDescent="0.35">
      <c r="A543">
        <v>41.792999999999999</v>
      </c>
      <c r="H543">
        <v>93.462000000000003</v>
      </c>
      <c r="BM543">
        <v>50.655999999999999</v>
      </c>
      <c r="BV543">
        <v>67.236000000000004</v>
      </c>
      <c r="DM543">
        <v>31.125</v>
      </c>
      <c r="DT543">
        <v>111.143</v>
      </c>
    </row>
    <row r="544" spans="1:124" x14ac:dyDescent="0.35">
      <c r="A544">
        <v>159.559</v>
      </c>
      <c r="H544">
        <v>93.45</v>
      </c>
      <c r="BM544">
        <v>232.71299999999999</v>
      </c>
      <c r="BV544">
        <v>67.149000000000001</v>
      </c>
      <c r="DM544">
        <v>113.288</v>
      </c>
      <c r="DT544">
        <v>110.998</v>
      </c>
    </row>
    <row r="545" spans="1:124" x14ac:dyDescent="0.35">
      <c r="A545">
        <v>52.351999999999997</v>
      </c>
      <c r="H545">
        <v>93.356999999999999</v>
      </c>
      <c r="BM545">
        <v>121.581</v>
      </c>
      <c r="BV545">
        <v>67.084999999999994</v>
      </c>
      <c r="DM545">
        <v>169.50299999999999</v>
      </c>
      <c r="DT545">
        <v>110.622</v>
      </c>
    </row>
    <row r="546" spans="1:124" x14ac:dyDescent="0.35">
      <c r="A546">
        <v>158.72200000000001</v>
      </c>
      <c r="H546">
        <v>93.227999999999994</v>
      </c>
      <c r="BM546">
        <v>143.15299999999999</v>
      </c>
      <c r="BV546">
        <v>66.861999999999995</v>
      </c>
      <c r="DM546">
        <v>220.25</v>
      </c>
      <c r="DT546">
        <v>110.502</v>
      </c>
    </row>
    <row r="547" spans="1:124" x14ac:dyDescent="0.35">
      <c r="A547">
        <v>123.72199999999999</v>
      </c>
      <c r="H547">
        <v>93.039000000000001</v>
      </c>
      <c r="BM547">
        <v>185.327</v>
      </c>
      <c r="BV547">
        <v>66.813000000000002</v>
      </c>
      <c r="DM547">
        <v>226.78200000000001</v>
      </c>
      <c r="DT547">
        <v>110.119</v>
      </c>
    </row>
    <row r="548" spans="1:124" x14ac:dyDescent="0.35">
      <c r="A548">
        <v>233.44300000000001</v>
      </c>
      <c r="H548" s="8">
        <v>92.912000000000006</v>
      </c>
      <c r="K548" s="8"/>
      <c r="BM548">
        <v>77.408000000000001</v>
      </c>
      <c r="BV548">
        <v>66.599999999999994</v>
      </c>
      <c r="DM548">
        <v>73.888000000000005</v>
      </c>
      <c r="DT548">
        <v>110.05800000000001</v>
      </c>
    </row>
    <row r="549" spans="1:124" x14ac:dyDescent="0.35">
      <c r="A549">
        <v>353.209</v>
      </c>
      <c r="H549">
        <v>92.875</v>
      </c>
      <c r="BM549">
        <v>96.65</v>
      </c>
      <c r="BV549">
        <v>66.599999999999994</v>
      </c>
      <c r="DM549">
        <v>119.791</v>
      </c>
      <c r="DT549">
        <v>109.82</v>
      </c>
    </row>
    <row r="550" spans="1:124" x14ac:dyDescent="0.35">
      <c r="A550">
        <v>266.75099999999998</v>
      </c>
      <c r="H550">
        <v>92.754999999999995</v>
      </c>
      <c r="K550" s="8"/>
      <c r="BM550">
        <v>116.223</v>
      </c>
      <c r="BV550">
        <v>66.558999999999997</v>
      </c>
      <c r="DM550">
        <v>123.089</v>
      </c>
      <c r="DT550">
        <v>109.61799999999999</v>
      </c>
    </row>
    <row r="551" spans="1:124" x14ac:dyDescent="0.35">
      <c r="A551">
        <v>368.435</v>
      </c>
      <c r="H551">
        <v>92.537000000000006</v>
      </c>
      <c r="BM551">
        <v>92.450999999999993</v>
      </c>
      <c r="BV551">
        <v>66.525000000000006</v>
      </c>
      <c r="DM551">
        <v>50.954000000000001</v>
      </c>
      <c r="DT551">
        <v>109.52500000000001</v>
      </c>
    </row>
    <row r="552" spans="1:124" x14ac:dyDescent="0.35">
      <c r="A552">
        <v>111.16200000000001</v>
      </c>
      <c r="H552">
        <v>92.456999999999994</v>
      </c>
      <c r="BM552">
        <v>30.614999999999998</v>
      </c>
      <c r="BV552">
        <v>66.518000000000001</v>
      </c>
      <c r="DM552">
        <v>60.561999999999998</v>
      </c>
      <c r="DT552">
        <v>109.52</v>
      </c>
    </row>
    <row r="553" spans="1:124" x14ac:dyDescent="0.35">
      <c r="A553">
        <v>245.393</v>
      </c>
      <c r="H553" s="8">
        <v>91.596999999999994</v>
      </c>
      <c r="BM553">
        <v>88.210999999999999</v>
      </c>
      <c r="BV553">
        <v>66.516999999999996</v>
      </c>
      <c r="DM553">
        <v>27.742999999999999</v>
      </c>
      <c r="DT553">
        <v>109.419</v>
      </c>
    </row>
    <row r="554" spans="1:124" x14ac:dyDescent="0.35">
      <c r="A554">
        <v>148.511</v>
      </c>
      <c r="H554">
        <v>91.542000000000002</v>
      </c>
      <c r="BM554">
        <v>27.373999999999999</v>
      </c>
      <c r="BV554">
        <v>66.474000000000004</v>
      </c>
      <c r="DM554">
        <v>122.426</v>
      </c>
      <c r="DT554">
        <v>109.164</v>
      </c>
    </row>
    <row r="555" spans="1:124" x14ac:dyDescent="0.35">
      <c r="A555">
        <v>252.53299999999999</v>
      </c>
      <c r="H555">
        <v>91.278000000000006</v>
      </c>
      <c r="BM555">
        <v>56.73</v>
      </c>
      <c r="BV555">
        <v>66.349999999999994</v>
      </c>
      <c r="DM555">
        <v>203.63300000000001</v>
      </c>
      <c r="DT555">
        <v>108.417</v>
      </c>
    </row>
    <row r="556" spans="1:124" x14ac:dyDescent="0.35">
      <c r="A556">
        <v>169.589</v>
      </c>
      <c r="H556">
        <v>90.584000000000003</v>
      </c>
      <c r="BM556">
        <v>208.71899999999999</v>
      </c>
      <c r="BV556">
        <v>66.197999999999993</v>
      </c>
      <c r="DM556">
        <v>230.68199999999999</v>
      </c>
      <c r="DT556">
        <v>108.16500000000001</v>
      </c>
    </row>
    <row r="557" spans="1:124" x14ac:dyDescent="0.35">
      <c r="A557">
        <v>57.813000000000002</v>
      </c>
      <c r="H557">
        <v>90.543999999999997</v>
      </c>
      <c r="BM557">
        <v>278.45499999999998</v>
      </c>
      <c r="BV557">
        <v>66.025999999999996</v>
      </c>
      <c r="DM557">
        <v>260.08600000000001</v>
      </c>
      <c r="DT557">
        <v>107.777</v>
      </c>
    </row>
    <row r="558" spans="1:124" x14ac:dyDescent="0.35">
      <c r="A558">
        <v>154.904</v>
      </c>
      <c r="H558">
        <v>90.332999999999998</v>
      </c>
      <c r="BM558">
        <v>231.58199999999999</v>
      </c>
      <c r="BV558">
        <v>65.912999999999997</v>
      </c>
      <c r="DM558">
        <v>82.8</v>
      </c>
      <c r="DT558">
        <v>107.705</v>
      </c>
    </row>
    <row r="559" spans="1:124" x14ac:dyDescent="0.35">
      <c r="A559">
        <v>110.21</v>
      </c>
      <c r="H559">
        <v>89.965999999999994</v>
      </c>
      <c r="BM559">
        <v>300.548</v>
      </c>
      <c r="BV559">
        <v>65.462000000000003</v>
      </c>
      <c r="DM559">
        <v>112.697</v>
      </c>
      <c r="DT559">
        <v>107.7</v>
      </c>
    </row>
    <row r="560" spans="1:124" x14ac:dyDescent="0.35">
      <c r="A560">
        <v>67.388000000000005</v>
      </c>
      <c r="H560" s="8">
        <v>89.715000000000003</v>
      </c>
      <c r="BM560">
        <v>67.149000000000001</v>
      </c>
      <c r="BV560">
        <v>65.411000000000001</v>
      </c>
      <c r="DM560">
        <v>139.59299999999999</v>
      </c>
      <c r="DT560">
        <v>107.608</v>
      </c>
    </row>
    <row r="561" spans="1:124" x14ac:dyDescent="0.35">
      <c r="A561">
        <v>105.72</v>
      </c>
      <c r="H561">
        <v>88.983000000000004</v>
      </c>
      <c r="BM561">
        <v>37.674999999999997</v>
      </c>
      <c r="BV561">
        <v>65.064999999999998</v>
      </c>
      <c r="DM561">
        <v>37.095999999999997</v>
      </c>
      <c r="DT561">
        <v>107.36</v>
      </c>
    </row>
    <row r="562" spans="1:124" x14ac:dyDescent="0.35">
      <c r="A562" s="8">
        <v>267.49299999999999</v>
      </c>
      <c r="H562">
        <v>88.497</v>
      </c>
      <c r="BM562">
        <v>119.468</v>
      </c>
      <c r="BV562">
        <v>64.992000000000004</v>
      </c>
      <c r="DM562">
        <v>56.9</v>
      </c>
      <c r="DT562">
        <v>106.815</v>
      </c>
    </row>
    <row r="563" spans="1:124" x14ac:dyDescent="0.35">
      <c r="A563" s="8">
        <v>25.709</v>
      </c>
      <c r="H563">
        <v>88.295000000000002</v>
      </c>
      <c r="BM563">
        <v>190.31299999999999</v>
      </c>
      <c r="BV563">
        <v>64.855000000000004</v>
      </c>
      <c r="DM563">
        <v>33.185000000000002</v>
      </c>
      <c r="DT563">
        <v>106.58199999999999</v>
      </c>
    </row>
    <row r="564" spans="1:124" x14ac:dyDescent="0.35">
      <c r="A564" s="8">
        <v>120.08799999999999</v>
      </c>
      <c r="H564" s="8">
        <v>86.820999999999998</v>
      </c>
      <c r="BM564">
        <v>144.798</v>
      </c>
      <c r="BV564">
        <v>64.793000000000006</v>
      </c>
      <c r="DM564">
        <v>135.53800000000001</v>
      </c>
      <c r="DT564">
        <v>106.486</v>
      </c>
    </row>
    <row r="565" spans="1:124" x14ac:dyDescent="0.35">
      <c r="A565" s="8">
        <v>81.569999999999993</v>
      </c>
      <c r="H565">
        <v>86.679000000000002</v>
      </c>
      <c r="BM565">
        <v>213.27500000000001</v>
      </c>
      <c r="BV565">
        <v>64.686000000000007</v>
      </c>
      <c r="DM565">
        <v>35.908000000000001</v>
      </c>
      <c r="DT565">
        <v>106.349</v>
      </c>
    </row>
    <row r="566" spans="1:124" x14ac:dyDescent="0.35">
      <c r="A566" s="8">
        <v>306.25200000000001</v>
      </c>
      <c r="H566">
        <v>86.087000000000003</v>
      </c>
      <c r="BM566">
        <v>34.136000000000003</v>
      </c>
      <c r="BV566">
        <v>63.548000000000002</v>
      </c>
      <c r="DM566">
        <v>116.169</v>
      </c>
      <c r="DT566">
        <v>106.134</v>
      </c>
    </row>
    <row r="567" spans="1:124" x14ac:dyDescent="0.35">
      <c r="A567" s="8">
        <v>154.178</v>
      </c>
      <c r="H567">
        <v>85.64</v>
      </c>
      <c r="BM567">
        <v>185.155</v>
      </c>
      <c r="BV567">
        <v>63.207999999999998</v>
      </c>
      <c r="DM567">
        <v>180.53700000000001</v>
      </c>
      <c r="DT567">
        <v>106.124</v>
      </c>
    </row>
    <row r="568" spans="1:124" x14ac:dyDescent="0.35">
      <c r="A568" s="8">
        <v>211.845</v>
      </c>
      <c r="H568">
        <v>85.616</v>
      </c>
      <c r="BM568">
        <v>252.113</v>
      </c>
      <c r="BV568">
        <v>63.106999999999999</v>
      </c>
      <c r="DM568">
        <v>268.084</v>
      </c>
      <c r="DT568">
        <v>104.899</v>
      </c>
    </row>
    <row r="569" spans="1:124" x14ac:dyDescent="0.35">
      <c r="A569" s="8">
        <v>261.69499999999999</v>
      </c>
      <c r="H569">
        <v>85.555999999999997</v>
      </c>
      <c r="BM569">
        <v>211.08799999999999</v>
      </c>
      <c r="BV569">
        <v>63.042999999999999</v>
      </c>
      <c r="DM569">
        <v>226.02</v>
      </c>
      <c r="DT569">
        <v>104.752</v>
      </c>
    </row>
    <row r="570" spans="1:124" x14ac:dyDescent="0.35">
      <c r="A570" s="8">
        <v>143.60900000000001</v>
      </c>
      <c r="H570">
        <v>85.373000000000005</v>
      </c>
      <c r="BM570">
        <v>278.37900000000002</v>
      </c>
      <c r="BV570">
        <v>63.017000000000003</v>
      </c>
      <c r="DM570">
        <v>284.303</v>
      </c>
      <c r="DT570">
        <v>104.717</v>
      </c>
    </row>
    <row r="571" spans="1:124" x14ac:dyDescent="0.35">
      <c r="A571" s="8">
        <v>188.17400000000001</v>
      </c>
      <c r="H571" s="8">
        <v>85.207999999999998</v>
      </c>
      <c r="BM571">
        <v>152.31399999999999</v>
      </c>
      <c r="BV571">
        <v>62.746000000000002</v>
      </c>
      <c r="DT571">
        <v>104.464</v>
      </c>
    </row>
    <row r="572" spans="1:124" x14ac:dyDescent="0.35">
      <c r="A572" s="8">
        <v>42.645000000000003</v>
      </c>
      <c r="H572" s="8">
        <v>84.896000000000001</v>
      </c>
      <c r="BM572">
        <v>221.61199999999999</v>
      </c>
      <c r="BV572">
        <v>62.738999999999997</v>
      </c>
      <c r="DM572">
        <v>22.170999999999999</v>
      </c>
      <c r="DT572">
        <v>104.28400000000001</v>
      </c>
    </row>
    <row r="573" spans="1:124" x14ac:dyDescent="0.35">
      <c r="A573" s="8">
        <v>119.56699999999999</v>
      </c>
      <c r="H573" s="8">
        <v>84.84</v>
      </c>
      <c r="BM573">
        <v>176.59899999999999</v>
      </c>
      <c r="BV573">
        <v>62.72</v>
      </c>
      <c r="DM573">
        <v>47.334000000000003</v>
      </c>
      <c r="DT573">
        <v>104.15300000000001</v>
      </c>
    </row>
    <row r="574" spans="1:124" x14ac:dyDescent="0.35">
      <c r="A574" s="8">
        <v>55.295999999999999</v>
      </c>
      <c r="H574">
        <v>84.694999999999993</v>
      </c>
      <c r="BM574">
        <v>245.40899999999999</v>
      </c>
      <c r="BV574">
        <v>62.564</v>
      </c>
      <c r="DM574">
        <v>140.55799999999999</v>
      </c>
      <c r="DT574">
        <v>103.586</v>
      </c>
    </row>
    <row r="575" spans="1:124" x14ac:dyDescent="0.35">
      <c r="A575">
        <v>116.827</v>
      </c>
      <c r="H575">
        <v>84.44</v>
      </c>
      <c r="BM575">
        <v>69.382999999999996</v>
      </c>
      <c r="BV575">
        <v>62.317999999999998</v>
      </c>
      <c r="DM575">
        <v>94.814999999999998</v>
      </c>
      <c r="DT575">
        <v>102.89100000000001</v>
      </c>
    </row>
    <row r="576" spans="1:124" x14ac:dyDescent="0.35">
      <c r="A576" s="8">
        <v>81.436999999999998</v>
      </c>
      <c r="H576">
        <v>84.403000000000006</v>
      </c>
      <c r="BM576">
        <v>32.404000000000003</v>
      </c>
      <c r="BV576">
        <v>61.375</v>
      </c>
      <c r="DM576">
        <v>153.946</v>
      </c>
      <c r="DT576">
        <v>102.873</v>
      </c>
    </row>
    <row r="577" spans="1:124" x14ac:dyDescent="0.35">
      <c r="A577">
        <v>303.959</v>
      </c>
      <c r="H577">
        <v>84.046999999999997</v>
      </c>
      <c r="BM577">
        <v>94.003</v>
      </c>
      <c r="BV577">
        <v>61.192</v>
      </c>
      <c r="DM577">
        <v>146.60900000000001</v>
      </c>
      <c r="DT577">
        <v>102.486</v>
      </c>
    </row>
    <row r="578" spans="1:124" x14ac:dyDescent="0.35">
      <c r="A578">
        <v>152.685</v>
      </c>
      <c r="H578" s="8">
        <v>84.034000000000006</v>
      </c>
      <c r="BM578">
        <v>53.524999999999999</v>
      </c>
      <c r="BV578">
        <v>61.070999999999998</v>
      </c>
      <c r="DM578">
        <v>210.054</v>
      </c>
      <c r="DT578">
        <v>100.741</v>
      </c>
    </row>
    <row r="579" spans="1:124" x14ac:dyDescent="0.35">
      <c r="A579">
        <v>210.667</v>
      </c>
      <c r="H579">
        <v>83.603999999999999</v>
      </c>
      <c r="BM579">
        <v>34.784999999999997</v>
      </c>
      <c r="BV579">
        <v>60.710999999999999</v>
      </c>
      <c r="DM579">
        <v>296.791</v>
      </c>
      <c r="DT579">
        <v>100.065</v>
      </c>
    </row>
    <row r="580" spans="1:124" x14ac:dyDescent="0.35">
      <c r="A580" s="8">
        <v>48.011000000000003</v>
      </c>
      <c r="H580">
        <v>82.983000000000004</v>
      </c>
      <c r="BM580">
        <v>66.861999999999995</v>
      </c>
      <c r="BV580">
        <v>60.243000000000002</v>
      </c>
      <c r="DM580">
        <v>255.63399999999999</v>
      </c>
      <c r="DT580">
        <v>99.930999999999997</v>
      </c>
    </row>
    <row r="581" spans="1:124" x14ac:dyDescent="0.35">
      <c r="A581" s="8">
        <v>187.988</v>
      </c>
      <c r="H581">
        <v>82.784999999999997</v>
      </c>
      <c r="BM581">
        <v>391.45600000000002</v>
      </c>
      <c r="BV581">
        <v>59.914999999999999</v>
      </c>
      <c r="DM581">
        <v>311.05</v>
      </c>
      <c r="DT581">
        <v>99.655000000000001</v>
      </c>
    </row>
    <row r="582" spans="1:124" x14ac:dyDescent="0.35">
      <c r="A582" s="8">
        <v>45.286999999999999</v>
      </c>
      <c r="H582">
        <v>82.724000000000004</v>
      </c>
      <c r="BM582">
        <v>108.56399999999999</v>
      </c>
      <c r="BV582">
        <v>59.58</v>
      </c>
      <c r="DM582">
        <v>66.712000000000003</v>
      </c>
      <c r="DT582">
        <v>99.343999999999994</v>
      </c>
    </row>
    <row r="583" spans="1:124" x14ac:dyDescent="0.35">
      <c r="A583" s="8">
        <v>94.304000000000002</v>
      </c>
      <c r="H583">
        <v>82.366</v>
      </c>
      <c r="BM583">
        <v>166.14500000000001</v>
      </c>
      <c r="BV583">
        <v>59.521999999999998</v>
      </c>
      <c r="DT583">
        <v>99.174999999999997</v>
      </c>
    </row>
    <row r="584" spans="1:124" x14ac:dyDescent="0.35">
      <c r="A584">
        <v>230.642</v>
      </c>
      <c r="H584" s="8">
        <v>82.090999999999994</v>
      </c>
      <c r="BM584">
        <v>138.84100000000001</v>
      </c>
      <c r="BV584">
        <v>59.459000000000003</v>
      </c>
      <c r="DM584">
        <v>115.42</v>
      </c>
      <c r="DT584">
        <v>98.703999999999994</v>
      </c>
    </row>
    <row r="585" spans="1:124" x14ac:dyDescent="0.35">
      <c r="A585">
        <v>72.938999999999993</v>
      </c>
      <c r="H585" s="8">
        <v>81.569999999999993</v>
      </c>
      <c r="BM585">
        <v>308.57100000000003</v>
      </c>
      <c r="BV585">
        <v>59.322000000000003</v>
      </c>
      <c r="DM585">
        <v>172.3</v>
      </c>
      <c r="DT585">
        <v>98.269000000000005</v>
      </c>
    </row>
    <row r="586" spans="1:124" x14ac:dyDescent="0.35">
      <c r="A586" s="8">
        <v>135.304</v>
      </c>
      <c r="H586" s="8">
        <v>81.436999999999998</v>
      </c>
      <c r="BM586">
        <v>233.34899999999999</v>
      </c>
      <c r="BV586">
        <v>59.277999999999999</v>
      </c>
      <c r="DM586">
        <v>93.418999999999997</v>
      </c>
      <c r="DT586">
        <v>98.036000000000001</v>
      </c>
    </row>
    <row r="587" spans="1:124" x14ac:dyDescent="0.35">
      <c r="A587" s="8">
        <v>161.31200000000001</v>
      </c>
      <c r="H587">
        <v>81.271000000000001</v>
      </c>
      <c r="BM587">
        <v>244.43100000000001</v>
      </c>
      <c r="BV587">
        <v>58.959000000000003</v>
      </c>
      <c r="DM587">
        <v>48.003999999999998</v>
      </c>
      <c r="DT587">
        <v>97.694999999999993</v>
      </c>
    </row>
    <row r="588" spans="1:124" x14ac:dyDescent="0.35">
      <c r="A588">
        <v>95.323999999999998</v>
      </c>
      <c r="H588">
        <v>81.194999999999993</v>
      </c>
      <c r="BM588">
        <v>281.39</v>
      </c>
      <c r="BV588">
        <v>58.951000000000001</v>
      </c>
      <c r="DM588">
        <v>106.815</v>
      </c>
      <c r="DT588">
        <v>97.66</v>
      </c>
    </row>
    <row r="589" spans="1:124" x14ac:dyDescent="0.35">
      <c r="A589">
        <v>66.763999999999996</v>
      </c>
      <c r="H589">
        <v>80.662999999999997</v>
      </c>
      <c r="BM589">
        <v>230.477</v>
      </c>
      <c r="BV589">
        <v>58.933999999999997</v>
      </c>
      <c r="DM589">
        <v>44.488999999999997</v>
      </c>
      <c r="DT589">
        <v>97.316999999999993</v>
      </c>
    </row>
    <row r="590" spans="1:124" x14ac:dyDescent="0.35">
      <c r="A590">
        <v>120.005</v>
      </c>
      <c r="H590" s="8">
        <v>80.545000000000002</v>
      </c>
      <c r="BM590">
        <v>266.15499999999997</v>
      </c>
      <c r="BV590">
        <v>58.515999999999998</v>
      </c>
      <c r="DM590">
        <v>16.027000000000001</v>
      </c>
      <c r="DT590">
        <v>97.094999999999999</v>
      </c>
    </row>
    <row r="591" spans="1:124" x14ac:dyDescent="0.35">
      <c r="A591">
        <v>70.382000000000005</v>
      </c>
      <c r="H591" s="8">
        <v>80.454999999999998</v>
      </c>
      <c r="BM591">
        <v>84.787000000000006</v>
      </c>
      <c r="BV591">
        <v>58.298999999999999</v>
      </c>
      <c r="DM591">
        <v>59.289000000000001</v>
      </c>
      <c r="DT591">
        <v>96.79</v>
      </c>
    </row>
    <row r="592" spans="1:124" x14ac:dyDescent="0.35">
      <c r="A592" s="8">
        <v>151.566</v>
      </c>
      <c r="H592">
        <v>80.302999999999997</v>
      </c>
      <c r="BM592">
        <v>181.517</v>
      </c>
      <c r="BV592">
        <v>58.216000000000001</v>
      </c>
      <c r="DM592">
        <v>62.398000000000003</v>
      </c>
      <c r="DT592">
        <v>96.784999999999997</v>
      </c>
    </row>
    <row r="593" spans="1:124" x14ac:dyDescent="0.35">
      <c r="A593">
        <v>77.512</v>
      </c>
      <c r="H593">
        <v>80.198999999999998</v>
      </c>
      <c r="BM593">
        <v>150.17699999999999</v>
      </c>
      <c r="BV593">
        <v>58.215000000000003</v>
      </c>
      <c r="DM593">
        <v>96.683999999999997</v>
      </c>
      <c r="DT593">
        <v>96.683999999999997</v>
      </c>
    </row>
    <row r="594" spans="1:124" x14ac:dyDescent="0.35">
      <c r="A594">
        <v>220.87200000000001</v>
      </c>
      <c r="H594">
        <v>80.087999999999994</v>
      </c>
      <c r="BM594">
        <v>54.872999999999998</v>
      </c>
      <c r="BV594">
        <v>57.375999999999998</v>
      </c>
      <c r="DM594">
        <v>113.807</v>
      </c>
      <c r="DT594">
        <v>96.494</v>
      </c>
    </row>
    <row r="595" spans="1:124" x14ac:dyDescent="0.35">
      <c r="A595" s="8">
        <v>157.90899999999999</v>
      </c>
      <c r="H595">
        <v>80.066000000000003</v>
      </c>
      <c r="BM595">
        <v>34.795000000000002</v>
      </c>
      <c r="BV595">
        <v>57.186</v>
      </c>
      <c r="DM595">
        <v>235.04</v>
      </c>
      <c r="DT595">
        <v>96.373000000000005</v>
      </c>
    </row>
    <row r="596" spans="1:124" x14ac:dyDescent="0.35">
      <c r="A596" s="8">
        <v>48.837000000000003</v>
      </c>
      <c r="H596">
        <v>79.415999999999997</v>
      </c>
      <c r="BM596">
        <v>199.607</v>
      </c>
      <c r="BV596">
        <v>57.158999999999999</v>
      </c>
      <c r="DM596">
        <v>241.37899999999999</v>
      </c>
      <c r="DT596">
        <v>95.635000000000005</v>
      </c>
    </row>
    <row r="597" spans="1:124" x14ac:dyDescent="0.35">
      <c r="A597" s="8">
        <v>104.321</v>
      </c>
      <c r="H597">
        <v>79.198999999999998</v>
      </c>
      <c r="BM597">
        <v>127.995</v>
      </c>
      <c r="BV597">
        <v>56.945999999999998</v>
      </c>
      <c r="DM597">
        <v>260.85000000000002</v>
      </c>
      <c r="DT597">
        <v>95.608000000000004</v>
      </c>
    </row>
    <row r="598" spans="1:124" x14ac:dyDescent="0.35">
      <c r="A598" s="8">
        <v>56.052999999999997</v>
      </c>
      <c r="H598">
        <v>78.962000000000003</v>
      </c>
      <c r="BM598">
        <v>139.53700000000001</v>
      </c>
      <c r="BV598">
        <v>56.771999999999998</v>
      </c>
      <c r="DM598">
        <v>35.585999999999999</v>
      </c>
      <c r="DT598">
        <v>95.537000000000006</v>
      </c>
    </row>
    <row r="599" spans="1:124" x14ac:dyDescent="0.35">
      <c r="A599">
        <v>122.819</v>
      </c>
      <c r="H599">
        <v>78.909000000000006</v>
      </c>
      <c r="BM599">
        <v>40.113999999999997</v>
      </c>
      <c r="BV599">
        <v>56.73</v>
      </c>
      <c r="DM599">
        <v>55.374000000000002</v>
      </c>
      <c r="DT599">
        <v>95.192999999999998</v>
      </c>
    </row>
    <row r="600" spans="1:124" x14ac:dyDescent="0.35">
      <c r="A600" s="8">
        <v>251.56299999999999</v>
      </c>
      <c r="H600">
        <v>78.634</v>
      </c>
      <c r="BM600">
        <v>144.92599999999999</v>
      </c>
      <c r="BV600">
        <v>56.643999999999998</v>
      </c>
      <c r="DM600">
        <v>170.87</v>
      </c>
      <c r="DT600">
        <v>94.814999999999998</v>
      </c>
    </row>
    <row r="601" spans="1:124" x14ac:dyDescent="0.35">
      <c r="A601">
        <v>199.41900000000001</v>
      </c>
      <c r="H601">
        <v>78.616</v>
      </c>
      <c r="BM601">
        <v>79.834000000000003</v>
      </c>
      <c r="BV601">
        <v>56.496000000000002</v>
      </c>
      <c r="DM601">
        <v>180.065</v>
      </c>
      <c r="DT601">
        <v>94.697999999999993</v>
      </c>
    </row>
    <row r="602" spans="1:124" x14ac:dyDescent="0.35">
      <c r="A602">
        <v>144.88</v>
      </c>
      <c r="H602">
        <v>78.567999999999998</v>
      </c>
      <c r="BM602">
        <v>84.195999999999998</v>
      </c>
      <c r="BV602">
        <v>55.683</v>
      </c>
      <c r="DM602">
        <v>200.012</v>
      </c>
      <c r="DT602">
        <v>94.555000000000007</v>
      </c>
    </row>
    <row r="603" spans="1:124" x14ac:dyDescent="0.35">
      <c r="A603">
        <v>81.194999999999993</v>
      </c>
      <c r="H603">
        <v>78.298000000000002</v>
      </c>
      <c r="BM603">
        <v>177.55099999999999</v>
      </c>
      <c r="BV603">
        <v>55.518000000000001</v>
      </c>
      <c r="DM603">
        <v>23.62</v>
      </c>
      <c r="DT603">
        <v>93.915000000000006</v>
      </c>
    </row>
    <row r="604" spans="1:124" x14ac:dyDescent="0.35">
      <c r="A604" s="8">
        <v>69.194999999999993</v>
      </c>
      <c r="H604">
        <v>78.090999999999994</v>
      </c>
      <c r="BM604">
        <v>96.543000000000006</v>
      </c>
      <c r="BV604">
        <v>55.222999999999999</v>
      </c>
      <c r="DM604">
        <v>139.042</v>
      </c>
      <c r="DT604">
        <v>93.653999999999996</v>
      </c>
    </row>
    <row r="605" spans="1:124" x14ac:dyDescent="0.35">
      <c r="A605">
        <v>104.669</v>
      </c>
      <c r="H605">
        <v>78.087000000000003</v>
      </c>
      <c r="BM605">
        <v>113.873</v>
      </c>
      <c r="BV605">
        <v>55.029000000000003</v>
      </c>
      <c r="DM605">
        <v>146.39599999999999</v>
      </c>
      <c r="DT605">
        <v>93.46</v>
      </c>
    </row>
    <row r="606" spans="1:124" x14ac:dyDescent="0.35">
      <c r="A606">
        <v>131.035</v>
      </c>
      <c r="H606" s="8">
        <v>78.081999999999994</v>
      </c>
      <c r="BM606">
        <v>100.798</v>
      </c>
      <c r="BV606">
        <v>54.872999999999998</v>
      </c>
      <c r="DM606">
        <v>165.399</v>
      </c>
      <c r="DT606">
        <v>93.418999999999997</v>
      </c>
    </row>
    <row r="607" spans="1:124" x14ac:dyDescent="0.35">
      <c r="A607">
        <v>228.446</v>
      </c>
      <c r="H607">
        <v>77.825000000000003</v>
      </c>
      <c r="BM607">
        <v>64.992000000000004</v>
      </c>
      <c r="BV607">
        <v>54.71</v>
      </c>
      <c r="DM607">
        <v>123.703</v>
      </c>
      <c r="DT607">
        <v>93.337000000000003</v>
      </c>
    </row>
    <row r="608" spans="1:124" x14ac:dyDescent="0.35">
      <c r="A608">
        <v>268.20299999999997</v>
      </c>
      <c r="H608">
        <v>77.549000000000007</v>
      </c>
      <c r="BM608">
        <v>47.783000000000001</v>
      </c>
      <c r="BV608">
        <v>54.603999999999999</v>
      </c>
      <c r="DM608">
        <v>129.73599999999999</v>
      </c>
      <c r="DT608">
        <v>93.061999999999998</v>
      </c>
    </row>
    <row r="609" spans="1:124" x14ac:dyDescent="0.35">
      <c r="A609">
        <v>324.14</v>
      </c>
      <c r="H609">
        <v>77.512</v>
      </c>
      <c r="BM609">
        <v>50.436999999999998</v>
      </c>
      <c r="BV609">
        <v>54.49</v>
      </c>
      <c r="DM609">
        <v>148.46700000000001</v>
      </c>
      <c r="DT609">
        <v>93.036000000000001</v>
      </c>
    </row>
    <row r="610" spans="1:124" x14ac:dyDescent="0.35">
      <c r="A610">
        <v>317.67</v>
      </c>
      <c r="H610">
        <v>77.277000000000001</v>
      </c>
      <c r="BM610">
        <v>102.087</v>
      </c>
      <c r="BV610">
        <v>54.487000000000002</v>
      </c>
      <c r="DM610">
        <v>17.29</v>
      </c>
      <c r="DT610">
        <v>92.974999999999994</v>
      </c>
    </row>
    <row r="611" spans="1:124" x14ac:dyDescent="0.35">
      <c r="A611">
        <v>39.911000000000001</v>
      </c>
      <c r="H611">
        <v>77.182000000000002</v>
      </c>
      <c r="BM611">
        <v>101.80200000000001</v>
      </c>
      <c r="BV611">
        <v>54.317999999999998</v>
      </c>
      <c r="DM611">
        <v>32.220999999999997</v>
      </c>
      <c r="DT611">
        <v>92.587000000000003</v>
      </c>
    </row>
    <row r="612" spans="1:124" x14ac:dyDescent="0.35">
      <c r="A612">
        <v>131.85300000000001</v>
      </c>
      <c r="H612" s="8">
        <v>77.168000000000006</v>
      </c>
      <c r="BM612">
        <v>150.554</v>
      </c>
      <c r="BV612">
        <v>54.290999999999997</v>
      </c>
      <c r="DM612">
        <v>22.076000000000001</v>
      </c>
      <c r="DT612">
        <v>92.531999999999996</v>
      </c>
    </row>
    <row r="613" spans="1:124" x14ac:dyDescent="0.35">
      <c r="A613">
        <v>162.511</v>
      </c>
      <c r="H613">
        <v>77.081000000000003</v>
      </c>
      <c r="BM613">
        <v>172.79599999999999</v>
      </c>
      <c r="BV613">
        <v>54.042999999999999</v>
      </c>
      <c r="DM613">
        <v>93.337000000000003</v>
      </c>
      <c r="DT613">
        <v>92.488</v>
      </c>
    </row>
    <row r="614" spans="1:124" x14ac:dyDescent="0.35">
      <c r="A614">
        <v>219.32400000000001</v>
      </c>
      <c r="H614">
        <v>76.989999999999995</v>
      </c>
      <c r="BM614">
        <v>206.58199999999999</v>
      </c>
      <c r="BV614">
        <v>53.911999999999999</v>
      </c>
      <c r="DM614">
        <v>140.81700000000001</v>
      </c>
      <c r="DT614">
        <v>92.272999999999996</v>
      </c>
    </row>
    <row r="615" spans="1:124" x14ac:dyDescent="0.35">
      <c r="A615">
        <v>211.31700000000001</v>
      </c>
      <c r="H615">
        <v>76.844999999999999</v>
      </c>
      <c r="BM615">
        <v>50.682000000000002</v>
      </c>
      <c r="BV615">
        <v>53.686999999999998</v>
      </c>
      <c r="DM615">
        <v>207.28200000000001</v>
      </c>
      <c r="DT615">
        <v>91.71</v>
      </c>
    </row>
    <row r="616" spans="1:124" x14ac:dyDescent="0.35">
      <c r="A616">
        <v>97.685000000000002</v>
      </c>
      <c r="H616">
        <v>76.718999999999994</v>
      </c>
      <c r="BM616">
        <v>58.933999999999997</v>
      </c>
      <c r="BV616">
        <v>53.524999999999999</v>
      </c>
      <c r="DM616">
        <v>247.59200000000001</v>
      </c>
      <c r="DT616">
        <v>91.706000000000003</v>
      </c>
    </row>
    <row r="617" spans="1:124" x14ac:dyDescent="0.35">
      <c r="A617">
        <v>145.70099999999999</v>
      </c>
      <c r="H617" s="8">
        <v>76.638999999999996</v>
      </c>
      <c r="BM617">
        <v>105.687</v>
      </c>
      <c r="BV617">
        <v>53.475000000000001</v>
      </c>
      <c r="DM617">
        <v>285.40800000000002</v>
      </c>
      <c r="DT617">
        <v>91.539000000000001</v>
      </c>
    </row>
    <row r="618" spans="1:124" x14ac:dyDescent="0.35">
      <c r="A618">
        <v>194.69300000000001</v>
      </c>
      <c r="H618">
        <v>76.616</v>
      </c>
      <c r="BM618">
        <v>128.71</v>
      </c>
      <c r="BV618">
        <v>53.47</v>
      </c>
      <c r="DM618">
        <v>50.317999999999998</v>
      </c>
      <c r="DT618">
        <v>91.501999999999995</v>
      </c>
    </row>
    <row r="619" spans="1:124" x14ac:dyDescent="0.35">
      <c r="A619">
        <v>190.66</v>
      </c>
      <c r="H619" s="8">
        <v>76.468999999999994</v>
      </c>
      <c r="BM619">
        <v>166.50800000000001</v>
      </c>
      <c r="BV619">
        <v>53.085000000000001</v>
      </c>
      <c r="DM619">
        <v>122.982</v>
      </c>
      <c r="DT619">
        <v>91.046000000000006</v>
      </c>
    </row>
    <row r="620" spans="1:124" x14ac:dyDescent="0.35">
      <c r="A620">
        <v>101.625</v>
      </c>
      <c r="H620">
        <v>76.350999999999999</v>
      </c>
      <c r="BM620">
        <v>36.826000000000001</v>
      </c>
      <c r="BV620">
        <v>52.457999999999998</v>
      </c>
      <c r="DM620">
        <v>159.06100000000001</v>
      </c>
      <c r="DT620">
        <v>89.272000000000006</v>
      </c>
    </row>
    <row r="621" spans="1:124" x14ac:dyDescent="0.35">
      <c r="A621">
        <v>112.357</v>
      </c>
      <c r="H621">
        <v>76.28</v>
      </c>
      <c r="BM621">
        <v>66.518000000000001</v>
      </c>
      <c r="BV621">
        <v>52.267000000000003</v>
      </c>
      <c r="DM621">
        <v>199.768</v>
      </c>
      <c r="DT621">
        <v>88.54</v>
      </c>
    </row>
    <row r="622" spans="1:124" x14ac:dyDescent="0.35">
      <c r="A622">
        <v>123.40300000000001</v>
      </c>
      <c r="H622">
        <v>76.277000000000001</v>
      </c>
      <c r="BM622">
        <v>79.777000000000001</v>
      </c>
      <c r="BV622">
        <v>51.765999999999998</v>
      </c>
      <c r="DM622">
        <v>87.18</v>
      </c>
      <c r="DT622">
        <v>88.537999999999997</v>
      </c>
    </row>
    <row r="623" spans="1:124" x14ac:dyDescent="0.35">
      <c r="A623">
        <v>75.254000000000005</v>
      </c>
      <c r="H623">
        <v>76.137</v>
      </c>
      <c r="BM623">
        <v>131.64599999999999</v>
      </c>
      <c r="BV623">
        <v>51.417000000000002</v>
      </c>
      <c r="DM623">
        <v>109.61799999999999</v>
      </c>
      <c r="DT623">
        <v>88.299000000000007</v>
      </c>
    </row>
    <row r="624" spans="1:124" x14ac:dyDescent="0.35">
      <c r="A624">
        <v>50.656999999999996</v>
      </c>
      <c r="H624" s="8">
        <v>75.953000000000003</v>
      </c>
      <c r="BM624">
        <v>52.457999999999998</v>
      </c>
      <c r="BV624">
        <v>51.246000000000002</v>
      </c>
      <c r="DM624">
        <v>158.94200000000001</v>
      </c>
      <c r="DT624">
        <v>87.521000000000001</v>
      </c>
    </row>
    <row r="625" spans="1:124" x14ac:dyDescent="0.35">
      <c r="A625">
        <v>134.71199999999999</v>
      </c>
      <c r="H625">
        <v>75.754000000000005</v>
      </c>
      <c r="BM625">
        <v>77.781000000000006</v>
      </c>
      <c r="BV625">
        <v>51.173999999999999</v>
      </c>
      <c r="DM625">
        <v>67.209000000000003</v>
      </c>
      <c r="DT625">
        <v>87.278999999999996</v>
      </c>
    </row>
    <row r="626" spans="1:124" x14ac:dyDescent="0.35">
      <c r="A626">
        <v>43.417999999999999</v>
      </c>
      <c r="H626">
        <v>75.753</v>
      </c>
      <c r="BM626">
        <v>109.33</v>
      </c>
      <c r="BV626">
        <v>50.9</v>
      </c>
      <c r="DM626">
        <v>77.489999999999995</v>
      </c>
      <c r="DT626">
        <v>87.233999999999995</v>
      </c>
    </row>
    <row r="627" spans="1:124" x14ac:dyDescent="0.35">
      <c r="A627">
        <v>59.103000000000002</v>
      </c>
      <c r="H627">
        <v>75.281999999999996</v>
      </c>
      <c r="BM627">
        <v>30.632999999999999</v>
      </c>
      <c r="BV627">
        <v>50.743000000000002</v>
      </c>
      <c r="DM627">
        <v>74.27</v>
      </c>
      <c r="DT627">
        <v>87.18</v>
      </c>
    </row>
    <row r="628" spans="1:124" x14ac:dyDescent="0.35">
      <c r="A628">
        <v>78.090999999999994</v>
      </c>
      <c r="H628" s="8">
        <v>75.278000000000006</v>
      </c>
      <c r="BM628">
        <v>70.712000000000003</v>
      </c>
      <c r="BV628">
        <v>50.682000000000002</v>
      </c>
      <c r="DM628">
        <v>397.43900000000002</v>
      </c>
      <c r="DT628">
        <v>86.102999999999994</v>
      </c>
    </row>
    <row r="629" spans="1:124" x14ac:dyDescent="0.35">
      <c r="A629">
        <v>211.738</v>
      </c>
      <c r="H629">
        <v>75.254000000000005</v>
      </c>
      <c r="BM629">
        <v>73.617000000000004</v>
      </c>
      <c r="BV629">
        <v>50.655999999999999</v>
      </c>
      <c r="DM629">
        <v>41.436</v>
      </c>
      <c r="DT629">
        <v>86.012</v>
      </c>
    </row>
    <row r="630" spans="1:124" x14ac:dyDescent="0.35">
      <c r="A630">
        <v>217.691</v>
      </c>
      <c r="H630" s="8">
        <v>75.248999999999995</v>
      </c>
      <c r="BM630">
        <v>154.41800000000001</v>
      </c>
      <c r="BV630">
        <v>50.585999999999999</v>
      </c>
      <c r="DM630">
        <v>79.894000000000005</v>
      </c>
      <c r="DT630">
        <v>85.503</v>
      </c>
    </row>
    <row r="631" spans="1:124" x14ac:dyDescent="0.35">
      <c r="A631">
        <v>161.45400000000001</v>
      </c>
      <c r="H631" s="8">
        <v>75.176000000000002</v>
      </c>
      <c r="BM631">
        <v>45.238999999999997</v>
      </c>
      <c r="BV631">
        <v>50.484000000000002</v>
      </c>
      <c r="DM631">
        <v>132.35300000000001</v>
      </c>
      <c r="DT631">
        <v>85.459000000000003</v>
      </c>
    </row>
    <row r="632" spans="1:124" x14ac:dyDescent="0.35">
      <c r="A632">
        <v>82.724000000000004</v>
      </c>
      <c r="H632">
        <v>75.123999999999995</v>
      </c>
      <c r="BM632">
        <v>80.941999999999993</v>
      </c>
      <c r="BV632">
        <v>50.436999999999998</v>
      </c>
      <c r="DM632">
        <v>380.59300000000002</v>
      </c>
      <c r="DT632">
        <v>85.134</v>
      </c>
    </row>
    <row r="633" spans="1:124" x14ac:dyDescent="0.35">
      <c r="A633">
        <v>70.796999999999997</v>
      </c>
      <c r="H633">
        <v>75.058999999999997</v>
      </c>
      <c r="BM633">
        <v>212.20400000000001</v>
      </c>
      <c r="BV633">
        <v>49.841999999999999</v>
      </c>
      <c r="DM633">
        <v>188.55199999999999</v>
      </c>
      <c r="DT633">
        <v>84.753</v>
      </c>
    </row>
    <row r="634" spans="1:124" x14ac:dyDescent="0.35">
      <c r="A634">
        <v>78.634</v>
      </c>
      <c r="H634">
        <v>74.882999999999996</v>
      </c>
      <c r="I634">
        <f>264*2</f>
        <v>528</v>
      </c>
      <c r="J634">
        <v>29</v>
      </c>
      <c r="BM634">
        <v>109.934</v>
      </c>
      <c r="BV634">
        <v>49.81</v>
      </c>
      <c r="DM634">
        <v>245.11799999999999</v>
      </c>
      <c r="DT634">
        <v>84.638000000000005</v>
      </c>
    </row>
    <row r="635" spans="1:124" x14ac:dyDescent="0.35">
      <c r="A635">
        <v>84.44</v>
      </c>
      <c r="H635">
        <v>74.588999999999999</v>
      </c>
      <c r="BM635">
        <v>202.92500000000001</v>
      </c>
      <c r="BV635">
        <v>49.670999999999999</v>
      </c>
      <c r="DM635">
        <v>402.70499999999998</v>
      </c>
      <c r="DT635">
        <v>84.486000000000004</v>
      </c>
    </row>
    <row r="636" spans="1:124" x14ac:dyDescent="0.35">
      <c r="A636">
        <v>95.879000000000005</v>
      </c>
      <c r="H636">
        <v>74.582999999999998</v>
      </c>
      <c r="BM636">
        <v>199.02099999999999</v>
      </c>
      <c r="BV636">
        <v>49.435000000000002</v>
      </c>
      <c r="DM636">
        <v>321.685</v>
      </c>
      <c r="DT636">
        <v>84.46</v>
      </c>
    </row>
    <row r="637" spans="1:124" x14ac:dyDescent="0.35">
      <c r="A637">
        <v>118.328</v>
      </c>
      <c r="H637">
        <v>74.036000000000001</v>
      </c>
      <c r="BM637">
        <v>78.510999999999996</v>
      </c>
      <c r="BV637">
        <v>49.265999999999998</v>
      </c>
      <c r="DM637">
        <v>270.45600000000002</v>
      </c>
      <c r="DT637">
        <v>84.308000000000007</v>
      </c>
    </row>
    <row r="638" spans="1:124" x14ac:dyDescent="0.35">
      <c r="A638">
        <v>237.61</v>
      </c>
      <c r="H638" s="8">
        <v>73.835999999999999</v>
      </c>
      <c r="BM638">
        <v>56.643999999999998</v>
      </c>
      <c r="BV638">
        <v>49.179000000000002</v>
      </c>
      <c r="DM638">
        <v>37.991999999999997</v>
      </c>
      <c r="DT638">
        <v>84.075000000000003</v>
      </c>
    </row>
    <row r="639" spans="1:124" x14ac:dyDescent="0.35">
      <c r="A639">
        <v>244.69900000000001</v>
      </c>
      <c r="H639" s="8">
        <v>73.218999999999994</v>
      </c>
      <c r="BM639">
        <v>48.238</v>
      </c>
      <c r="BV639">
        <v>48.631999999999998</v>
      </c>
      <c r="DM639">
        <v>211.43600000000001</v>
      </c>
      <c r="DT639">
        <v>83.3</v>
      </c>
    </row>
    <row r="640" spans="1:124" x14ac:dyDescent="0.35">
      <c r="A640">
        <v>21.928000000000001</v>
      </c>
      <c r="H640">
        <v>72.977000000000004</v>
      </c>
      <c r="BM640">
        <v>55.683</v>
      </c>
      <c r="BV640">
        <v>48.485999999999997</v>
      </c>
      <c r="DM640">
        <v>159.90100000000001</v>
      </c>
      <c r="DT640">
        <v>83.09</v>
      </c>
    </row>
    <row r="641" spans="1:124" x14ac:dyDescent="0.35">
      <c r="A641">
        <v>159.04</v>
      </c>
      <c r="H641">
        <v>72.938999999999993</v>
      </c>
      <c r="BM641">
        <v>121.88500000000001</v>
      </c>
      <c r="BV641">
        <v>48.238</v>
      </c>
      <c r="DT641">
        <v>82.816999999999993</v>
      </c>
    </row>
    <row r="642" spans="1:124" x14ac:dyDescent="0.35">
      <c r="A642">
        <v>163.81100000000001</v>
      </c>
      <c r="H642">
        <v>72.760999999999996</v>
      </c>
      <c r="BM642">
        <v>254.565</v>
      </c>
      <c r="BV642">
        <v>48.109000000000002</v>
      </c>
      <c r="DM642">
        <v>146.029</v>
      </c>
      <c r="DT642">
        <v>82.8</v>
      </c>
    </row>
    <row r="643" spans="1:124" x14ac:dyDescent="0.35">
      <c r="A643">
        <v>145.655</v>
      </c>
      <c r="H643">
        <v>72.622</v>
      </c>
      <c r="BM643">
        <v>151.857</v>
      </c>
      <c r="BV643">
        <v>47.814</v>
      </c>
      <c r="DM643">
        <v>389.35700000000003</v>
      </c>
      <c r="DT643">
        <v>82.361999999999995</v>
      </c>
    </row>
    <row r="644" spans="1:124" x14ac:dyDescent="0.35">
      <c r="A644">
        <v>204.27500000000001</v>
      </c>
      <c r="H644">
        <v>72.251999999999995</v>
      </c>
      <c r="BM644">
        <v>248.67699999999999</v>
      </c>
      <c r="BV644">
        <v>47.81</v>
      </c>
      <c r="DM644">
        <v>197.18600000000001</v>
      </c>
      <c r="DT644">
        <v>82.289000000000001</v>
      </c>
    </row>
    <row r="645" spans="1:124" x14ac:dyDescent="0.35">
      <c r="A645">
        <v>72.622</v>
      </c>
      <c r="H645">
        <v>72.078999999999994</v>
      </c>
      <c r="BM645">
        <v>132.786</v>
      </c>
      <c r="BV645">
        <v>47.789000000000001</v>
      </c>
      <c r="DM645">
        <v>256.52600000000001</v>
      </c>
      <c r="DT645">
        <v>82.162000000000006</v>
      </c>
    </row>
    <row r="646" spans="1:124" x14ac:dyDescent="0.35">
      <c r="A646">
        <v>114.191</v>
      </c>
      <c r="H646">
        <v>71.897000000000006</v>
      </c>
      <c r="BM646">
        <v>30.815999999999999</v>
      </c>
      <c r="BV646">
        <v>47.783000000000001</v>
      </c>
      <c r="DM646">
        <v>57.948999999999998</v>
      </c>
      <c r="DT646">
        <v>81.962000000000003</v>
      </c>
    </row>
    <row r="647" spans="1:124" x14ac:dyDescent="0.35">
      <c r="A647">
        <v>111.31399999999999</v>
      </c>
      <c r="H647">
        <v>71.87</v>
      </c>
      <c r="BM647">
        <v>124.155</v>
      </c>
      <c r="BV647">
        <v>47.267000000000003</v>
      </c>
      <c r="DM647">
        <v>302.44900000000001</v>
      </c>
      <c r="DT647">
        <v>81.902000000000001</v>
      </c>
    </row>
    <row r="648" spans="1:124" x14ac:dyDescent="0.35">
      <c r="A648">
        <v>234.785</v>
      </c>
      <c r="H648">
        <v>71.539000000000001</v>
      </c>
      <c r="BM648">
        <v>103.185</v>
      </c>
      <c r="BV648">
        <v>47.210999999999999</v>
      </c>
      <c r="DM648">
        <v>110.502</v>
      </c>
      <c r="DT648">
        <v>81.424999999999997</v>
      </c>
    </row>
    <row r="649" spans="1:124" x14ac:dyDescent="0.35">
      <c r="A649">
        <v>171.99100000000001</v>
      </c>
      <c r="H649">
        <v>71.435000000000002</v>
      </c>
      <c r="BM649">
        <v>37.271999999999998</v>
      </c>
      <c r="BV649">
        <v>47.194000000000003</v>
      </c>
      <c r="DM649">
        <v>169.416</v>
      </c>
      <c r="DT649">
        <v>81.414000000000001</v>
      </c>
    </row>
    <row r="650" spans="1:124" x14ac:dyDescent="0.35">
      <c r="A650">
        <v>207.892</v>
      </c>
      <c r="H650" s="8">
        <v>71.361999999999995</v>
      </c>
      <c r="BM650">
        <v>95.584000000000003</v>
      </c>
      <c r="BV650">
        <v>47.170999999999999</v>
      </c>
      <c r="DM650">
        <v>251.863</v>
      </c>
      <c r="DT650">
        <v>81.369</v>
      </c>
    </row>
    <row r="651" spans="1:124" x14ac:dyDescent="0.35">
      <c r="A651">
        <v>143.34899999999999</v>
      </c>
      <c r="H651">
        <v>71.174000000000007</v>
      </c>
      <c r="BM651">
        <v>75.090999999999994</v>
      </c>
      <c r="BV651">
        <v>47.155999999999999</v>
      </c>
      <c r="DM651">
        <v>60.902999999999999</v>
      </c>
      <c r="DT651">
        <v>81.087999999999994</v>
      </c>
    </row>
    <row r="652" spans="1:124" x14ac:dyDescent="0.35">
      <c r="A652">
        <v>90.543999999999997</v>
      </c>
      <c r="H652" s="8">
        <v>70.843999999999994</v>
      </c>
      <c r="BM652">
        <v>141.97999999999999</v>
      </c>
      <c r="BV652">
        <v>46.97</v>
      </c>
      <c r="DM652">
        <v>113.89700000000001</v>
      </c>
      <c r="DT652">
        <v>80.834000000000003</v>
      </c>
    </row>
    <row r="653" spans="1:124" x14ac:dyDescent="0.35">
      <c r="A653">
        <v>96.402000000000001</v>
      </c>
      <c r="H653">
        <v>70.796999999999997</v>
      </c>
      <c r="BM653">
        <v>157.49799999999999</v>
      </c>
      <c r="BV653">
        <v>46.802999999999997</v>
      </c>
      <c r="DM653">
        <v>195.00200000000001</v>
      </c>
      <c r="DT653">
        <v>80.831000000000003</v>
      </c>
    </row>
    <row r="654" spans="1:124" x14ac:dyDescent="0.35">
      <c r="A654">
        <v>49.207999999999998</v>
      </c>
      <c r="H654">
        <v>70.55</v>
      </c>
      <c r="BM654">
        <v>190.15</v>
      </c>
      <c r="BV654">
        <v>46.597999999999999</v>
      </c>
      <c r="DM654">
        <v>136.833</v>
      </c>
      <c r="DT654">
        <v>80.557000000000002</v>
      </c>
    </row>
    <row r="655" spans="1:124" x14ac:dyDescent="0.35">
      <c r="A655">
        <v>56.383000000000003</v>
      </c>
      <c r="H655">
        <v>70.382000000000005</v>
      </c>
      <c r="BM655">
        <v>98.444999999999993</v>
      </c>
      <c r="BV655">
        <v>46.576999999999998</v>
      </c>
      <c r="DM655">
        <v>60.002000000000002</v>
      </c>
      <c r="DT655">
        <v>80.364000000000004</v>
      </c>
    </row>
    <row r="656" spans="1:124" x14ac:dyDescent="0.35">
      <c r="A656">
        <v>36.959000000000003</v>
      </c>
      <c r="H656">
        <v>70.308000000000007</v>
      </c>
      <c r="BM656">
        <v>123.56</v>
      </c>
      <c r="BV656">
        <v>46.499000000000002</v>
      </c>
      <c r="DM656">
        <v>27.207000000000001</v>
      </c>
      <c r="DT656">
        <v>80.34</v>
      </c>
    </row>
    <row r="657" spans="1:126" x14ac:dyDescent="0.35">
      <c r="A657">
        <v>57.712000000000003</v>
      </c>
      <c r="H657">
        <v>70.007000000000005</v>
      </c>
      <c r="BM657">
        <v>137.292</v>
      </c>
      <c r="BV657">
        <v>46.42</v>
      </c>
      <c r="DM657">
        <v>58.192</v>
      </c>
      <c r="DT657">
        <v>80.188000000000002</v>
      </c>
    </row>
    <row r="658" spans="1:126" x14ac:dyDescent="0.35">
      <c r="A658">
        <v>64.807000000000002</v>
      </c>
      <c r="H658">
        <v>69.903999999999996</v>
      </c>
      <c r="BM658">
        <v>28.498999999999999</v>
      </c>
      <c r="BV658">
        <v>46.067999999999998</v>
      </c>
      <c r="DM658">
        <v>163.59100000000001</v>
      </c>
      <c r="DT658">
        <v>80.091999999999999</v>
      </c>
    </row>
    <row r="659" spans="1:126" x14ac:dyDescent="0.35">
      <c r="A659">
        <v>180.666</v>
      </c>
      <c r="H659">
        <v>69.849000000000004</v>
      </c>
      <c r="BM659">
        <v>50.484000000000002</v>
      </c>
      <c r="BV659">
        <v>46.018000000000001</v>
      </c>
      <c r="DM659">
        <v>203.06399999999999</v>
      </c>
      <c r="DT659">
        <v>79.894000000000005</v>
      </c>
    </row>
    <row r="660" spans="1:126" x14ac:dyDescent="0.35">
      <c r="A660">
        <v>123.167</v>
      </c>
      <c r="H660">
        <v>69.686000000000007</v>
      </c>
      <c r="BM660">
        <v>48.631999999999998</v>
      </c>
      <c r="BV660">
        <v>45.472999999999999</v>
      </c>
      <c r="DM660">
        <v>247.52</v>
      </c>
      <c r="DT660">
        <v>79.578000000000003</v>
      </c>
    </row>
    <row r="661" spans="1:126" x14ac:dyDescent="0.35">
      <c r="A661">
        <v>155.30099999999999</v>
      </c>
      <c r="H661">
        <v>69.634</v>
      </c>
      <c r="BM661">
        <v>50.743000000000002</v>
      </c>
      <c r="BV661">
        <v>45.445999999999998</v>
      </c>
      <c r="DM661">
        <v>297.06299999999999</v>
      </c>
      <c r="DT661">
        <v>78.783000000000001</v>
      </c>
    </row>
    <row r="662" spans="1:126" x14ac:dyDescent="0.35">
      <c r="A662">
        <v>18.446999999999999</v>
      </c>
      <c r="H662">
        <v>69.602999999999994</v>
      </c>
      <c r="BM662">
        <v>80.468999999999994</v>
      </c>
      <c r="BV662">
        <v>45.238999999999997</v>
      </c>
      <c r="DM662">
        <v>34.554000000000002</v>
      </c>
      <c r="DT662">
        <v>78.31</v>
      </c>
    </row>
    <row r="663" spans="1:126" x14ac:dyDescent="0.35">
      <c r="A663">
        <v>124.405</v>
      </c>
      <c r="H663">
        <v>69.436000000000007</v>
      </c>
      <c r="BM663">
        <v>145.16499999999999</v>
      </c>
      <c r="BV663">
        <v>45.201000000000001</v>
      </c>
      <c r="DM663">
        <v>151.71100000000001</v>
      </c>
      <c r="DT663">
        <v>78.286000000000001</v>
      </c>
    </row>
    <row r="664" spans="1:126" x14ac:dyDescent="0.35">
      <c r="A664">
        <v>65.557000000000002</v>
      </c>
      <c r="H664">
        <v>69.406999999999996</v>
      </c>
      <c r="BM664">
        <v>167.34899999999999</v>
      </c>
      <c r="BV664">
        <v>45.113</v>
      </c>
      <c r="DM664">
        <v>185.79300000000001</v>
      </c>
      <c r="DT664">
        <v>77.521000000000001</v>
      </c>
    </row>
    <row r="665" spans="1:126" x14ac:dyDescent="0.35">
      <c r="A665">
        <v>97.444000000000003</v>
      </c>
      <c r="H665" s="8">
        <v>69.194999999999993</v>
      </c>
      <c r="BM665">
        <v>210.06399999999999</v>
      </c>
      <c r="BV665">
        <v>44.908999999999999</v>
      </c>
      <c r="DM665">
        <v>227.69900000000001</v>
      </c>
      <c r="DT665">
        <v>77.489999999999995</v>
      </c>
    </row>
    <row r="666" spans="1:126" x14ac:dyDescent="0.35">
      <c r="A666">
        <v>122.883</v>
      </c>
      <c r="H666">
        <v>69.025999999999996</v>
      </c>
      <c r="BM666">
        <v>73.834000000000003</v>
      </c>
      <c r="BV666">
        <v>44.171999999999997</v>
      </c>
      <c r="DM666">
        <v>273.01900000000001</v>
      </c>
      <c r="DT666">
        <v>77.489000000000004</v>
      </c>
    </row>
    <row r="667" spans="1:126" x14ac:dyDescent="0.35">
      <c r="A667">
        <v>62.598999999999997</v>
      </c>
      <c r="H667" s="8">
        <v>68.88</v>
      </c>
      <c r="BM667">
        <v>132.952</v>
      </c>
      <c r="BV667">
        <v>44.046999999999997</v>
      </c>
      <c r="DM667">
        <v>118.57</v>
      </c>
      <c r="DT667">
        <v>77.180000000000007</v>
      </c>
    </row>
    <row r="668" spans="1:126" x14ac:dyDescent="0.35">
      <c r="A668">
        <v>99.096000000000004</v>
      </c>
      <c r="H668">
        <v>68.867999999999995</v>
      </c>
      <c r="BM668">
        <v>148.09</v>
      </c>
      <c r="BV668">
        <v>43.966999999999999</v>
      </c>
      <c r="DM668">
        <v>151.339</v>
      </c>
      <c r="DT668">
        <v>76.864000000000004</v>
      </c>
    </row>
    <row r="669" spans="1:126" x14ac:dyDescent="0.35">
      <c r="A669">
        <v>69.436000000000007</v>
      </c>
      <c r="H669">
        <v>68.805999999999997</v>
      </c>
      <c r="BM669">
        <v>195.61699999999999</v>
      </c>
      <c r="BV669">
        <v>43.261000000000003</v>
      </c>
      <c r="DM669">
        <v>196.86699999999999</v>
      </c>
      <c r="DT669">
        <v>76.697999999999993</v>
      </c>
    </row>
    <row r="670" spans="1:126" x14ac:dyDescent="0.35">
      <c r="A670">
        <v>27.670999999999999</v>
      </c>
      <c r="H670">
        <v>68.317999999999998</v>
      </c>
      <c r="BM670">
        <v>68.584999999999994</v>
      </c>
      <c r="BV670">
        <v>43.167000000000002</v>
      </c>
      <c r="DM670">
        <v>237.84899999999999</v>
      </c>
      <c r="DT670">
        <v>76.373999999999995</v>
      </c>
    </row>
    <row r="671" spans="1:126" x14ac:dyDescent="0.35">
      <c r="A671">
        <v>38.561999999999998</v>
      </c>
      <c r="H671">
        <v>68.114000000000004</v>
      </c>
      <c r="BM671">
        <v>86.141999999999996</v>
      </c>
      <c r="BV671">
        <v>42.97</v>
      </c>
      <c r="DM671">
        <v>48.241</v>
      </c>
      <c r="DT671">
        <v>75.058999999999997</v>
      </c>
    </row>
    <row r="672" spans="1:126" x14ac:dyDescent="0.35">
      <c r="A672">
        <v>239.197</v>
      </c>
      <c r="H672">
        <v>67.977999999999994</v>
      </c>
      <c r="BM672">
        <v>131.29400000000001</v>
      </c>
      <c r="BV672">
        <v>42.848999999999997</v>
      </c>
      <c r="DM672">
        <v>88.299000000000007</v>
      </c>
      <c r="DT672">
        <v>74.838999999999999</v>
      </c>
      <c r="DU672">
        <f>261*2</f>
        <v>522</v>
      </c>
      <c r="DV672">
        <v>6</v>
      </c>
    </row>
    <row r="673" spans="1:124" x14ac:dyDescent="0.35">
      <c r="A673">
        <v>53.307000000000002</v>
      </c>
      <c r="H673" s="8">
        <v>67.843999999999994</v>
      </c>
      <c r="BM673">
        <v>31.550999999999998</v>
      </c>
      <c r="BV673">
        <v>42.56</v>
      </c>
      <c r="DM673">
        <v>151.96700000000001</v>
      </c>
      <c r="DT673">
        <v>74.683999999999997</v>
      </c>
    </row>
    <row r="674" spans="1:124" x14ac:dyDescent="0.35">
      <c r="A674">
        <v>37.968000000000004</v>
      </c>
      <c r="H674">
        <v>67.757999999999996</v>
      </c>
      <c r="BM674">
        <v>66.599999999999994</v>
      </c>
      <c r="BV674">
        <v>42.48</v>
      </c>
      <c r="DM674">
        <v>47.093000000000004</v>
      </c>
      <c r="DT674">
        <v>74.563999999999993</v>
      </c>
    </row>
    <row r="675" spans="1:124" x14ac:dyDescent="0.35">
      <c r="A675">
        <v>64.83</v>
      </c>
      <c r="H675">
        <v>67.691000000000003</v>
      </c>
      <c r="BM675">
        <v>48.485999999999997</v>
      </c>
      <c r="BV675">
        <v>42.314999999999998</v>
      </c>
      <c r="DM675">
        <v>106.124</v>
      </c>
      <c r="DT675">
        <v>74.27</v>
      </c>
    </row>
    <row r="676" spans="1:124" x14ac:dyDescent="0.35">
      <c r="A676">
        <v>212.60499999999999</v>
      </c>
      <c r="H676">
        <v>67.388000000000005</v>
      </c>
      <c r="BM676">
        <v>175.96</v>
      </c>
      <c r="BV676">
        <v>41.899000000000001</v>
      </c>
      <c r="DM676">
        <v>75.058999999999997</v>
      </c>
      <c r="DT676">
        <v>73.888000000000005</v>
      </c>
    </row>
    <row r="677" spans="1:124" x14ac:dyDescent="0.35">
      <c r="A677">
        <v>95.430999999999997</v>
      </c>
      <c r="H677" s="8">
        <v>67.373000000000005</v>
      </c>
      <c r="BM677">
        <v>253.49199999999999</v>
      </c>
      <c r="BV677">
        <v>41.881999999999998</v>
      </c>
      <c r="DM677">
        <v>31.646000000000001</v>
      </c>
      <c r="DT677">
        <v>73.697999999999993</v>
      </c>
    </row>
    <row r="678" spans="1:124" x14ac:dyDescent="0.35">
      <c r="A678">
        <v>149.36600000000001</v>
      </c>
      <c r="H678">
        <v>67.328999999999994</v>
      </c>
      <c r="BM678">
        <v>263.13900000000001</v>
      </c>
      <c r="BV678">
        <v>41.460999999999999</v>
      </c>
      <c r="DM678">
        <v>64.037999999999997</v>
      </c>
      <c r="DT678">
        <v>73.465000000000003</v>
      </c>
    </row>
    <row r="679" spans="1:124" x14ac:dyDescent="0.35">
      <c r="A679">
        <v>266.03500000000003</v>
      </c>
      <c r="H679">
        <v>67.313000000000002</v>
      </c>
      <c r="BM679">
        <v>305.589</v>
      </c>
      <c r="BV679">
        <v>41.414000000000001</v>
      </c>
      <c r="DM679">
        <v>154.934</v>
      </c>
      <c r="DT679">
        <v>73.058999999999997</v>
      </c>
    </row>
    <row r="680" spans="1:124" x14ac:dyDescent="0.35">
      <c r="A680">
        <v>217.08500000000001</v>
      </c>
      <c r="H680">
        <v>66.94</v>
      </c>
      <c r="BM680">
        <v>81.188000000000002</v>
      </c>
      <c r="BV680">
        <v>41.091999999999999</v>
      </c>
      <c r="DM680">
        <v>173.571</v>
      </c>
      <c r="DT680">
        <v>72.340999999999994</v>
      </c>
    </row>
    <row r="681" spans="1:124" x14ac:dyDescent="0.35">
      <c r="A681">
        <v>177.92599999999999</v>
      </c>
      <c r="H681">
        <v>66.900999999999996</v>
      </c>
      <c r="BM681">
        <v>95.998999999999995</v>
      </c>
      <c r="BV681">
        <v>40.844999999999999</v>
      </c>
      <c r="DM681">
        <v>196.34299999999999</v>
      </c>
      <c r="DT681">
        <v>72.180000000000007</v>
      </c>
    </row>
    <row r="682" spans="1:124" x14ac:dyDescent="0.35">
      <c r="A682">
        <v>48.055999999999997</v>
      </c>
      <c r="H682">
        <v>66.763999999999996</v>
      </c>
      <c r="BM682">
        <v>133.62100000000001</v>
      </c>
      <c r="BV682">
        <v>40.113999999999997</v>
      </c>
      <c r="DM682">
        <v>37.915999999999997</v>
      </c>
      <c r="DT682">
        <v>72.072999999999993</v>
      </c>
    </row>
    <row r="683" spans="1:124" x14ac:dyDescent="0.35">
      <c r="A683">
        <v>150.77199999999999</v>
      </c>
      <c r="H683">
        <v>66.635999999999996</v>
      </c>
      <c r="BM683">
        <v>14.670999999999999</v>
      </c>
      <c r="BV683">
        <v>39.923000000000002</v>
      </c>
      <c r="DM683">
        <v>126.69</v>
      </c>
      <c r="DT683">
        <v>71.688000000000002</v>
      </c>
    </row>
    <row r="684" spans="1:124" x14ac:dyDescent="0.35">
      <c r="A684">
        <v>93.227999999999994</v>
      </c>
      <c r="H684">
        <v>66.599000000000004</v>
      </c>
      <c r="BM684">
        <v>52.267000000000003</v>
      </c>
      <c r="BV684">
        <v>39.779000000000003</v>
      </c>
      <c r="DM684">
        <v>146.666</v>
      </c>
      <c r="DT684">
        <v>71.510000000000005</v>
      </c>
    </row>
    <row r="685" spans="1:124" x14ac:dyDescent="0.35">
      <c r="A685">
        <v>51.911000000000001</v>
      </c>
      <c r="H685">
        <v>65.557000000000002</v>
      </c>
      <c r="BM685">
        <v>42.314999999999998</v>
      </c>
      <c r="BV685">
        <v>39.642000000000003</v>
      </c>
      <c r="DM685">
        <v>169.51400000000001</v>
      </c>
      <c r="DT685">
        <v>71.391000000000005</v>
      </c>
    </row>
    <row r="686" spans="1:124" x14ac:dyDescent="0.35">
      <c r="A686">
        <v>104.48099999999999</v>
      </c>
      <c r="H686">
        <v>65.347999999999999</v>
      </c>
      <c r="BM686">
        <v>47.170999999999999</v>
      </c>
      <c r="BV686">
        <v>39.625999999999998</v>
      </c>
      <c r="DM686">
        <v>95.192999999999998</v>
      </c>
      <c r="DT686">
        <v>71.352999999999994</v>
      </c>
    </row>
    <row r="687" spans="1:124" x14ac:dyDescent="0.35">
      <c r="A687">
        <v>242.94200000000001</v>
      </c>
      <c r="H687">
        <v>64.888999999999996</v>
      </c>
      <c r="BM687">
        <v>62.72</v>
      </c>
      <c r="BV687">
        <v>39.01</v>
      </c>
      <c r="DM687">
        <v>113.526</v>
      </c>
      <c r="DT687">
        <v>70.947999999999993</v>
      </c>
    </row>
    <row r="688" spans="1:124" x14ac:dyDescent="0.35">
      <c r="A688">
        <v>135.83799999999999</v>
      </c>
      <c r="H688">
        <v>64.83</v>
      </c>
      <c r="BM688">
        <v>211.97399999999999</v>
      </c>
      <c r="BV688">
        <v>38.820999999999998</v>
      </c>
      <c r="DM688">
        <v>135.38200000000001</v>
      </c>
      <c r="DT688">
        <v>70.912000000000006</v>
      </c>
    </row>
    <row r="689" spans="1:124" x14ac:dyDescent="0.35">
      <c r="A689">
        <v>178.74700000000001</v>
      </c>
      <c r="H689">
        <v>64.807000000000002</v>
      </c>
      <c r="BM689">
        <v>348.02199999999999</v>
      </c>
      <c r="BV689">
        <v>38.709000000000003</v>
      </c>
      <c r="DM689">
        <v>25.646000000000001</v>
      </c>
      <c r="DT689">
        <v>70.858000000000004</v>
      </c>
    </row>
    <row r="690" spans="1:124" x14ac:dyDescent="0.35">
      <c r="A690">
        <v>54.723999999999997</v>
      </c>
      <c r="H690">
        <v>64.774000000000001</v>
      </c>
      <c r="BM690">
        <v>241.07900000000001</v>
      </c>
      <c r="BV690">
        <v>38.164000000000001</v>
      </c>
      <c r="DM690">
        <v>42.036000000000001</v>
      </c>
      <c r="DT690">
        <v>70.433999999999997</v>
      </c>
    </row>
    <row r="691" spans="1:124" x14ac:dyDescent="0.35">
      <c r="A691">
        <v>190.923</v>
      </c>
      <c r="H691">
        <v>64.730999999999995</v>
      </c>
      <c r="BM691">
        <v>264.101</v>
      </c>
      <c r="BV691">
        <v>37.786000000000001</v>
      </c>
      <c r="DM691">
        <v>22.943000000000001</v>
      </c>
      <c r="DT691">
        <v>70.308000000000007</v>
      </c>
    </row>
    <row r="692" spans="1:124" x14ac:dyDescent="0.35">
      <c r="A692">
        <v>86.679000000000002</v>
      </c>
      <c r="H692">
        <v>64.718999999999994</v>
      </c>
      <c r="BM692">
        <v>77.605000000000004</v>
      </c>
      <c r="BV692">
        <v>37.674999999999997</v>
      </c>
      <c r="DM692">
        <v>171.90700000000001</v>
      </c>
      <c r="DT692">
        <v>70.156000000000006</v>
      </c>
    </row>
    <row r="693" spans="1:124" x14ac:dyDescent="0.35">
      <c r="A693">
        <v>127.67700000000001</v>
      </c>
      <c r="H693" s="8">
        <v>64.376000000000005</v>
      </c>
      <c r="BM693">
        <v>239.654</v>
      </c>
      <c r="BV693">
        <v>37.610999999999997</v>
      </c>
      <c r="DM693">
        <v>247.333</v>
      </c>
      <c r="DT693">
        <v>70.057000000000002</v>
      </c>
    </row>
    <row r="694" spans="1:124" x14ac:dyDescent="0.35">
      <c r="A694">
        <v>145.29900000000001</v>
      </c>
      <c r="H694">
        <v>64.113</v>
      </c>
      <c r="BM694">
        <v>369.89299999999997</v>
      </c>
      <c r="BV694">
        <v>37.482999999999997</v>
      </c>
      <c r="DM694">
        <v>262.904</v>
      </c>
      <c r="DT694">
        <v>70.009</v>
      </c>
    </row>
    <row r="695" spans="1:124" x14ac:dyDescent="0.35">
      <c r="A695">
        <v>33.250999999999998</v>
      </c>
      <c r="H695">
        <v>64.088999999999999</v>
      </c>
      <c r="BM695">
        <v>267.93799999999999</v>
      </c>
      <c r="BV695">
        <v>37.271999999999998</v>
      </c>
      <c r="DM695">
        <v>280.25200000000001</v>
      </c>
      <c r="DT695">
        <v>69.998999999999995</v>
      </c>
    </row>
    <row r="696" spans="1:124" x14ac:dyDescent="0.35">
      <c r="A696">
        <v>83.603999999999999</v>
      </c>
      <c r="H696" s="8">
        <v>63.786999999999999</v>
      </c>
      <c r="BM696">
        <v>287.88600000000002</v>
      </c>
      <c r="BV696">
        <v>37.247999999999998</v>
      </c>
      <c r="DM696">
        <v>354.52699999999999</v>
      </c>
      <c r="DT696">
        <v>69.778000000000006</v>
      </c>
    </row>
    <row r="697" spans="1:124" x14ac:dyDescent="0.35">
      <c r="A697">
        <v>115.983</v>
      </c>
      <c r="H697">
        <v>63.753</v>
      </c>
      <c r="BM697">
        <v>165.95099999999999</v>
      </c>
      <c r="BV697">
        <v>37.246000000000002</v>
      </c>
      <c r="DM697">
        <v>76.373999999999995</v>
      </c>
      <c r="DT697">
        <v>69.685000000000002</v>
      </c>
    </row>
    <row r="698" spans="1:124" x14ac:dyDescent="0.35">
      <c r="A698">
        <v>64.730999999999995</v>
      </c>
      <c r="H698" s="8">
        <v>62.786999999999999</v>
      </c>
      <c r="BM698">
        <v>293.48899999999998</v>
      </c>
      <c r="BV698">
        <v>36.826000000000001</v>
      </c>
      <c r="DM698">
        <v>91.539000000000001</v>
      </c>
      <c r="DT698">
        <v>69.308000000000007</v>
      </c>
    </row>
    <row r="699" spans="1:124" x14ac:dyDescent="0.35">
      <c r="A699">
        <v>56.976999999999997</v>
      </c>
      <c r="H699">
        <v>62.598999999999997</v>
      </c>
      <c r="BM699">
        <v>190.095</v>
      </c>
      <c r="BV699">
        <v>36.359000000000002</v>
      </c>
      <c r="DM699">
        <v>111.342</v>
      </c>
      <c r="DT699">
        <v>69.176000000000002</v>
      </c>
    </row>
    <row r="700" spans="1:124" x14ac:dyDescent="0.35">
      <c r="A700">
        <v>238.28399999999999</v>
      </c>
      <c r="H700">
        <v>62.566000000000003</v>
      </c>
      <c r="BM700">
        <v>211.161</v>
      </c>
      <c r="BV700">
        <v>35.975999999999999</v>
      </c>
      <c r="DM700">
        <v>182.398</v>
      </c>
      <c r="DT700">
        <v>68.846999999999994</v>
      </c>
    </row>
    <row r="701" spans="1:124" x14ac:dyDescent="0.35">
      <c r="A701">
        <v>64.888999999999996</v>
      </c>
      <c r="H701">
        <v>62.481000000000002</v>
      </c>
      <c r="BM701">
        <v>133.46799999999999</v>
      </c>
      <c r="BV701">
        <v>35.973999999999997</v>
      </c>
      <c r="DM701">
        <v>22.913</v>
      </c>
      <c r="DT701">
        <v>68.715999999999994</v>
      </c>
    </row>
    <row r="702" spans="1:124" x14ac:dyDescent="0.35">
      <c r="A702">
        <v>99.748000000000005</v>
      </c>
      <c r="H702">
        <v>62.457000000000001</v>
      </c>
      <c r="BM702">
        <v>28.664999999999999</v>
      </c>
      <c r="BV702">
        <v>35.82</v>
      </c>
      <c r="DM702">
        <v>35.286999999999999</v>
      </c>
      <c r="DT702">
        <v>68.600999999999999</v>
      </c>
    </row>
    <row r="703" spans="1:124" x14ac:dyDescent="0.35">
      <c r="A703">
        <v>69.849000000000004</v>
      </c>
      <c r="H703">
        <v>62.395000000000003</v>
      </c>
      <c r="BM703">
        <v>47.267000000000003</v>
      </c>
      <c r="BV703">
        <v>35.289000000000001</v>
      </c>
      <c r="DM703">
        <v>109.419</v>
      </c>
      <c r="DT703">
        <v>68.507000000000005</v>
      </c>
    </row>
    <row r="704" spans="1:124" x14ac:dyDescent="0.35">
      <c r="A704">
        <v>278.63200000000001</v>
      </c>
      <c r="H704" s="8">
        <v>62.341000000000001</v>
      </c>
      <c r="BM704">
        <v>104.16500000000001</v>
      </c>
      <c r="BV704">
        <v>35.201999999999998</v>
      </c>
      <c r="DM704">
        <v>22.879000000000001</v>
      </c>
      <c r="DT704">
        <v>68.266000000000005</v>
      </c>
    </row>
    <row r="705" spans="1:124" x14ac:dyDescent="0.35">
      <c r="A705">
        <v>126.65600000000001</v>
      </c>
      <c r="H705">
        <v>61.795000000000002</v>
      </c>
      <c r="BM705">
        <v>88.052000000000007</v>
      </c>
      <c r="BV705">
        <v>35.171999999999997</v>
      </c>
      <c r="DM705">
        <v>92.974999999999994</v>
      </c>
      <c r="DT705">
        <v>67.980999999999995</v>
      </c>
    </row>
    <row r="706" spans="1:124" x14ac:dyDescent="0.35">
      <c r="A706">
        <v>170.48</v>
      </c>
      <c r="H706">
        <v>61.658000000000001</v>
      </c>
      <c r="BM706">
        <v>22.431999999999999</v>
      </c>
      <c r="BV706">
        <v>35.113</v>
      </c>
      <c r="DM706">
        <v>74.563999999999993</v>
      </c>
      <c r="DT706">
        <v>67.923000000000002</v>
      </c>
    </row>
    <row r="707" spans="1:124" x14ac:dyDescent="0.35">
      <c r="A707">
        <v>233.27699999999999</v>
      </c>
      <c r="H707" s="8">
        <v>61.372</v>
      </c>
      <c r="BM707">
        <v>180.71</v>
      </c>
      <c r="BV707">
        <v>34.960999999999999</v>
      </c>
      <c r="DM707">
        <v>437.94</v>
      </c>
      <c r="DT707">
        <v>67.765000000000001</v>
      </c>
    </row>
    <row r="708" spans="1:124" x14ac:dyDescent="0.35">
      <c r="A708">
        <v>142.66900000000001</v>
      </c>
      <c r="H708">
        <v>61.331000000000003</v>
      </c>
      <c r="BM708">
        <v>28.384</v>
      </c>
      <c r="BV708">
        <v>34.795000000000002</v>
      </c>
      <c r="DM708">
        <v>56.793999999999997</v>
      </c>
      <c r="DT708">
        <v>67.741</v>
      </c>
    </row>
    <row r="709" spans="1:124" x14ac:dyDescent="0.35">
      <c r="A709">
        <v>178.22200000000001</v>
      </c>
      <c r="H709">
        <v>61.198</v>
      </c>
      <c r="BM709">
        <v>114.26900000000001</v>
      </c>
      <c r="BV709">
        <v>34.784999999999997</v>
      </c>
      <c r="DM709">
        <v>279.41899999999998</v>
      </c>
      <c r="DT709">
        <v>67.287999999999997</v>
      </c>
    </row>
    <row r="710" spans="1:124" x14ac:dyDescent="0.35">
      <c r="A710">
        <v>40.524999999999999</v>
      </c>
      <c r="H710">
        <v>61.134999999999998</v>
      </c>
      <c r="BM710">
        <v>45.201000000000001</v>
      </c>
      <c r="BV710">
        <v>34.758000000000003</v>
      </c>
      <c r="DM710">
        <v>208.73699999999999</v>
      </c>
      <c r="DT710">
        <v>67.209000000000003</v>
      </c>
    </row>
    <row r="711" spans="1:124" x14ac:dyDescent="0.35">
      <c r="A711">
        <v>117.107</v>
      </c>
      <c r="H711">
        <v>61.131999999999998</v>
      </c>
      <c r="BM711">
        <v>319.10300000000001</v>
      </c>
      <c r="BV711">
        <v>34.136000000000003</v>
      </c>
      <c r="DM711">
        <v>394.82</v>
      </c>
      <c r="DT711">
        <v>66.83</v>
      </c>
    </row>
    <row r="712" spans="1:124" x14ac:dyDescent="0.35">
      <c r="A712">
        <v>85.64</v>
      </c>
      <c r="H712">
        <v>60.613</v>
      </c>
      <c r="BM712">
        <v>199.17699999999999</v>
      </c>
      <c r="BV712">
        <v>34.008000000000003</v>
      </c>
      <c r="DM712">
        <v>254.07900000000001</v>
      </c>
      <c r="DT712">
        <v>66.730999999999995</v>
      </c>
    </row>
    <row r="713" spans="1:124" x14ac:dyDescent="0.35">
      <c r="A713">
        <v>99.13</v>
      </c>
      <c r="H713">
        <v>60.308999999999997</v>
      </c>
      <c r="BM713">
        <v>251.77699999999999</v>
      </c>
      <c r="BV713">
        <v>33.988999999999997</v>
      </c>
      <c r="DM713">
        <v>335.42399999999998</v>
      </c>
      <c r="DT713">
        <v>66.712000000000003</v>
      </c>
    </row>
    <row r="714" spans="1:124" x14ac:dyDescent="0.35">
      <c r="A714">
        <v>100.066</v>
      </c>
      <c r="H714">
        <v>60.182000000000002</v>
      </c>
      <c r="BM714">
        <v>193.03700000000001</v>
      </c>
      <c r="BV714">
        <v>33.887999999999998</v>
      </c>
      <c r="DM714">
        <v>387.82799999999997</v>
      </c>
      <c r="DT714">
        <v>66.7</v>
      </c>
    </row>
    <row r="715" spans="1:124" x14ac:dyDescent="0.35">
      <c r="A715">
        <v>268.37400000000002</v>
      </c>
      <c r="H715">
        <v>59.561</v>
      </c>
      <c r="BM715">
        <v>71.89</v>
      </c>
      <c r="BV715">
        <v>32.886000000000003</v>
      </c>
      <c r="DM715">
        <v>161.94300000000001</v>
      </c>
      <c r="DT715">
        <v>66.34</v>
      </c>
    </row>
    <row r="716" spans="1:124" x14ac:dyDescent="0.35">
      <c r="A716">
        <v>139.142</v>
      </c>
      <c r="H716">
        <v>59.521999999999998</v>
      </c>
      <c r="BM716">
        <v>137.696</v>
      </c>
      <c r="BV716">
        <v>32.756</v>
      </c>
      <c r="DM716">
        <v>230.381</v>
      </c>
      <c r="DT716">
        <v>65.91</v>
      </c>
    </row>
    <row r="717" spans="1:124" x14ac:dyDescent="0.35">
      <c r="A717">
        <v>182.12100000000001</v>
      </c>
      <c r="H717">
        <v>59.509</v>
      </c>
      <c r="BM717">
        <v>142.708</v>
      </c>
      <c r="BV717">
        <v>32.636000000000003</v>
      </c>
      <c r="DM717">
        <v>46.220999999999997</v>
      </c>
      <c r="DT717">
        <v>65.802999999999997</v>
      </c>
    </row>
    <row r="718" spans="1:124" x14ac:dyDescent="0.35">
      <c r="A718">
        <v>51.100999999999999</v>
      </c>
      <c r="H718">
        <v>59.277999999999999</v>
      </c>
      <c r="BM718">
        <v>30.567</v>
      </c>
      <c r="BV718">
        <v>32.404000000000003</v>
      </c>
      <c r="DM718">
        <v>189.00899999999999</v>
      </c>
      <c r="DT718">
        <v>65.793000000000006</v>
      </c>
    </row>
    <row r="719" spans="1:124" x14ac:dyDescent="0.35">
      <c r="A719">
        <v>179.584</v>
      </c>
      <c r="H719">
        <v>59.103000000000002</v>
      </c>
      <c r="BM719">
        <v>72.444000000000003</v>
      </c>
      <c r="BV719">
        <v>31.731000000000002</v>
      </c>
      <c r="DM719">
        <v>113.372</v>
      </c>
      <c r="DT719">
        <v>65.778999999999996</v>
      </c>
    </row>
    <row r="720" spans="1:124" x14ac:dyDescent="0.35">
      <c r="A720">
        <v>43.667999999999999</v>
      </c>
      <c r="H720" s="8">
        <v>58.804000000000002</v>
      </c>
      <c r="BM720">
        <v>123.31399999999999</v>
      </c>
      <c r="BV720">
        <v>31.550999999999998</v>
      </c>
      <c r="DM720">
        <v>229.77</v>
      </c>
      <c r="DT720">
        <v>65.257000000000005</v>
      </c>
    </row>
    <row r="721" spans="1:124" x14ac:dyDescent="0.35">
      <c r="A721">
        <v>85.373000000000005</v>
      </c>
      <c r="H721">
        <v>58.776000000000003</v>
      </c>
      <c r="BM721">
        <v>63.548000000000002</v>
      </c>
      <c r="BV721">
        <v>31.545000000000002</v>
      </c>
      <c r="DT721">
        <v>64.927000000000007</v>
      </c>
    </row>
    <row r="722" spans="1:124" x14ac:dyDescent="0.35">
      <c r="A722">
        <v>218.72499999999999</v>
      </c>
      <c r="H722">
        <v>58.732999999999997</v>
      </c>
      <c r="BM722">
        <v>326.13600000000002</v>
      </c>
      <c r="BV722">
        <v>31.425000000000001</v>
      </c>
      <c r="DM722">
        <v>340.85199999999998</v>
      </c>
      <c r="DT722">
        <v>64.423000000000002</v>
      </c>
    </row>
    <row r="723" spans="1:124" x14ac:dyDescent="0.35">
      <c r="A723">
        <v>63.753</v>
      </c>
      <c r="H723">
        <v>58.253999999999998</v>
      </c>
      <c r="BM723">
        <v>210.38800000000001</v>
      </c>
      <c r="BV723">
        <v>31.283000000000001</v>
      </c>
      <c r="DM723">
        <v>206.143</v>
      </c>
      <c r="DT723">
        <v>64.195999999999998</v>
      </c>
    </row>
    <row r="724" spans="1:124" x14ac:dyDescent="0.35">
      <c r="A724">
        <v>104.627</v>
      </c>
      <c r="H724">
        <v>58.042000000000002</v>
      </c>
      <c r="BM724">
        <v>262.58300000000003</v>
      </c>
      <c r="BV724">
        <v>31.28</v>
      </c>
      <c r="DM724">
        <v>285.73099999999999</v>
      </c>
      <c r="DT724">
        <v>64.037999999999997</v>
      </c>
    </row>
    <row r="725" spans="1:124" x14ac:dyDescent="0.35">
      <c r="A725">
        <v>158.958</v>
      </c>
      <c r="H725">
        <v>57.813000000000002</v>
      </c>
      <c r="BM725">
        <v>69.53</v>
      </c>
      <c r="BV725">
        <v>30.899000000000001</v>
      </c>
      <c r="DM725">
        <v>68.266000000000005</v>
      </c>
      <c r="DT725">
        <v>63.848999999999997</v>
      </c>
    </row>
    <row r="726" spans="1:124" x14ac:dyDescent="0.35">
      <c r="A726">
        <v>123.741</v>
      </c>
      <c r="H726">
        <v>57.712000000000003</v>
      </c>
      <c r="BM726">
        <v>207.548</v>
      </c>
      <c r="BV726">
        <v>30.815999999999999</v>
      </c>
      <c r="DM726">
        <v>117.46599999999999</v>
      </c>
      <c r="DT726">
        <v>63.848999999999997</v>
      </c>
    </row>
    <row r="727" spans="1:124" x14ac:dyDescent="0.35">
      <c r="A727">
        <v>44.677999999999997</v>
      </c>
      <c r="H727">
        <v>57.597999999999999</v>
      </c>
      <c r="BM727">
        <v>99.126999999999995</v>
      </c>
      <c r="BV727">
        <v>30.632999999999999</v>
      </c>
      <c r="DM727">
        <v>24.239000000000001</v>
      </c>
      <c r="DT727">
        <v>63.643999999999998</v>
      </c>
    </row>
    <row r="728" spans="1:124" x14ac:dyDescent="0.35">
      <c r="A728">
        <v>61.198</v>
      </c>
      <c r="H728">
        <v>57.396000000000001</v>
      </c>
      <c r="BM728">
        <v>142.24600000000001</v>
      </c>
      <c r="BV728">
        <v>30.614999999999998</v>
      </c>
      <c r="DM728">
        <v>63.848999999999997</v>
      </c>
      <c r="DT728">
        <v>63.383000000000003</v>
      </c>
    </row>
    <row r="729" spans="1:124" x14ac:dyDescent="0.35">
      <c r="A729">
        <v>58.042000000000002</v>
      </c>
      <c r="H729" s="8">
        <v>57.027999999999999</v>
      </c>
      <c r="BM729">
        <v>276.15899999999999</v>
      </c>
      <c r="BV729">
        <v>30.567</v>
      </c>
      <c r="DM729">
        <v>187.547</v>
      </c>
      <c r="DT729">
        <v>63.344000000000001</v>
      </c>
    </row>
    <row r="730" spans="1:124" x14ac:dyDescent="0.35">
      <c r="A730">
        <v>160.74</v>
      </c>
      <c r="H730">
        <v>56.976999999999997</v>
      </c>
      <c r="BM730">
        <v>150.73599999999999</v>
      </c>
      <c r="BV730">
        <v>30.280999999999999</v>
      </c>
      <c r="DM730">
        <v>46.682000000000002</v>
      </c>
      <c r="DT730">
        <v>62.948999999999998</v>
      </c>
    </row>
    <row r="731" spans="1:124" x14ac:dyDescent="0.35">
      <c r="A731">
        <v>227.756</v>
      </c>
      <c r="H731">
        <v>56.947000000000003</v>
      </c>
      <c r="BM731">
        <v>207.584</v>
      </c>
      <c r="BV731">
        <v>28.809000000000001</v>
      </c>
      <c r="DM731">
        <v>126.262</v>
      </c>
      <c r="DT731">
        <v>62.701000000000001</v>
      </c>
    </row>
    <row r="732" spans="1:124" x14ac:dyDescent="0.35">
      <c r="A732">
        <v>322.82100000000003</v>
      </c>
      <c r="H732">
        <v>56.383000000000003</v>
      </c>
      <c r="BM732">
        <v>134.631</v>
      </c>
      <c r="BV732">
        <v>28.664999999999999</v>
      </c>
      <c r="DM732">
        <v>141.38399999999999</v>
      </c>
      <c r="DT732">
        <v>62.468000000000004</v>
      </c>
    </row>
    <row r="733" spans="1:124" x14ac:dyDescent="0.35">
      <c r="A733">
        <v>36.722000000000001</v>
      </c>
      <c r="H733" s="8">
        <v>56.052999999999997</v>
      </c>
      <c r="BM733">
        <v>64.855000000000004</v>
      </c>
      <c r="BV733">
        <v>28.600999999999999</v>
      </c>
      <c r="DM733">
        <v>70.858000000000004</v>
      </c>
      <c r="DT733">
        <v>62.414000000000001</v>
      </c>
    </row>
    <row r="734" spans="1:124" x14ac:dyDescent="0.35">
      <c r="A734">
        <v>123.238</v>
      </c>
      <c r="H734">
        <v>55.8</v>
      </c>
      <c r="BM734">
        <v>70.978999999999999</v>
      </c>
      <c r="BV734">
        <v>28.498999999999999</v>
      </c>
      <c r="DM734">
        <v>80.557000000000002</v>
      </c>
      <c r="DT734">
        <v>62.398000000000003</v>
      </c>
    </row>
    <row r="735" spans="1:124" x14ac:dyDescent="0.35">
      <c r="A735">
        <v>187.59399999999999</v>
      </c>
      <c r="H735" s="8">
        <v>55.456000000000003</v>
      </c>
      <c r="BM735">
        <v>61.070999999999998</v>
      </c>
      <c r="BV735">
        <v>28.384</v>
      </c>
      <c r="DM735">
        <v>139.124</v>
      </c>
      <c r="DT735">
        <v>62.328000000000003</v>
      </c>
    </row>
    <row r="736" spans="1:124" x14ac:dyDescent="0.35">
      <c r="A736">
        <v>282.26799999999997</v>
      </c>
      <c r="H736">
        <v>55.436999999999998</v>
      </c>
      <c r="BM736">
        <v>87.131</v>
      </c>
      <c r="BV736">
        <v>28.367000000000001</v>
      </c>
      <c r="DM736">
        <v>22.026</v>
      </c>
      <c r="DT736">
        <v>62.112000000000002</v>
      </c>
    </row>
    <row r="737" spans="1:124" x14ac:dyDescent="0.35">
      <c r="A737">
        <v>107.02500000000001</v>
      </c>
      <c r="H737" s="8">
        <v>55.317</v>
      </c>
      <c r="BM737">
        <v>147.47800000000001</v>
      </c>
      <c r="BV737">
        <v>28.346</v>
      </c>
      <c r="DM737">
        <v>49.101999999999997</v>
      </c>
      <c r="DT737">
        <v>61.241</v>
      </c>
    </row>
    <row r="738" spans="1:124" x14ac:dyDescent="0.35">
      <c r="A738">
        <v>174.126</v>
      </c>
      <c r="H738" s="8">
        <v>55.295999999999999</v>
      </c>
      <c r="BM738">
        <v>172.053</v>
      </c>
      <c r="BV738">
        <v>28.04</v>
      </c>
      <c r="DM738">
        <v>112.58199999999999</v>
      </c>
      <c r="DT738">
        <v>61.238999999999997</v>
      </c>
    </row>
    <row r="739" spans="1:124" x14ac:dyDescent="0.35">
      <c r="A739">
        <v>268.36200000000002</v>
      </c>
      <c r="H739">
        <v>55.27</v>
      </c>
      <c r="BM739">
        <v>31.28</v>
      </c>
      <c r="BV739">
        <v>27.373999999999999</v>
      </c>
      <c r="DM739">
        <v>274.59899999999999</v>
      </c>
      <c r="DT739">
        <v>61.219000000000001</v>
      </c>
    </row>
    <row r="740" spans="1:124" x14ac:dyDescent="0.35">
      <c r="A740">
        <v>68.867999999999995</v>
      </c>
      <c r="H740">
        <v>54.966999999999999</v>
      </c>
      <c r="BM740">
        <v>90.751000000000005</v>
      </c>
      <c r="BV740">
        <v>27.346</v>
      </c>
      <c r="DM740">
        <v>221.93799999999999</v>
      </c>
      <c r="DT740">
        <v>61.027999999999999</v>
      </c>
    </row>
    <row r="741" spans="1:124" x14ac:dyDescent="0.35">
      <c r="A741">
        <v>162.64599999999999</v>
      </c>
      <c r="H741" s="8">
        <v>54.936</v>
      </c>
      <c r="BM741">
        <v>113.00700000000001</v>
      </c>
      <c r="BV741">
        <v>25.722999999999999</v>
      </c>
      <c r="DM741">
        <v>233.59299999999999</v>
      </c>
      <c r="DT741">
        <v>60.902999999999999</v>
      </c>
    </row>
    <row r="742" spans="1:124" x14ac:dyDescent="0.35">
      <c r="A742">
        <v>95.933000000000007</v>
      </c>
      <c r="H742">
        <v>54.723999999999997</v>
      </c>
      <c r="BM742">
        <v>66.525000000000006</v>
      </c>
      <c r="BV742">
        <v>25.596</v>
      </c>
      <c r="DM742">
        <v>117.14400000000001</v>
      </c>
      <c r="DT742">
        <v>60.722000000000001</v>
      </c>
    </row>
    <row r="743" spans="1:124" x14ac:dyDescent="0.35">
      <c r="A743">
        <v>43.984000000000002</v>
      </c>
      <c r="H743">
        <v>54.03</v>
      </c>
      <c r="BM743">
        <v>83.864999999999995</v>
      </c>
      <c r="BV743">
        <v>25.363</v>
      </c>
      <c r="DM743">
        <v>94.555000000000007</v>
      </c>
      <c r="DT743">
        <v>60.72</v>
      </c>
    </row>
    <row r="744" spans="1:124" x14ac:dyDescent="0.35">
      <c r="A744">
        <v>37.213000000000001</v>
      </c>
      <c r="H744" s="8">
        <v>53.966999999999999</v>
      </c>
      <c r="BM744">
        <v>28.04</v>
      </c>
      <c r="BV744">
        <v>24.83</v>
      </c>
      <c r="DM744">
        <v>35.838000000000001</v>
      </c>
      <c r="DT744">
        <v>60.561999999999998</v>
      </c>
    </row>
    <row r="745" spans="1:124" x14ac:dyDescent="0.35">
      <c r="A745">
        <v>101.58</v>
      </c>
      <c r="H745">
        <v>53.784999999999997</v>
      </c>
      <c r="BM745">
        <v>122.20699999999999</v>
      </c>
      <c r="BV745">
        <v>24.437000000000001</v>
      </c>
      <c r="DM745">
        <v>139.126</v>
      </c>
      <c r="DT745">
        <v>60.444000000000003</v>
      </c>
    </row>
    <row r="746" spans="1:124" x14ac:dyDescent="0.35">
      <c r="A746">
        <v>84.694999999999993</v>
      </c>
      <c r="H746">
        <v>53.734000000000002</v>
      </c>
      <c r="BM746">
        <v>32.886000000000003</v>
      </c>
      <c r="BV746">
        <v>23.91</v>
      </c>
      <c r="DM746">
        <v>85.459000000000003</v>
      </c>
      <c r="DT746">
        <v>60.002000000000002</v>
      </c>
    </row>
    <row r="747" spans="1:124" x14ac:dyDescent="0.35">
      <c r="A747">
        <v>198.49799999999999</v>
      </c>
      <c r="H747">
        <v>53.582000000000001</v>
      </c>
      <c r="BM747">
        <v>65.462000000000003</v>
      </c>
      <c r="BV747">
        <v>23.59</v>
      </c>
      <c r="DM747">
        <v>96.784999999999997</v>
      </c>
      <c r="DT747">
        <v>59.649000000000001</v>
      </c>
    </row>
    <row r="748" spans="1:124" x14ac:dyDescent="0.35">
      <c r="A748">
        <v>174.77500000000001</v>
      </c>
      <c r="H748">
        <v>53.581000000000003</v>
      </c>
      <c r="BM748">
        <v>278.584</v>
      </c>
      <c r="BV748">
        <v>22.928999999999998</v>
      </c>
      <c r="DM748">
        <v>26.518999999999998</v>
      </c>
      <c r="DT748">
        <v>59.619</v>
      </c>
    </row>
    <row r="749" spans="1:124" x14ac:dyDescent="0.35">
      <c r="A749">
        <v>57.396000000000001</v>
      </c>
      <c r="H749">
        <v>53.451000000000001</v>
      </c>
      <c r="BM749">
        <v>173.31899999999999</v>
      </c>
      <c r="BV749">
        <v>22.766999999999999</v>
      </c>
      <c r="DM749">
        <v>91.71</v>
      </c>
      <c r="DT749">
        <v>59.485999999999997</v>
      </c>
    </row>
    <row r="750" spans="1:124" x14ac:dyDescent="0.35">
      <c r="A750">
        <v>75.754000000000005</v>
      </c>
      <c r="H750">
        <v>53.433999999999997</v>
      </c>
      <c r="BM750">
        <v>230.44800000000001</v>
      </c>
      <c r="BV750">
        <v>22.503</v>
      </c>
      <c r="DT750">
        <v>59.289000000000001</v>
      </c>
    </row>
    <row r="751" spans="1:124" x14ac:dyDescent="0.35">
      <c r="A751">
        <v>100.327</v>
      </c>
      <c r="H751">
        <v>53.408999999999999</v>
      </c>
      <c r="BM751">
        <v>149.06800000000001</v>
      </c>
      <c r="BV751">
        <v>22.431999999999999</v>
      </c>
      <c r="DM751">
        <v>201.428</v>
      </c>
      <c r="DT751">
        <v>59.28</v>
      </c>
    </row>
    <row r="752" spans="1:124" x14ac:dyDescent="0.35">
      <c r="A752">
        <v>193.79400000000001</v>
      </c>
      <c r="H752">
        <v>53.307000000000002</v>
      </c>
      <c r="BM752">
        <v>69.516000000000005</v>
      </c>
      <c r="BV752">
        <v>22.170999999999999</v>
      </c>
      <c r="DM752">
        <v>212.25800000000001</v>
      </c>
      <c r="DT752">
        <v>58.905000000000001</v>
      </c>
    </row>
    <row r="753" spans="1:124" x14ac:dyDescent="0.35">
      <c r="A753">
        <v>181.292</v>
      </c>
      <c r="H753">
        <v>53.215000000000003</v>
      </c>
      <c r="BM753">
        <v>157.65199999999999</v>
      </c>
      <c r="BV753">
        <v>22.027999999999999</v>
      </c>
      <c r="DM753">
        <v>65.91</v>
      </c>
      <c r="DT753">
        <v>58.337000000000003</v>
      </c>
    </row>
    <row r="754" spans="1:124" x14ac:dyDescent="0.35">
      <c r="A754">
        <v>76.137</v>
      </c>
      <c r="H754">
        <v>53.164000000000001</v>
      </c>
      <c r="BM754">
        <v>49.179000000000002</v>
      </c>
      <c r="BV754">
        <v>21.582999999999998</v>
      </c>
      <c r="DM754">
        <v>229.42099999999999</v>
      </c>
      <c r="DT754">
        <v>58.192</v>
      </c>
    </row>
    <row r="755" spans="1:124" x14ac:dyDescent="0.35">
      <c r="A755">
        <v>49.457999999999998</v>
      </c>
      <c r="H755" s="8">
        <v>52.959000000000003</v>
      </c>
      <c r="BM755">
        <v>109.727</v>
      </c>
      <c r="BV755">
        <v>20.763000000000002</v>
      </c>
      <c r="DM755">
        <v>176.119</v>
      </c>
      <c r="DT755">
        <v>58.18</v>
      </c>
    </row>
    <row r="756" spans="1:124" x14ac:dyDescent="0.35">
      <c r="A756">
        <v>164.523</v>
      </c>
      <c r="H756">
        <v>52.911000000000001</v>
      </c>
      <c r="BM756">
        <v>84.313000000000002</v>
      </c>
      <c r="BV756">
        <v>20.495999999999999</v>
      </c>
      <c r="DM756">
        <v>186.74299999999999</v>
      </c>
      <c r="DT756">
        <v>58.030999999999999</v>
      </c>
    </row>
    <row r="757" spans="1:124" x14ac:dyDescent="0.35">
      <c r="A757">
        <v>137.874</v>
      </c>
      <c r="H757">
        <v>52.744999999999997</v>
      </c>
      <c r="BM757">
        <v>299.84500000000003</v>
      </c>
      <c r="BV757">
        <v>20.015000000000001</v>
      </c>
      <c r="DM757">
        <v>170.845</v>
      </c>
      <c r="DT757">
        <v>57.948999999999998</v>
      </c>
    </row>
    <row r="758" spans="1:124" x14ac:dyDescent="0.35">
      <c r="A758">
        <v>76.350999999999999</v>
      </c>
      <c r="H758">
        <v>52.462000000000003</v>
      </c>
      <c r="BM758">
        <v>198.22800000000001</v>
      </c>
      <c r="BV758">
        <v>19.899999999999999</v>
      </c>
      <c r="DM758">
        <v>114.655</v>
      </c>
      <c r="DT758">
        <v>57.91</v>
      </c>
    </row>
    <row r="759" spans="1:124" x14ac:dyDescent="0.35">
      <c r="A759">
        <v>121.45</v>
      </c>
      <c r="H759">
        <v>52.351999999999997</v>
      </c>
      <c r="BM759">
        <v>256.99200000000002</v>
      </c>
      <c r="BV759">
        <v>17.789000000000001</v>
      </c>
      <c r="DM759">
        <v>124.874</v>
      </c>
      <c r="DT759">
        <v>57.764000000000003</v>
      </c>
    </row>
    <row r="760" spans="1:124" x14ac:dyDescent="0.35">
      <c r="A760">
        <v>126.678</v>
      </c>
      <c r="H760">
        <v>52.087000000000003</v>
      </c>
      <c r="BM760">
        <v>216.626</v>
      </c>
      <c r="BV760">
        <v>17.77</v>
      </c>
      <c r="DT760">
        <v>57.706000000000003</v>
      </c>
    </row>
    <row r="761" spans="1:124" x14ac:dyDescent="0.35">
      <c r="A761">
        <v>127.432</v>
      </c>
      <c r="H761">
        <v>52.079000000000001</v>
      </c>
      <c r="BM761">
        <v>117.596</v>
      </c>
      <c r="BV761">
        <v>17.274000000000001</v>
      </c>
      <c r="DM761">
        <v>50.161000000000001</v>
      </c>
      <c r="DT761">
        <v>57.646000000000001</v>
      </c>
    </row>
    <row r="762" spans="1:124" x14ac:dyDescent="0.35">
      <c r="A762">
        <v>91.542000000000002</v>
      </c>
      <c r="H762">
        <v>52.061999999999998</v>
      </c>
      <c r="BM762">
        <v>174.86600000000001</v>
      </c>
      <c r="BV762">
        <v>15.416</v>
      </c>
      <c r="DM762">
        <v>12.616</v>
      </c>
      <c r="DT762">
        <v>57.497999999999998</v>
      </c>
    </row>
    <row r="763" spans="1:124" x14ac:dyDescent="0.35">
      <c r="A763">
        <v>62.395000000000003</v>
      </c>
      <c r="H763">
        <v>52.021000000000001</v>
      </c>
      <c r="BM763">
        <v>115.458</v>
      </c>
      <c r="BV763">
        <v>14.670999999999999</v>
      </c>
      <c r="DM763">
        <v>20.51</v>
      </c>
      <c r="DT763">
        <v>56.927</v>
      </c>
    </row>
    <row r="764" spans="1:124" x14ac:dyDescent="0.35">
      <c r="A764">
        <v>32.920999999999999</v>
      </c>
      <c r="H764">
        <v>51.948</v>
      </c>
      <c r="BM764">
        <v>74.680999999999997</v>
      </c>
      <c r="BV764">
        <v>13.603999999999999</v>
      </c>
      <c r="DM764">
        <v>66.34</v>
      </c>
      <c r="DT764">
        <v>56.9</v>
      </c>
    </row>
    <row r="765" spans="1:124" x14ac:dyDescent="0.35">
      <c r="A765">
        <v>45.201000000000001</v>
      </c>
      <c r="H765">
        <v>51.911000000000001</v>
      </c>
      <c r="BM765">
        <v>58.298999999999999</v>
      </c>
      <c r="BV765">
        <v>13.342000000000001</v>
      </c>
      <c r="DM765">
        <v>118.602</v>
      </c>
      <c r="DT765">
        <v>56.793999999999997</v>
      </c>
    </row>
    <row r="766" spans="1:124" x14ac:dyDescent="0.35">
      <c r="A766">
        <v>121.52500000000001</v>
      </c>
      <c r="H766">
        <v>51.534999999999997</v>
      </c>
      <c r="BV766">
        <v>13.023999999999999</v>
      </c>
      <c r="DM766">
        <v>227.70400000000001</v>
      </c>
      <c r="DT766">
        <v>56.707999999999998</v>
      </c>
    </row>
    <row r="767" spans="1:124" x14ac:dyDescent="0.35">
      <c r="A767">
        <v>126.592</v>
      </c>
      <c r="H767">
        <v>51.33</v>
      </c>
      <c r="DM767">
        <v>402.47199999999998</v>
      </c>
      <c r="DT767">
        <v>56.691000000000003</v>
      </c>
    </row>
    <row r="768" spans="1:124" x14ac:dyDescent="0.35">
      <c r="A768">
        <v>165.05</v>
      </c>
      <c r="H768">
        <v>51.100999999999999</v>
      </c>
      <c r="DM768">
        <v>398.84100000000001</v>
      </c>
      <c r="DT768">
        <v>56.576999999999998</v>
      </c>
    </row>
    <row r="769" spans="1:124" x14ac:dyDescent="0.35">
      <c r="A769">
        <v>208.51300000000001</v>
      </c>
      <c r="H769">
        <v>50.664000000000001</v>
      </c>
      <c r="DM769">
        <v>417.262</v>
      </c>
      <c r="DT769">
        <v>56.561</v>
      </c>
    </row>
    <row r="770" spans="1:124" x14ac:dyDescent="0.35">
      <c r="A770">
        <v>240.369</v>
      </c>
      <c r="H770">
        <v>50.656999999999996</v>
      </c>
      <c r="DM770">
        <v>47.22</v>
      </c>
      <c r="DT770">
        <v>56.399000000000001</v>
      </c>
    </row>
    <row r="771" spans="1:124" x14ac:dyDescent="0.35">
      <c r="A771">
        <v>40.561</v>
      </c>
      <c r="H771" s="8">
        <v>50.402999999999999</v>
      </c>
      <c r="DM771">
        <v>100.065</v>
      </c>
      <c r="DT771">
        <v>56.220999999999997</v>
      </c>
    </row>
    <row r="772" spans="1:124" x14ac:dyDescent="0.35">
      <c r="A772">
        <v>110.709</v>
      </c>
      <c r="H772">
        <v>50.338000000000001</v>
      </c>
      <c r="DM772">
        <v>207.65100000000001</v>
      </c>
      <c r="DT772">
        <v>55.933</v>
      </c>
    </row>
    <row r="773" spans="1:124" x14ac:dyDescent="0.35">
      <c r="A773">
        <v>104.352</v>
      </c>
      <c r="H773">
        <v>50.051000000000002</v>
      </c>
      <c r="DM773">
        <v>384.67599999999999</v>
      </c>
      <c r="DT773">
        <v>55.768999999999998</v>
      </c>
    </row>
    <row r="774" spans="1:124" x14ac:dyDescent="0.35">
      <c r="A774">
        <v>145.673</v>
      </c>
      <c r="H774">
        <v>49.616999999999997</v>
      </c>
      <c r="DM774">
        <v>380.35599999999999</v>
      </c>
      <c r="DT774">
        <v>55.713999999999999</v>
      </c>
    </row>
    <row r="775" spans="1:124" x14ac:dyDescent="0.35">
      <c r="A775">
        <v>186.61799999999999</v>
      </c>
      <c r="H775">
        <v>49.457999999999998</v>
      </c>
      <c r="DM775">
        <v>398.57799999999997</v>
      </c>
      <c r="DT775">
        <v>55.512999999999998</v>
      </c>
    </row>
    <row r="776" spans="1:124" x14ac:dyDescent="0.35">
      <c r="A776">
        <v>210.994</v>
      </c>
      <c r="H776">
        <v>49.445999999999998</v>
      </c>
      <c r="DM776">
        <v>56.691000000000003</v>
      </c>
      <c r="DT776">
        <v>55.456000000000003</v>
      </c>
    </row>
    <row r="777" spans="1:124" x14ac:dyDescent="0.35">
      <c r="A777">
        <v>77.549000000000007</v>
      </c>
      <c r="H777">
        <v>49.345999999999997</v>
      </c>
      <c r="DM777">
        <v>167.84100000000001</v>
      </c>
      <c r="DT777">
        <v>55.453000000000003</v>
      </c>
    </row>
    <row r="778" spans="1:124" x14ac:dyDescent="0.35">
      <c r="A778">
        <v>89.965999999999994</v>
      </c>
      <c r="H778">
        <v>49.323</v>
      </c>
      <c r="DM778">
        <v>343.83699999999999</v>
      </c>
      <c r="DT778">
        <v>55.402000000000001</v>
      </c>
    </row>
    <row r="779" spans="1:124" x14ac:dyDescent="0.35">
      <c r="A779">
        <v>122.098</v>
      </c>
      <c r="H779">
        <v>49.207999999999998</v>
      </c>
      <c r="DM779">
        <v>341.06799999999998</v>
      </c>
      <c r="DT779">
        <v>55.398000000000003</v>
      </c>
    </row>
    <row r="780" spans="1:124" x14ac:dyDescent="0.35">
      <c r="A780">
        <v>170.815</v>
      </c>
      <c r="H780">
        <v>49.021999999999998</v>
      </c>
      <c r="DM780">
        <v>359.452</v>
      </c>
      <c r="DT780">
        <v>55.374000000000002</v>
      </c>
    </row>
    <row r="781" spans="1:124" x14ac:dyDescent="0.35">
      <c r="A781">
        <v>205.16399999999999</v>
      </c>
      <c r="H781" s="8">
        <v>48.837000000000003</v>
      </c>
      <c r="DM781">
        <v>110.05800000000001</v>
      </c>
      <c r="DT781">
        <v>54.969000000000001</v>
      </c>
    </row>
    <row r="782" spans="1:124" x14ac:dyDescent="0.35">
      <c r="A782">
        <v>55.436999999999998</v>
      </c>
      <c r="H782">
        <v>48.777000000000001</v>
      </c>
      <c r="DM782">
        <v>285.96899999999999</v>
      </c>
      <c r="DT782">
        <v>54.665999999999997</v>
      </c>
    </row>
    <row r="783" spans="1:124" x14ac:dyDescent="0.35">
      <c r="A783">
        <v>54.966999999999999</v>
      </c>
      <c r="H783">
        <v>48.433999999999997</v>
      </c>
      <c r="DM783">
        <v>286.02499999999998</v>
      </c>
      <c r="DT783">
        <v>54.042000000000002</v>
      </c>
    </row>
    <row r="784" spans="1:124" x14ac:dyDescent="0.35">
      <c r="A784">
        <v>104.962</v>
      </c>
      <c r="H784">
        <v>48.377000000000002</v>
      </c>
      <c r="DM784">
        <v>304.40300000000002</v>
      </c>
      <c r="DT784">
        <v>53.908999999999999</v>
      </c>
    </row>
    <row r="785" spans="1:124" x14ac:dyDescent="0.35">
      <c r="A785">
        <v>159.88300000000001</v>
      </c>
      <c r="H785" s="8">
        <v>48.316000000000003</v>
      </c>
      <c r="DM785">
        <v>179.92400000000001</v>
      </c>
      <c r="DT785">
        <v>53.328000000000003</v>
      </c>
    </row>
    <row r="786" spans="1:124" x14ac:dyDescent="0.35">
      <c r="A786">
        <v>47.939</v>
      </c>
      <c r="H786">
        <v>48.055999999999997</v>
      </c>
      <c r="DM786">
        <v>181.19200000000001</v>
      </c>
      <c r="DT786">
        <v>53.201000000000001</v>
      </c>
    </row>
    <row r="787" spans="1:124" x14ac:dyDescent="0.35">
      <c r="A787">
        <v>86.087000000000003</v>
      </c>
      <c r="H787" s="8">
        <v>48.011000000000003</v>
      </c>
      <c r="DM787">
        <v>197.91800000000001</v>
      </c>
      <c r="DT787">
        <v>53.122999999999998</v>
      </c>
    </row>
    <row r="788" spans="1:124" x14ac:dyDescent="0.35">
      <c r="A788">
        <v>118.452</v>
      </c>
      <c r="H788">
        <v>47.939</v>
      </c>
      <c r="DM788">
        <v>43.563000000000002</v>
      </c>
      <c r="DT788">
        <v>52.895000000000003</v>
      </c>
    </row>
    <row r="789" spans="1:124" x14ac:dyDescent="0.35">
      <c r="A789">
        <v>50.051000000000002</v>
      </c>
      <c r="H789">
        <v>47.759</v>
      </c>
      <c r="DM789">
        <v>37.735999999999997</v>
      </c>
      <c r="DT789">
        <v>52.594999999999999</v>
      </c>
    </row>
    <row r="790" spans="1:124" x14ac:dyDescent="0.35">
      <c r="A790">
        <v>110.712</v>
      </c>
      <c r="H790">
        <v>47.39</v>
      </c>
      <c r="DM790">
        <v>22.375</v>
      </c>
      <c r="DT790">
        <v>52.43</v>
      </c>
    </row>
    <row r="791" spans="1:124" x14ac:dyDescent="0.35">
      <c r="A791">
        <v>72.760999999999996</v>
      </c>
      <c r="H791">
        <v>46.97</v>
      </c>
      <c r="DM791">
        <v>55.398000000000003</v>
      </c>
      <c r="DT791">
        <v>52.226999999999997</v>
      </c>
    </row>
    <row r="792" spans="1:124" x14ac:dyDescent="0.35">
      <c r="A792">
        <v>34.453000000000003</v>
      </c>
      <c r="H792">
        <v>46.896999999999998</v>
      </c>
      <c r="DM792">
        <v>136.286</v>
      </c>
      <c r="DT792">
        <v>51.893000000000001</v>
      </c>
    </row>
    <row r="793" spans="1:124" x14ac:dyDescent="0.35">
      <c r="A793">
        <v>62.457000000000001</v>
      </c>
      <c r="H793">
        <v>46.744999999999997</v>
      </c>
      <c r="K793" s="8"/>
      <c r="DM793">
        <v>233.73099999999999</v>
      </c>
      <c r="DT793">
        <v>51.869</v>
      </c>
    </row>
    <row r="794" spans="1:124" x14ac:dyDescent="0.35">
      <c r="A794">
        <v>118.47499999999999</v>
      </c>
      <c r="H794">
        <v>46.709000000000003</v>
      </c>
      <c r="DM794">
        <v>290.28800000000001</v>
      </c>
      <c r="DT794">
        <v>51.777999999999999</v>
      </c>
    </row>
    <row r="795" spans="1:124" x14ac:dyDescent="0.35">
      <c r="A795">
        <v>145.02199999999999</v>
      </c>
      <c r="H795">
        <v>46.134999999999998</v>
      </c>
      <c r="K795" s="8"/>
      <c r="DM795">
        <v>342.09899999999999</v>
      </c>
      <c r="DT795">
        <v>51.680999999999997</v>
      </c>
    </row>
    <row r="796" spans="1:124" x14ac:dyDescent="0.35">
      <c r="A796">
        <v>167.13499999999999</v>
      </c>
      <c r="H796">
        <v>46.064</v>
      </c>
      <c r="DM796">
        <v>394.38799999999998</v>
      </c>
      <c r="DT796">
        <v>51.518000000000001</v>
      </c>
    </row>
    <row r="797" spans="1:124" x14ac:dyDescent="0.35">
      <c r="A797">
        <v>264.08</v>
      </c>
      <c r="H797">
        <v>45.859000000000002</v>
      </c>
      <c r="DM797">
        <v>87.233999999999995</v>
      </c>
      <c r="DT797">
        <v>50.954000000000001</v>
      </c>
    </row>
    <row r="798" spans="1:124" x14ac:dyDescent="0.35">
      <c r="A798">
        <v>29.692</v>
      </c>
      <c r="H798">
        <v>45.506</v>
      </c>
      <c r="DM798">
        <v>184.51</v>
      </c>
      <c r="DT798">
        <v>50.942</v>
      </c>
    </row>
    <row r="799" spans="1:124" x14ac:dyDescent="0.35">
      <c r="A799">
        <v>106.184</v>
      </c>
      <c r="H799" s="8">
        <v>45.286999999999999</v>
      </c>
      <c r="DM799">
        <v>240.869</v>
      </c>
      <c r="DT799">
        <v>50.648000000000003</v>
      </c>
    </row>
    <row r="800" spans="1:124" x14ac:dyDescent="0.35">
      <c r="A800">
        <v>123.724</v>
      </c>
      <c r="H800">
        <v>45.201000000000001</v>
      </c>
      <c r="DM800">
        <v>296.202</v>
      </c>
      <c r="DT800">
        <v>50.317999999999998</v>
      </c>
    </row>
    <row r="801" spans="1:124" x14ac:dyDescent="0.35">
      <c r="A801">
        <v>153.87700000000001</v>
      </c>
      <c r="H801">
        <v>44.677999999999997</v>
      </c>
      <c r="K801" s="8"/>
      <c r="DM801">
        <v>347.64499999999998</v>
      </c>
      <c r="DT801">
        <v>50.161000000000001</v>
      </c>
    </row>
    <row r="802" spans="1:124" x14ac:dyDescent="0.35">
      <c r="A802">
        <v>243.28899999999999</v>
      </c>
      <c r="H802">
        <v>44.215000000000003</v>
      </c>
      <c r="DM802">
        <v>97.094999999999999</v>
      </c>
      <c r="DT802">
        <v>50.148000000000003</v>
      </c>
    </row>
    <row r="803" spans="1:124" x14ac:dyDescent="0.35">
      <c r="A803">
        <v>101.789</v>
      </c>
      <c r="H803">
        <v>44.146999999999998</v>
      </c>
      <c r="DM803">
        <v>152.851</v>
      </c>
      <c r="DT803">
        <v>50.134</v>
      </c>
    </row>
    <row r="804" spans="1:124" x14ac:dyDescent="0.35">
      <c r="A804">
        <v>107.759</v>
      </c>
      <c r="H804">
        <v>44.082000000000001</v>
      </c>
      <c r="K804" s="8"/>
      <c r="DM804">
        <v>208.15799999999999</v>
      </c>
      <c r="DT804">
        <v>50.031999999999996</v>
      </c>
    </row>
    <row r="805" spans="1:124" x14ac:dyDescent="0.35">
      <c r="A805">
        <v>141.15600000000001</v>
      </c>
      <c r="H805">
        <v>43.984000000000002</v>
      </c>
      <c r="DM805">
        <v>262.77600000000001</v>
      </c>
      <c r="DT805">
        <v>49.97</v>
      </c>
    </row>
    <row r="806" spans="1:124" x14ac:dyDescent="0.35">
      <c r="A806">
        <v>228.52699999999999</v>
      </c>
      <c r="H806">
        <v>43.981999999999999</v>
      </c>
      <c r="DM806">
        <v>56.220999999999997</v>
      </c>
      <c r="DT806">
        <v>49.725000000000001</v>
      </c>
    </row>
    <row r="807" spans="1:124" x14ac:dyDescent="0.35">
      <c r="A807">
        <v>53.784999999999997</v>
      </c>
      <c r="H807">
        <v>43.667999999999999</v>
      </c>
      <c r="DM807">
        <v>111.143</v>
      </c>
      <c r="DT807">
        <v>49.243000000000002</v>
      </c>
    </row>
    <row r="808" spans="1:124" x14ac:dyDescent="0.35">
      <c r="A808">
        <v>49.445999999999998</v>
      </c>
      <c r="H808">
        <v>43.417999999999999</v>
      </c>
      <c r="DM808">
        <v>165.27500000000001</v>
      </c>
      <c r="DT808">
        <v>49.101999999999997</v>
      </c>
    </row>
    <row r="809" spans="1:124" x14ac:dyDescent="0.35">
      <c r="A809">
        <v>149.18199999999999</v>
      </c>
      <c r="H809">
        <v>43.359000000000002</v>
      </c>
      <c r="DM809">
        <v>58.18</v>
      </c>
      <c r="DT809">
        <v>48.98</v>
      </c>
    </row>
    <row r="810" spans="1:124" x14ac:dyDescent="0.35">
      <c r="A810">
        <v>48.777000000000001</v>
      </c>
      <c r="H810">
        <v>42.929000000000002</v>
      </c>
      <c r="K810" s="8"/>
      <c r="DM810">
        <v>114.107</v>
      </c>
      <c r="DT810">
        <v>48.965000000000003</v>
      </c>
    </row>
    <row r="811" spans="1:124" x14ac:dyDescent="0.35">
      <c r="A811">
        <v>121.69799999999999</v>
      </c>
      <c r="H811">
        <v>42.87</v>
      </c>
      <c r="DM811">
        <v>57.706000000000003</v>
      </c>
      <c r="DT811">
        <v>48.241</v>
      </c>
    </row>
    <row r="812" spans="1:124" x14ac:dyDescent="0.35">
      <c r="A812">
        <v>101.276</v>
      </c>
      <c r="H812">
        <v>42.823999999999998</v>
      </c>
      <c r="DM812">
        <v>45.62</v>
      </c>
      <c r="DT812">
        <v>48.232999999999997</v>
      </c>
    </row>
    <row r="813" spans="1:124" x14ac:dyDescent="0.35">
      <c r="A813">
        <v>59.509</v>
      </c>
      <c r="H813" s="8">
        <v>42.645000000000003</v>
      </c>
      <c r="DM813">
        <v>81.424999999999997</v>
      </c>
      <c r="DT813">
        <v>48.003999999999998</v>
      </c>
    </row>
    <row r="814" spans="1:124" x14ac:dyDescent="0.35">
      <c r="A814">
        <v>116.593</v>
      </c>
      <c r="H814">
        <v>41.923000000000002</v>
      </c>
      <c r="DM814">
        <v>143.79300000000001</v>
      </c>
      <c r="DT814">
        <v>47.963000000000001</v>
      </c>
    </row>
    <row r="815" spans="1:124" x14ac:dyDescent="0.35">
      <c r="A815">
        <v>132.76</v>
      </c>
      <c r="H815">
        <v>41.792999999999999</v>
      </c>
      <c r="DM815">
        <v>146.149</v>
      </c>
      <c r="DT815">
        <v>47.95</v>
      </c>
    </row>
    <row r="816" spans="1:124" x14ac:dyDescent="0.35">
      <c r="A816">
        <v>160.58600000000001</v>
      </c>
      <c r="H816">
        <v>41.534999999999997</v>
      </c>
      <c r="DM816">
        <v>249.47900000000001</v>
      </c>
      <c r="DT816">
        <v>47.753</v>
      </c>
    </row>
    <row r="817" spans="1:124" x14ac:dyDescent="0.35">
      <c r="A817">
        <v>194.803</v>
      </c>
      <c r="H817">
        <v>41.411999999999999</v>
      </c>
      <c r="DM817">
        <v>45.863999999999997</v>
      </c>
      <c r="DT817">
        <v>47.334000000000003</v>
      </c>
    </row>
    <row r="818" spans="1:124" x14ac:dyDescent="0.35">
      <c r="A818">
        <v>208.44300000000001</v>
      </c>
      <c r="H818">
        <v>41.366</v>
      </c>
      <c r="DM818">
        <v>104.464</v>
      </c>
      <c r="DT818">
        <v>47.22</v>
      </c>
    </row>
    <row r="819" spans="1:124" x14ac:dyDescent="0.35">
      <c r="A819">
        <v>71.539000000000001</v>
      </c>
      <c r="H819">
        <v>41.363999999999997</v>
      </c>
      <c r="DM819">
        <v>111.55500000000001</v>
      </c>
      <c r="DT819">
        <v>47.093000000000004</v>
      </c>
    </row>
    <row r="820" spans="1:124" x14ac:dyDescent="0.35">
      <c r="A820">
        <v>77.277000000000001</v>
      </c>
      <c r="H820">
        <v>41.027999999999999</v>
      </c>
      <c r="DM820">
        <v>210.245</v>
      </c>
      <c r="DT820">
        <v>47.027000000000001</v>
      </c>
    </row>
    <row r="821" spans="1:124" x14ac:dyDescent="0.35">
      <c r="A821">
        <v>107.19499999999999</v>
      </c>
      <c r="H821">
        <v>40.92</v>
      </c>
      <c r="DM821">
        <v>65.802999999999997</v>
      </c>
      <c r="DT821">
        <v>46.682000000000002</v>
      </c>
    </row>
    <row r="822" spans="1:124" x14ac:dyDescent="0.35">
      <c r="A822">
        <v>143.02099999999999</v>
      </c>
      <c r="H822">
        <v>40.561</v>
      </c>
      <c r="DM822">
        <v>69.778000000000006</v>
      </c>
      <c r="DT822">
        <v>46.607999999999997</v>
      </c>
    </row>
    <row r="823" spans="1:124" x14ac:dyDescent="0.35">
      <c r="A823">
        <v>152.97200000000001</v>
      </c>
      <c r="H823">
        <v>40.524999999999999</v>
      </c>
      <c r="DM823">
        <v>173.64099999999999</v>
      </c>
      <c r="DT823">
        <v>46.423999999999999</v>
      </c>
    </row>
    <row r="824" spans="1:124" x14ac:dyDescent="0.35">
      <c r="A824">
        <v>41.027999999999999</v>
      </c>
      <c r="H824">
        <v>40.488</v>
      </c>
      <c r="DM824">
        <v>17.3</v>
      </c>
      <c r="DT824">
        <v>46.393000000000001</v>
      </c>
    </row>
    <row r="825" spans="1:124" x14ac:dyDescent="0.35">
      <c r="A825">
        <v>62.481000000000002</v>
      </c>
      <c r="H825">
        <v>40.417000000000002</v>
      </c>
      <c r="DM825">
        <v>107.705</v>
      </c>
      <c r="DT825">
        <v>46.220999999999997</v>
      </c>
    </row>
    <row r="826" spans="1:124" x14ac:dyDescent="0.35">
      <c r="A826">
        <v>82.983000000000004</v>
      </c>
      <c r="H826">
        <v>40.164000000000001</v>
      </c>
      <c r="DM826">
        <v>104.28400000000001</v>
      </c>
      <c r="DT826">
        <v>45.863999999999997</v>
      </c>
    </row>
    <row r="827" spans="1:124" x14ac:dyDescent="0.35">
      <c r="A827">
        <v>103.325</v>
      </c>
      <c r="H827">
        <v>39.911000000000001</v>
      </c>
      <c r="DM827">
        <v>91.501999999999995</v>
      </c>
      <c r="DT827">
        <v>45.819000000000003</v>
      </c>
    </row>
    <row r="828" spans="1:124" x14ac:dyDescent="0.35">
      <c r="A828">
        <v>32.912999999999997</v>
      </c>
      <c r="H828">
        <v>39.909999999999997</v>
      </c>
      <c r="DM828">
        <v>209.32300000000001</v>
      </c>
      <c r="DT828">
        <v>45.62</v>
      </c>
    </row>
    <row r="829" spans="1:124" x14ac:dyDescent="0.35">
      <c r="A829">
        <v>67.313000000000002</v>
      </c>
      <c r="H829">
        <v>39.5</v>
      </c>
      <c r="DM829">
        <v>224.89099999999999</v>
      </c>
      <c r="DT829">
        <v>45.357999999999997</v>
      </c>
    </row>
    <row r="830" spans="1:124" x14ac:dyDescent="0.35">
      <c r="A830">
        <v>79.415999999999997</v>
      </c>
      <c r="H830">
        <v>38.975999999999999</v>
      </c>
      <c r="DM830">
        <v>272.93099999999998</v>
      </c>
      <c r="DT830">
        <v>45.05</v>
      </c>
    </row>
    <row r="831" spans="1:124" x14ac:dyDescent="0.35">
      <c r="A831">
        <v>40.92</v>
      </c>
      <c r="H831">
        <v>38.631</v>
      </c>
      <c r="DM831">
        <v>294.22699999999998</v>
      </c>
      <c r="DT831">
        <v>44.548000000000002</v>
      </c>
    </row>
    <row r="832" spans="1:124" x14ac:dyDescent="0.35">
      <c r="A832">
        <v>48.433999999999997</v>
      </c>
      <c r="H832">
        <v>38.561999999999998</v>
      </c>
      <c r="DM832">
        <v>335.23099999999999</v>
      </c>
      <c r="DT832">
        <v>44.488999999999997</v>
      </c>
    </row>
    <row r="833" spans="1:124" x14ac:dyDescent="0.35">
      <c r="A833">
        <v>27.148</v>
      </c>
      <c r="H833">
        <v>38.411000000000001</v>
      </c>
      <c r="DM833">
        <v>334.61599999999999</v>
      </c>
      <c r="DT833">
        <v>44.209000000000003</v>
      </c>
    </row>
    <row r="834" spans="1:124" x14ac:dyDescent="0.35">
      <c r="A834">
        <v>78.087000000000003</v>
      </c>
      <c r="H834">
        <v>38.347000000000001</v>
      </c>
      <c r="DM834">
        <v>119.218</v>
      </c>
      <c r="DT834">
        <v>43.563000000000002</v>
      </c>
    </row>
    <row r="835" spans="1:124" x14ac:dyDescent="0.35">
      <c r="A835">
        <v>84.403000000000006</v>
      </c>
      <c r="H835">
        <v>38.006</v>
      </c>
      <c r="DM835">
        <v>134.84700000000001</v>
      </c>
      <c r="DT835">
        <v>42.83</v>
      </c>
    </row>
    <row r="836" spans="1:124" x14ac:dyDescent="0.35">
      <c r="A836">
        <v>38.347000000000001</v>
      </c>
      <c r="H836">
        <v>37.968000000000004</v>
      </c>
      <c r="DM836">
        <v>183.44900000000001</v>
      </c>
      <c r="DT836">
        <v>42.573</v>
      </c>
    </row>
    <row r="837" spans="1:124" x14ac:dyDescent="0.35">
      <c r="A837">
        <v>70.55</v>
      </c>
      <c r="H837">
        <v>37.959000000000003</v>
      </c>
      <c r="DM837">
        <v>202.941</v>
      </c>
      <c r="DT837">
        <v>42.036000000000001</v>
      </c>
    </row>
    <row r="838" spans="1:124" x14ac:dyDescent="0.35">
      <c r="A838">
        <v>49.616999999999997</v>
      </c>
      <c r="H838" s="8">
        <v>37.549999999999997</v>
      </c>
      <c r="DM838">
        <v>242.74799999999999</v>
      </c>
      <c r="DT838">
        <v>41.771999999999998</v>
      </c>
    </row>
    <row r="839" spans="1:124" x14ac:dyDescent="0.35">
      <c r="A839">
        <v>126.34399999999999</v>
      </c>
      <c r="H839">
        <v>37.485999999999997</v>
      </c>
      <c r="DM839">
        <v>244.34100000000001</v>
      </c>
      <c r="DT839">
        <v>41.442999999999998</v>
      </c>
    </row>
    <row r="840" spans="1:124" x14ac:dyDescent="0.35">
      <c r="A840">
        <v>71.174000000000007</v>
      </c>
      <c r="H840" s="8">
        <v>37.46</v>
      </c>
      <c r="DM840">
        <v>30.167999999999999</v>
      </c>
      <c r="DT840">
        <v>41.436</v>
      </c>
    </row>
    <row r="841" spans="1:124" x14ac:dyDescent="0.35">
      <c r="A841">
        <v>41.534999999999997</v>
      </c>
      <c r="H841">
        <v>37.29</v>
      </c>
      <c r="DM841">
        <v>69.998999999999995</v>
      </c>
      <c r="DT841">
        <v>41.142000000000003</v>
      </c>
    </row>
    <row r="842" spans="1:124" x14ac:dyDescent="0.35">
      <c r="A842">
        <v>41.923000000000002</v>
      </c>
      <c r="H842">
        <v>37.253</v>
      </c>
      <c r="DM842">
        <v>92.531999999999996</v>
      </c>
      <c r="DT842">
        <v>40.981999999999999</v>
      </c>
    </row>
    <row r="843" spans="1:124" x14ac:dyDescent="0.35">
      <c r="A843">
        <v>142.751</v>
      </c>
      <c r="H843">
        <v>37.213000000000001</v>
      </c>
      <c r="DM843">
        <v>129.916</v>
      </c>
      <c r="DT843">
        <v>40.54</v>
      </c>
    </row>
    <row r="844" spans="1:124" x14ac:dyDescent="0.35">
      <c r="A844">
        <v>105.34099999999999</v>
      </c>
      <c r="H844">
        <v>36.959000000000003</v>
      </c>
      <c r="DM844">
        <v>135.23599999999999</v>
      </c>
      <c r="DT844">
        <v>40.293999999999997</v>
      </c>
    </row>
    <row r="845" spans="1:124" x14ac:dyDescent="0.35">
      <c r="A845">
        <v>162.07</v>
      </c>
      <c r="H845" s="8">
        <v>36.893000000000001</v>
      </c>
      <c r="DM845">
        <v>51.893000000000001</v>
      </c>
      <c r="DT845">
        <v>40.159999999999997</v>
      </c>
    </row>
    <row r="846" spans="1:124" x14ac:dyDescent="0.35">
      <c r="A846">
        <v>110.858</v>
      </c>
      <c r="H846">
        <v>36.722000000000001</v>
      </c>
      <c r="DM846">
        <v>70.308000000000007</v>
      </c>
      <c r="DT846">
        <v>40.116</v>
      </c>
    </row>
    <row r="847" spans="1:124" x14ac:dyDescent="0.35">
      <c r="A847">
        <v>95.917000000000002</v>
      </c>
      <c r="H847">
        <v>36.423999999999999</v>
      </c>
      <c r="DM847">
        <v>110.998</v>
      </c>
      <c r="DT847">
        <v>39.814</v>
      </c>
    </row>
    <row r="848" spans="1:124" x14ac:dyDescent="0.35">
      <c r="A848">
        <v>32.042999999999999</v>
      </c>
      <c r="H848">
        <v>36.277000000000001</v>
      </c>
      <c r="DM848">
        <v>112.536</v>
      </c>
      <c r="DT848">
        <v>39.691000000000003</v>
      </c>
    </row>
    <row r="849" spans="1:124" x14ac:dyDescent="0.35">
      <c r="A849">
        <v>33.552</v>
      </c>
      <c r="H849" s="8">
        <v>35.549999999999997</v>
      </c>
      <c r="DM849">
        <v>22.050999999999998</v>
      </c>
      <c r="DT849">
        <v>39.348999999999997</v>
      </c>
    </row>
    <row r="850" spans="1:124" x14ac:dyDescent="0.35">
      <c r="A850">
        <v>54.03</v>
      </c>
      <c r="H850">
        <v>35.542000000000002</v>
      </c>
      <c r="DM850">
        <v>60.72</v>
      </c>
      <c r="DT850">
        <v>39.191000000000003</v>
      </c>
    </row>
    <row r="851" spans="1:124" x14ac:dyDescent="0.35">
      <c r="A851">
        <v>113.629</v>
      </c>
      <c r="H851">
        <v>34.96</v>
      </c>
      <c r="DM851">
        <v>65.793000000000006</v>
      </c>
      <c r="DT851">
        <v>39.098999999999997</v>
      </c>
    </row>
    <row r="852" spans="1:124" x14ac:dyDescent="0.35">
      <c r="A852">
        <v>186.57599999999999</v>
      </c>
      <c r="H852">
        <v>34.948</v>
      </c>
      <c r="DM852">
        <v>39.098999999999997</v>
      </c>
      <c r="DT852">
        <v>38.973999999999997</v>
      </c>
    </row>
    <row r="853" spans="1:124" x14ac:dyDescent="0.35">
      <c r="A853">
        <v>64.718999999999994</v>
      </c>
      <c r="H853">
        <v>34.453000000000003</v>
      </c>
      <c r="DM853">
        <v>45.357999999999997</v>
      </c>
      <c r="DT853">
        <v>38.929000000000002</v>
      </c>
    </row>
    <row r="854" spans="1:124" x14ac:dyDescent="0.35">
      <c r="A854">
        <v>154.56</v>
      </c>
      <c r="H854">
        <v>33.985999999999997</v>
      </c>
      <c r="DM854">
        <v>20.187999999999999</v>
      </c>
      <c r="DT854">
        <v>38.674999999999997</v>
      </c>
    </row>
    <row r="855" spans="1:124" x14ac:dyDescent="0.35">
      <c r="A855">
        <v>70.308000000000007</v>
      </c>
      <c r="H855">
        <v>33.552</v>
      </c>
      <c r="DM855">
        <v>45.05</v>
      </c>
      <c r="DT855">
        <v>38.609000000000002</v>
      </c>
    </row>
    <row r="856" spans="1:124" x14ac:dyDescent="0.35">
      <c r="A856">
        <v>133.49600000000001</v>
      </c>
      <c r="H856">
        <v>33.430999999999997</v>
      </c>
      <c r="DM856">
        <v>78.31</v>
      </c>
      <c r="DT856">
        <v>38.6</v>
      </c>
    </row>
    <row r="857" spans="1:124" x14ac:dyDescent="0.35">
      <c r="A857">
        <v>40.164000000000001</v>
      </c>
      <c r="H857">
        <v>33.277000000000001</v>
      </c>
      <c r="DM857">
        <v>97.694999999999993</v>
      </c>
      <c r="DT857">
        <v>38.524000000000001</v>
      </c>
    </row>
    <row r="858" spans="1:124" x14ac:dyDescent="0.35">
      <c r="A858">
        <v>103.404</v>
      </c>
      <c r="H858">
        <v>33.250999999999998</v>
      </c>
      <c r="DM858">
        <v>138.74100000000001</v>
      </c>
      <c r="DT858">
        <v>38.104999999999997</v>
      </c>
    </row>
    <row r="859" spans="1:124" x14ac:dyDescent="0.35">
      <c r="A859">
        <v>101.879</v>
      </c>
      <c r="H859">
        <v>32.920999999999999</v>
      </c>
      <c r="DM859">
        <v>171.45099999999999</v>
      </c>
      <c r="DT859">
        <v>37.991999999999997</v>
      </c>
    </row>
    <row r="860" spans="1:124" x14ac:dyDescent="0.35">
      <c r="A860">
        <v>38.006</v>
      </c>
      <c r="H860">
        <v>32.912999999999997</v>
      </c>
      <c r="DM860">
        <v>229.60599999999999</v>
      </c>
      <c r="DT860">
        <v>37.963000000000001</v>
      </c>
    </row>
    <row r="861" spans="1:124" x14ac:dyDescent="0.35">
      <c r="A861">
        <v>103.613</v>
      </c>
      <c r="H861">
        <v>32.709000000000003</v>
      </c>
      <c r="DM861">
        <v>263.43400000000003</v>
      </c>
      <c r="DT861">
        <v>37.915999999999997</v>
      </c>
    </row>
    <row r="862" spans="1:124" x14ac:dyDescent="0.35">
      <c r="A862">
        <v>19.163</v>
      </c>
      <c r="H862">
        <v>32.048000000000002</v>
      </c>
      <c r="DM862">
        <v>85.503</v>
      </c>
      <c r="DT862">
        <v>37.872999999999998</v>
      </c>
    </row>
    <row r="863" spans="1:124" x14ac:dyDescent="0.35">
      <c r="A863">
        <v>108.273</v>
      </c>
      <c r="H863">
        <v>32.042999999999999</v>
      </c>
      <c r="DM863">
        <v>84.753</v>
      </c>
      <c r="DT863">
        <v>37.737000000000002</v>
      </c>
    </row>
    <row r="864" spans="1:124" x14ac:dyDescent="0.35">
      <c r="A864">
        <v>118.982</v>
      </c>
      <c r="H864">
        <v>30.584</v>
      </c>
      <c r="DM864">
        <v>121.309</v>
      </c>
      <c r="DT864">
        <v>37.735999999999997</v>
      </c>
    </row>
    <row r="865" spans="1:124" x14ac:dyDescent="0.35">
      <c r="A865">
        <v>18.687000000000001</v>
      </c>
      <c r="H865">
        <v>30.465</v>
      </c>
      <c r="DM865">
        <v>152.392</v>
      </c>
      <c r="DT865">
        <v>37.328000000000003</v>
      </c>
    </row>
    <row r="866" spans="1:124" x14ac:dyDescent="0.35">
      <c r="A866">
        <v>99.036000000000001</v>
      </c>
      <c r="H866">
        <v>29.692</v>
      </c>
      <c r="DM866">
        <v>213.92400000000001</v>
      </c>
      <c r="DT866">
        <v>37.095999999999997</v>
      </c>
    </row>
    <row r="867" spans="1:124" x14ac:dyDescent="0.35">
      <c r="A867">
        <v>102.30200000000001</v>
      </c>
      <c r="H867">
        <v>28.943000000000001</v>
      </c>
      <c r="DM867">
        <v>243.58600000000001</v>
      </c>
      <c r="DT867">
        <v>36.630000000000003</v>
      </c>
    </row>
    <row r="868" spans="1:124" x14ac:dyDescent="0.35">
      <c r="A868">
        <v>74.588999999999999</v>
      </c>
      <c r="H868" s="8">
        <v>28.484000000000002</v>
      </c>
      <c r="DM868">
        <v>37.872999999999998</v>
      </c>
      <c r="DT868">
        <v>36.506999999999998</v>
      </c>
    </row>
    <row r="869" spans="1:124" x14ac:dyDescent="0.35">
      <c r="A869">
        <v>94.334000000000003</v>
      </c>
      <c r="H869">
        <v>28.212</v>
      </c>
      <c r="DM869">
        <v>74.683999999999997</v>
      </c>
      <c r="DT869">
        <v>36.453000000000003</v>
      </c>
    </row>
    <row r="870" spans="1:124" x14ac:dyDescent="0.35">
      <c r="A870">
        <v>114.273</v>
      </c>
      <c r="H870" s="8">
        <v>28.088999999999999</v>
      </c>
      <c r="DM870">
        <v>111.413</v>
      </c>
      <c r="DT870">
        <v>36.036000000000001</v>
      </c>
    </row>
    <row r="871" spans="1:124" x14ac:dyDescent="0.35">
      <c r="A871">
        <v>135.673</v>
      </c>
      <c r="H871">
        <v>27.69</v>
      </c>
      <c r="J871" s="8"/>
      <c r="DM871">
        <v>155.78</v>
      </c>
      <c r="DT871">
        <v>35.908000000000001</v>
      </c>
    </row>
    <row r="872" spans="1:124" x14ac:dyDescent="0.35">
      <c r="A872">
        <v>156.82900000000001</v>
      </c>
      <c r="H872">
        <v>27.670999999999999</v>
      </c>
      <c r="DM872">
        <v>194.666</v>
      </c>
      <c r="DT872">
        <v>35.857999999999997</v>
      </c>
    </row>
    <row r="873" spans="1:124" x14ac:dyDescent="0.35">
      <c r="A873">
        <v>186.40600000000001</v>
      </c>
      <c r="H873">
        <v>27.536000000000001</v>
      </c>
      <c r="J873" s="8"/>
      <c r="DM873">
        <v>44.209000000000003</v>
      </c>
      <c r="DT873">
        <v>35.838000000000001</v>
      </c>
    </row>
    <row r="874" spans="1:124" x14ac:dyDescent="0.35">
      <c r="A874">
        <v>180.33699999999999</v>
      </c>
      <c r="H874">
        <v>27.212</v>
      </c>
      <c r="DM874">
        <v>79.578000000000003</v>
      </c>
      <c r="DT874">
        <v>35.606999999999999</v>
      </c>
    </row>
    <row r="875" spans="1:124" x14ac:dyDescent="0.35">
      <c r="A875">
        <v>248.42400000000001</v>
      </c>
      <c r="H875">
        <v>27.148</v>
      </c>
      <c r="DM875">
        <v>133.03100000000001</v>
      </c>
      <c r="DT875">
        <v>35.585999999999999</v>
      </c>
    </row>
    <row r="876" spans="1:124" x14ac:dyDescent="0.35">
      <c r="A876">
        <v>255.035</v>
      </c>
      <c r="H876">
        <v>27.010999999999999</v>
      </c>
      <c r="DM876">
        <v>168.636</v>
      </c>
      <c r="DT876">
        <v>35.286999999999999</v>
      </c>
    </row>
    <row r="877" spans="1:124" x14ac:dyDescent="0.35">
      <c r="A877">
        <v>22.170999999999999</v>
      </c>
      <c r="H877">
        <v>26.965</v>
      </c>
      <c r="DM877">
        <v>36.506999999999998</v>
      </c>
      <c r="DT877">
        <v>35.225999999999999</v>
      </c>
    </row>
    <row r="878" spans="1:124" x14ac:dyDescent="0.35">
      <c r="A878">
        <v>41.411999999999999</v>
      </c>
      <c r="H878" s="8">
        <v>26.484000000000002</v>
      </c>
      <c r="DM878">
        <v>93.061999999999998</v>
      </c>
      <c r="DT878">
        <v>35.119999999999997</v>
      </c>
    </row>
    <row r="879" spans="1:124" x14ac:dyDescent="0.35">
      <c r="A879">
        <v>74.582999999999998</v>
      </c>
      <c r="H879" s="8">
        <v>25.709</v>
      </c>
      <c r="J879" s="8"/>
      <c r="DM879">
        <v>124.01</v>
      </c>
      <c r="DT879">
        <v>34.554000000000002</v>
      </c>
    </row>
    <row r="880" spans="1:124" x14ac:dyDescent="0.35">
      <c r="A880">
        <v>70.007000000000005</v>
      </c>
      <c r="H880">
        <v>24.603999999999999</v>
      </c>
      <c r="DM880">
        <v>66.730999999999995</v>
      </c>
      <c r="DT880">
        <v>34.197000000000003</v>
      </c>
    </row>
    <row r="881" spans="1:124" x14ac:dyDescent="0.35">
      <c r="A881">
        <v>138.30199999999999</v>
      </c>
      <c r="H881">
        <v>24.411999999999999</v>
      </c>
      <c r="DM881">
        <v>91.046000000000006</v>
      </c>
      <c r="DT881">
        <v>33.692999999999998</v>
      </c>
    </row>
    <row r="882" spans="1:124" x14ac:dyDescent="0.35">
      <c r="A882">
        <v>148.922</v>
      </c>
      <c r="H882" s="8">
        <v>24.081</v>
      </c>
      <c r="J882" s="8"/>
      <c r="DM882">
        <v>48.98</v>
      </c>
      <c r="DT882">
        <v>33.185000000000002</v>
      </c>
    </row>
    <row r="883" spans="1:124" x14ac:dyDescent="0.35">
      <c r="A883">
        <v>23.079000000000001</v>
      </c>
      <c r="H883" s="8">
        <v>23.617000000000001</v>
      </c>
      <c r="DM883">
        <v>98.036000000000001</v>
      </c>
      <c r="DT883">
        <v>32.573</v>
      </c>
    </row>
    <row r="884" spans="1:124" x14ac:dyDescent="0.35">
      <c r="A884">
        <v>52.744999999999997</v>
      </c>
      <c r="H884">
        <v>23.079000000000001</v>
      </c>
      <c r="DM884">
        <v>160.446</v>
      </c>
      <c r="DT884">
        <v>32.220999999999997</v>
      </c>
    </row>
    <row r="885" spans="1:124" x14ac:dyDescent="0.35">
      <c r="A885">
        <v>53.215000000000003</v>
      </c>
      <c r="H885" s="8">
        <v>23.058</v>
      </c>
      <c r="DM885">
        <v>209.96</v>
      </c>
      <c r="DT885">
        <v>31.878</v>
      </c>
    </row>
    <row r="886" spans="1:124" x14ac:dyDescent="0.35">
      <c r="A886">
        <v>120.72199999999999</v>
      </c>
      <c r="H886">
        <v>22.170999999999999</v>
      </c>
      <c r="DM886">
        <v>241.34299999999999</v>
      </c>
      <c r="DT886">
        <v>31.646000000000001</v>
      </c>
    </row>
    <row r="887" spans="1:124" x14ac:dyDescent="0.35">
      <c r="A887">
        <v>131.345</v>
      </c>
      <c r="H887" s="8">
        <v>22.111999999999998</v>
      </c>
      <c r="DM887">
        <v>248.952</v>
      </c>
      <c r="DT887">
        <v>31.125</v>
      </c>
    </row>
    <row r="888" spans="1:124" x14ac:dyDescent="0.35">
      <c r="A888">
        <v>33.430999999999997</v>
      </c>
      <c r="H888">
        <v>21.928000000000001</v>
      </c>
      <c r="J888" s="8"/>
      <c r="DM888">
        <v>277.71300000000002</v>
      </c>
      <c r="DT888">
        <v>30.513999999999999</v>
      </c>
    </row>
    <row r="889" spans="1:124" x14ac:dyDescent="0.35">
      <c r="A889">
        <v>38.411000000000001</v>
      </c>
      <c r="H889" s="8">
        <v>20.986000000000001</v>
      </c>
      <c r="DM889">
        <v>66.7</v>
      </c>
      <c r="DT889">
        <v>30.167999999999999</v>
      </c>
    </row>
    <row r="890" spans="1:124" x14ac:dyDescent="0.35">
      <c r="A890">
        <v>100.33199999999999</v>
      </c>
      <c r="H890">
        <v>20.957999999999998</v>
      </c>
      <c r="DM890">
        <v>109.52500000000001</v>
      </c>
      <c r="DT890">
        <v>29.678999999999998</v>
      </c>
    </row>
    <row r="891" spans="1:124" x14ac:dyDescent="0.35">
      <c r="A891">
        <v>115.49299999999999</v>
      </c>
      <c r="H891">
        <v>20.905000000000001</v>
      </c>
      <c r="DM891">
        <v>145.672</v>
      </c>
      <c r="DT891">
        <v>29.634</v>
      </c>
    </row>
    <row r="892" spans="1:124" x14ac:dyDescent="0.35">
      <c r="A892">
        <v>28.943000000000001</v>
      </c>
      <c r="H892">
        <v>20.042999999999999</v>
      </c>
      <c r="DM892">
        <v>152.857</v>
      </c>
      <c r="DT892">
        <v>29.452999999999999</v>
      </c>
    </row>
    <row r="893" spans="1:124" x14ac:dyDescent="0.35">
      <c r="A893">
        <v>72.078999999999994</v>
      </c>
      <c r="H893">
        <v>19.565999999999999</v>
      </c>
      <c r="DM893">
        <v>180.036</v>
      </c>
      <c r="DT893">
        <v>29.417000000000002</v>
      </c>
    </row>
    <row r="894" spans="1:124" x14ac:dyDescent="0.35">
      <c r="A894">
        <v>93.039000000000001</v>
      </c>
      <c r="H894">
        <v>19.163</v>
      </c>
      <c r="DM894">
        <v>66.83</v>
      </c>
      <c r="DT894">
        <v>29.016999999999999</v>
      </c>
    </row>
    <row r="895" spans="1:124" x14ac:dyDescent="0.35">
      <c r="A895">
        <v>69.602999999999994</v>
      </c>
      <c r="H895">
        <v>18.779</v>
      </c>
      <c r="DM895">
        <v>80.831000000000003</v>
      </c>
      <c r="DT895">
        <v>28.63</v>
      </c>
    </row>
    <row r="896" spans="1:124" x14ac:dyDescent="0.35">
      <c r="A896">
        <v>76.718999999999994</v>
      </c>
      <c r="H896">
        <v>18.687000000000001</v>
      </c>
      <c r="DM896">
        <v>88.537999999999997</v>
      </c>
      <c r="DT896">
        <v>28.446999999999999</v>
      </c>
    </row>
    <row r="897" spans="1:124" x14ac:dyDescent="0.35">
      <c r="A897">
        <v>36.423999999999999</v>
      </c>
      <c r="H897">
        <v>18.446999999999999</v>
      </c>
      <c r="DM897">
        <v>121.14700000000001</v>
      </c>
      <c r="DT897">
        <v>27.742999999999999</v>
      </c>
    </row>
    <row r="898" spans="1:124" x14ac:dyDescent="0.35">
      <c r="DM898">
        <v>64.927000000000007</v>
      </c>
      <c r="DT898">
        <v>27.427</v>
      </c>
    </row>
    <row r="899" spans="1:124" x14ac:dyDescent="0.35">
      <c r="DM899">
        <v>59.28</v>
      </c>
      <c r="DT899">
        <v>27.207000000000001</v>
      </c>
    </row>
    <row r="900" spans="1:124" x14ac:dyDescent="0.35">
      <c r="DM900">
        <v>73.697999999999993</v>
      </c>
      <c r="DT900">
        <v>27.17</v>
      </c>
    </row>
    <row r="901" spans="1:124" x14ac:dyDescent="0.35">
      <c r="DM901">
        <v>19.03</v>
      </c>
      <c r="DT901">
        <v>26.518999999999998</v>
      </c>
    </row>
    <row r="902" spans="1:124" x14ac:dyDescent="0.35">
      <c r="DM902">
        <v>57.497999999999998</v>
      </c>
      <c r="DT902">
        <v>25.646000000000001</v>
      </c>
    </row>
    <row r="903" spans="1:124" x14ac:dyDescent="0.35">
      <c r="DM903">
        <v>40.116</v>
      </c>
      <c r="DT903">
        <v>24.527000000000001</v>
      </c>
    </row>
    <row r="904" spans="1:124" x14ac:dyDescent="0.35">
      <c r="DM904">
        <v>138.56299999999999</v>
      </c>
      <c r="DT904">
        <v>24.239000000000001</v>
      </c>
    </row>
    <row r="905" spans="1:124" x14ac:dyDescent="0.35">
      <c r="DM905">
        <v>50.134</v>
      </c>
      <c r="DT905">
        <v>23.62</v>
      </c>
    </row>
    <row r="906" spans="1:124" x14ac:dyDescent="0.35">
      <c r="DM906">
        <v>38.6</v>
      </c>
      <c r="DT906">
        <v>23.126999999999999</v>
      </c>
    </row>
    <row r="907" spans="1:124" x14ac:dyDescent="0.35">
      <c r="DM907">
        <v>84.075000000000003</v>
      </c>
      <c r="DT907">
        <v>22.943000000000001</v>
      </c>
    </row>
    <row r="908" spans="1:124" x14ac:dyDescent="0.35">
      <c r="DM908">
        <v>204.84399999999999</v>
      </c>
      <c r="DT908">
        <v>22.913</v>
      </c>
    </row>
    <row r="909" spans="1:124" x14ac:dyDescent="0.35">
      <c r="DM909">
        <v>127.31699999999999</v>
      </c>
      <c r="DT909">
        <v>22.879000000000001</v>
      </c>
    </row>
    <row r="910" spans="1:124" x14ac:dyDescent="0.35">
      <c r="DM910">
        <v>154.78899999999999</v>
      </c>
      <c r="DT910">
        <v>22.375</v>
      </c>
    </row>
    <row r="911" spans="1:124" x14ac:dyDescent="0.35">
      <c r="DM911">
        <v>148.666</v>
      </c>
      <c r="DT911">
        <v>22.170999999999999</v>
      </c>
    </row>
    <row r="912" spans="1:124" x14ac:dyDescent="0.35">
      <c r="DM912">
        <v>114.596</v>
      </c>
      <c r="DT912">
        <v>22.076000000000001</v>
      </c>
    </row>
    <row r="913" spans="117:124" x14ac:dyDescent="0.35">
      <c r="DM913">
        <v>56.927</v>
      </c>
      <c r="DT913">
        <v>22.050999999999998</v>
      </c>
    </row>
    <row r="914" spans="117:124" x14ac:dyDescent="0.35">
      <c r="DM914">
        <v>84.486000000000004</v>
      </c>
      <c r="DT914">
        <v>22.026</v>
      </c>
    </row>
    <row r="915" spans="117:124" x14ac:dyDescent="0.35">
      <c r="DM915">
        <v>53.201000000000001</v>
      </c>
      <c r="DT915">
        <v>20.728999999999999</v>
      </c>
    </row>
    <row r="916" spans="117:124" x14ac:dyDescent="0.35">
      <c r="DM916">
        <v>37.963000000000001</v>
      </c>
      <c r="DT916">
        <v>20.51</v>
      </c>
    </row>
    <row r="917" spans="117:124" x14ac:dyDescent="0.35">
      <c r="DM917">
        <v>38.674999999999997</v>
      </c>
      <c r="DT917">
        <v>20.311</v>
      </c>
    </row>
    <row r="918" spans="117:124" x14ac:dyDescent="0.35">
      <c r="DM918">
        <v>106.134</v>
      </c>
      <c r="DT918">
        <v>20.187999999999999</v>
      </c>
    </row>
    <row r="919" spans="117:124" x14ac:dyDescent="0.35">
      <c r="DM919">
        <v>228.38399999999999</v>
      </c>
      <c r="DT919">
        <v>19.03</v>
      </c>
    </row>
    <row r="920" spans="117:124" x14ac:dyDescent="0.35">
      <c r="DM920">
        <v>154.63</v>
      </c>
      <c r="DT920">
        <v>17.928000000000001</v>
      </c>
    </row>
    <row r="921" spans="117:124" x14ac:dyDescent="0.35">
      <c r="DM921">
        <v>175.22200000000001</v>
      </c>
      <c r="DT921">
        <v>17.405000000000001</v>
      </c>
    </row>
    <row r="922" spans="117:124" x14ac:dyDescent="0.35">
      <c r="DM922">
        <v>67.923000000000002</v>
      </c>
      <c r="DT922">
        <v>17.32</v>
      </c>
    </row>
    <row r="923" spans="117:124" x14ac:dyDescent="0.35">
      <c r="DM923">
        <v>190.49799999999999</v>
      </c>
      <c r="DT923">
        <v>17.3</v>
      </c>
    </row>
    <row r="924" spans="117:124" x14ac:dyDescent="0.35">
      <c r="DM924">
        <v>117.59099999999999</v>
      </c>
      <c r="DT924">
        <v>17.29</v>
      </c>
    </row>
    <row r="925" spans="117:124" x14ac:dyDescent="0.35">
      <c r="DM925">
        <v>137.447</v>
      </c>
      <c r="DT925">
        <v>16.413</v>
      </c>
    </row>
    <row r="926" spans="117:124" x14ac:dyDescent="0.35">
      <c r="DM926">
        <v>123.352</v>
      </c>
      <c r="DT926">
        <v>16.285</v>
      </c>
    </row>
    <row r="927" spans="117:124" x14ac:dyDescent="0.35">
      <c r="DM927">
        <v>50.942</v>
      </c>
      <c r="DT927">
        <v>16.027000000000001</v>
      </c>
    </row>
    <row r="928" spans="117:124" x14ac:dyDescent="0.35">
      <c r="DM928">
        <v>70.912000000000006</v>
      </c>
      <c r="DT928">
        <v>15.967000000000001</v>
      </c>
    </row>
    <row r="929" spans="117:124" x14ac:dyDescent="0.35">
      <c r="DM929">
        <v>82.162000000000006</v>
      </c>
      <c r="DT929">
        <v>15.568</v>
      </c>
    </row>
    <row r="930" spans="117:124" x14ac:dyDescent="0.35">
      <c r="DT930">
        <v>14.509</v>
      </c>
    </row>
    <row r="931" spans="117:124" x14ac:dyDescent="0.35">
      <c r="DM931">
        <v>39.348999999999997</v>
      </c>
      <c r="DT931">
        <v>12.616</v>
      </c>
    </row>
    <row r="932" spans="117:124" x14ac:dyDescent="0.35">
      <c r="DT932">
        <v>10.247</v>
      </c>
    </row>
  </sheetData>
  <mergeCells count="26">
    <mergeCell ref="BM48:BO48"/>
    <mergeCell ref="BP48:BR48"/>
    <mergeCell ref="BV48:BY48"/>
    <mergeCell ref="CA48:CD48"/>
    <mergeCell ref="A49:C49"/>
    <mergeCell ref="D49:F49"/>
    <mergeCell ref="H49:K49"/>
    <mergeCell ref="M49:P49"/>
    <mergeCell ref="AW14:AY14"/>
    <mergeCell ref="FN16:FP16"/>
    <mergeCell ref="DM45:DO45"/>
    <mergeCell ref="DP45:DR45"/>
    <mergeCell ref="DT45:DW45"/>
    <mergeCell ref="DY45:EB45"/>
    <mergeCell ref="FS1:FY1"/>
    <mergeCell ref="GB1:HD1"/>
    <mergeCell ref="HG1:HV1"/>
    <mergeCell ref="HY1:IO1"/>
    <mergeCell ref="GC3:HD3"/>
    <mergeCell ref="HH3:HV3"/>
    <mergeCell ref="HZ3:IO3"/>
    <mergeCell ref="A1:F1"/>
    <mergeCell ref="BB1:BH1"/>
    <mergeCell ref="BK1:BP1"/>
    <mergeCell ref="DD1:DJ1"/>
    <mergeCell ref="DM1:DR1"/>
  </mergeCells>
  <pageMargins left="0.78749999999999998" right="0.78749999999999998" top="1.0249999999999999" bottom="1.0249999999999999" header="0.78749999999999998" footer="0.78749999999999998"/>
  <pageSetup firstPageNumber="0" orientation="portrait" horizontalDpi="1200" verticalDpi="1200" r:id="rId1"/>
  <headerFooter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38"/>
  <sheetViews>
    <sheetView zoomScale="120" zoomScaleNormal="120" workbookViewId="0">
      <selection sqref="A1:G1"/>
    </sheetView>
  </sheetViews>
  <sheetFormatPr defaultRowHeight="12.75" x14ac:dyDescent="0.35"/>
  <sheetData>
    <row r="1" spans="1:47" ht="13.15" x14ac:dyDescent="0.4">
      <c r="A1" s="39" t="s">
        <v>1</v>
      </c>
      <c r="B1" s="39"/>
      <c r="C1" s="39"/>
      <c r="D1" s="39"/>
      <c r="E1" s="39"/>
      <c r="F1" s="39"/>
      <c r="G1" s="39"/>
      <c r="I1" s="39" t="s">
        <v>1</v>
      </c>
      <c r="J1" s="39"/>
      <c r="K1" s="39"/>
      <c r="L1" s="39"/>
      <c r="M1" s="39"/>
      <c r="N1" s="39"/>
      <c r="O1" s="39"/>
      <c r="Q1" s="40" t="s">
        <v>9</v>
      </c>
      <c r="R1" s="40"/>
      <c r="S1" s="40"/>
      <c r="T1" s="40"/>
      <c r="U1" s="40"/>
      <c r="V1" s="40"/>
      <c r="W1" s="40"/>
      <c r="Y1" s="40" t="s">
        <v>9</v>
      </c>
      <c r="Z1" s="40"/>
      <c r="AA1" s="40"/>
      <c r="AB1" s="40"/>
      <c r="AC1" s="40"/>
      <c r="AD1" s="40"/>
      <c r="AE1" s="40"/>
      <c r="AG1" s="41" t="s">
        <v>10</v>
      </c>
      <c r="AH1" s="41"/>
      <c r="AI1" s="41"/>
      <c r="AJ1" s="41"/>
      <c r="AK1" s="41"/>
      <c r="AL1" s="41"/>
      <c r="AM1" s="41"/>
      <c r="AO1" s="41" t="s">
        <v>10</v>
      </c>
      <c r="AP1" s="41"/>
      <c r="AQ1" s="41"/>
      <c r="AR1" s="41"/>
      <c r="AS1" s="41"/>
      <c r="AT1" s="41"/>
      <c r="AU1" s="41"/>
    </row>
    <row r="2" spans="1:47" x14ac:dyDescent="0.35">
      <c r="A2" s="42" t="s">
        <v>312</v>
      </c>
      <c r="B2" s="42"/>
      <c r="C2" s="42"/>
      <c r="D2" s="42"/>
      <c r="E2" s="42"/>
      <c r="F2" s="42"/>
      <c r="G2" s="42"/>
      <c r="I2" s="42" t="s">
        <v>313</v>
      </c>
      <c r="J2" s="42"/>
      <c r="K2" s="42"/>
      <c r="L2" s="42"/>
      <c r="M2" s="42"/>
      <c r="N2" s="42"/>
      <c r="O2" s="42"/>
      <c r="Q2" s="42" t="s">
        <v>312</v>
      </c>
      <c r="R2" s="42"/>
      <c r="S2" s="42"/>
      <c r="T2" s="42"/>
      <c r="U2" s="42"/>
      <c r="V2" s="42"/>
      <c r="W2" s="42"/>
      <c r="Y2" s="42" t="s">
        <v>313</v>
      </c>
      <c r="Z2" s="42"/>
      <c r="AA2" s="42"/>
      <c r="AB2" s="42"/>
      <c r="AC2" s="42"/>
      <c r="AD2" s="42"/>
      <c r="AE2" s="42"/>
      <c r="AG2" s="42" t="s">
        <v>312</v>
      </c>
      <c r="AH2" s="42"/>
      <c r="AI2" s="42"/>
      <c r="AJ2" s="42"/>
      <c r="AK2" s="42"/>
      <c r="AL2" s="42"/>
      <c r="AM2" s="42"/>
      <c r="AO2" s="42" t="s">
        <v>313</v>
      </c>
      <c r="AP2" s="42"/>
      <c r="AQ2" s="42"/>
      <c r="AR2" s="42"/>
      <c r="AS2" s="42"/>
      <c r="AT2" s="42"/>
      <c r="AU2" s="42"/>
    </row>
    <row r="3" spans="1:47" ht="13.15" x14ac:dyDescent="0.4">
      <c r="A3" s="1" t="s">
        <v>314</v>
      </c>
      <c r="B3" s="1" t="s">
        <v>315</v>
      </c>
      <c r="C3" s="1" t="s">
        <v>316</v>
      </c>
      <c r="D3" s="1" t="s">
        <v>317</v>
      </c>
      <c r="E3" s="1" t="s">
        <v>318</v>
      </c>
      <c r="F3" s="1" t="s">
        <v>319</v>
      </c>
      <c r="G3" s="1" t="s">
        <v>32</v>
      </c>
      <c r="I3" s="1" t="s">
        <v>314</v>
      </c>
      <c r="J3" s="1" t="s">
        <v>315</v>
      </c>
      <c r="K3" s="1" t="s">
        <v>316</v>
      </c>
      <c r="L3" s="1" t="s">
        <v>317</v>
      </c>
      <c r="M3" s="1" t="s">
        <v>318</v>
      </c>
      <c r="N3" s="1" t="s">
        <v>319</v>
      </c>
      <c r="O3" s="1" t="s">
        <v>32</v>
      </c>
      <c r="Q3" s="1" t="s">
        <v>314</v>
      </c>
      <c r="R3" s="1" t="s">
        <v>315</v>
      </c>
      <c r="S3" s="1" t="s">
        <v>316</v>
      </c>
      <c r="T3" s="1" t="s">
        <v>317</v>
      </c>
      <c r="U3" s="1" t="s">
        <v>318</v>
      </c>
      <c r="V3" s="1" t="s">
        <v>319</v>
      </c>
      <c r="W3" s="1" t="s">
        <v>32</v>
      </c>
      <c r="Y3" s="1" t="s">
        <v>314</v>
      </c>
      <c r="Z3" s="1" t="s">
        <v>315</v>
      </c>
      <c r="AA3" s="1" t="s">
        <v>316</v>
      </c>
      <c r="AB3" s="1" t="s">
        <v>317</v>
      </c>
      <c r="AC3" s="1" t="s">
        <v>318</v>
      </c>
      <c r="AD3" s="1" t="s">
        <v>319</v>
      </c>
      <c r="AE3" s="1" t="s">
        <v>32</v>
      </c>
      <c r="AG3" s="1" t="s">
        <v>314</v>
      </c>
      <c r="AH3" s="1" t="s">
        <v>315</v>
      </c>
      <c r="AI3" s="1" t="s">
        <v>316</v>
      </c>
      <c r="AJ3" s="1" t="s">
        <v>317</v>
      </c>
      <c r="AK3" s="1" t="s">
        <v>318</v>
      </c>
      <c r="AL3" s="1" t="s">
        <v>319</v>
      </c>
      <c r="AM3" s="1" t="s">
        <v>32</v>
      </c>
      <c r="AO3" s="1" t="s">
        <v>314</v>
      </c>
      <c r="AP3" s="1" t="s">
        <v>315</v>
      </c>
      <c r="AQ3" s="1" t="s">
        <v>316</v>
      </c>
      <c r="AR3" s="1" t="s">
        <v>317</v>
      </c>
      <c r="AS3" s="1" t="s">
        <v>318</v>
      </c>
      <c r="AT3" s="1" t="s">
        <v>319</v>
      </c>
      <c r="AU3" s="1" t="s">
        <v>32</v>
      </c>
    </row>
    <row r="4" spans="1:47" ht="13.15" x14ac:dyDescent="0.4">
      <c r="A4" t="s">
        <v>250</v>
      </c>
      <c r="B4">
        <v>1034.9793373930099</v>
      </c>
      <c r="C4">
        <v>2136.1997632123798</v>
      </c>
      <c r="D4">
        <v>3464.3607990895398</v>
      </c>
      <c r="E4">
        <v>3.6973665961009901</v>
      </c>
      <c r="G4" s="1">
        <f t="shared" ref="G4:G37" si="0">SUM(B4:F4)</f>
        <v>6639.2372662910311</v>
      </c>
      <c r="I4" t="s">
        <v>250</v>
      </c>
      <c r="J4" s="24">
        <f t="shared" ref="J4:J37" si="1">B4*100/G4</f>
        <v>15.588828895268488</v>
      </c>
      <c r="K4" s="24">
        <f t="shared" ref="K4:K37" si="2">C4*100/G4</f>
        <v>32.175379151734319</v>
      </c>
      <c r="L4" s="24">
        <f t="shared" ref="L4:L37" si="3">D4*100/G4</f>
        <v>52.180102324086448</v>
      </c>
      <c r="M4" s="24">
        <f t="shared" ref="M4:M37" si="4">E4*100/G4</f>
        <v>5.5689628910739336E-2</v>
      </c>
      <c r="N4" s="24">
        <f t="shared" ref="N4:N37" si="5">F4*100/G4</f>
        <v>0</v>
      </c>
      <c r="O4">
        <f t="shared" ref="O4:O38" si="6">SUM(J4:N4)</f>
        <v>100</v>
      </c>
      <c r="Q4" t="s">
        <v>169</v>
      </c>
      <c r="R4">
        <v>520.02997450164798</v>
      </c>
      <c r="S4">
        <v>4255.61238468992</v>
      </c>
      <c r="T4">
        <v>714.74363909536896</v>
      </c>
      <c r="U4">
        <v>127.758594068501</v>
      </c>
      <c r="W4" s="1">
        <f t="shared" ref="W4:W21" si="7">SUM(R4:V4)</f>
        <v>5618.1445923554384</v>
      </c>
      <c r="Y4" t="s">
        <v>169</v>
      </c>
      <c r="Z4" s="24">
        <f t="shared" ref="Z4:Z21" si="8">R4*100/W4</f>
        <v>9.2562582887106242</v>
      </c>
      <c r="AA4" s="24">
        <f t="shared" ref="AA4:AA21" si="9">S4*100/W4</f>
        <v>75.747647906401269</v>
      </c>
      <c r="AB4" s="24">
        <f t="shared" ref="AB4:AB21" si="10">T4*100/W4</f>
        <v>12.722058454456915</v>
      </c>
      <c r="AC4" s="24">
        <f t="shared" ref="AC4:AC21" si="11">U4*100/W4</f>
        <v>2.2740353504311912</v>
      </c>
      <c r="AD4" s="24">
        <f t="shared" ref="AD4:AD21" si="12">V4*100/W4</f>
        <v>0</v>
      </c>
      <c r="AE4">
        <f>SUM(Z4:AD4)</f>
        <v>100</v>
      </c>
      <c r="AG4" s="18" t="s">
        <v>160</v>
      </c>
      <c r="AH4">
        <v>1292.1292706409999</v>
      </c>
      <c r="AI4">
        <v>2107.4696317132002</v>
      </c>
      <c r="AJ4">
        <v>4099.1134068086803</v>
      </c>
      <c r="AM4" s="1">
        <f t="shared" ref="AM4:AM27" si="13">SUM(AH4:AL4)</f>
        <v>7498.71230916288</v>
      </c>
      <c r="AO4" s="18" t="s">
        <v>160</v>
      </c>
      <c r="AP4" s="24">
        <f t="shared" ref="AP4:AP27" si="14">AH4*100/AM4</f>
        <v>17.231348761868247</v>
      </c>
      <c r="AQ4" s="24">
        <f t="shared" ref="AQ4:AQ27" si="15">AI4*100/AM4</f>
        <v>28.104420396793007</v>
      </c>
      <c r="AR4" s="24">
        <f t="shared" ref="AR4:AR27" si="16">AJ4*100/AM4</f>
        <v>54.66423084133875</v>
      </c>
      <c r="AS4" s="24">
        <f t="shared" ref="AS4:AS27" si="17">AK4*100/AM4</f>
        <v>0</v>
      </c>
      <c r="AT4" s="24">
        <f t="shared" ref="AT4:AT27" si="18">AL4*100/AM4</f>
        <v>0</v>
      </c>
      <c r="AU4">
        <f t="shared" ref="AU4:AU27" si="19">SUM(AP4:AT4)</f>
        <v>100</v>
      </c>
    </row>
    <row r="5" spans="1:47" ht="13.15" x14ac:dyDescent="0.4">
      <c r="A5" t="s">
        <v>255</v>
      </c>
      <c r="B5">
        <v>1156.44104997253</v>
      </c>
      <c r="C5">
        <v>481.87843822001298</v>
      </c>
      <c r="D5">
        <v>3715.2718620819301</v>
      </c>
      <c r="E5">
        <v>649.74033654015102</v>
      </c>
      <c r="G5" s="1">
        <f t="shared" si="0"/>
        <v>6003.3316868146248</v>
      </c>
      <c r="I5" t="s">
        <v>255</v>
      </c>
      <c r="J5" s="24">
        <f t="shared" si="1"/>
        <v>19.263320940811436</v>
      </c>
      <c r="K5" s="24">
        <f t="shared" si="2"/>
        <v>8.0268501452015926</v>
      </c>
      <c r="L5" s="24">
        <f t="shared" si="3"/>
        <v>61.886833110386711</v>
      </c>
      <c r="M5" s="24">
        <f t="shared" si="4"/>
        <v>10.822995803600252</v>
      </c>
      <c r="N5" s="24">
        <f t="shared" si="5"/>
        <v>0</v>
      </c>
      <c r="O5">
        <f t="shared" si="6"/>
        <v>99.999999999999986</v>
      </c>
      <c r="Q5" t="s">
        <v>178</v>
      </c>
      <c r="R5">
        <v>470.867786282211</v>
      </c>
      <c r="S5">
        <v>1839.1464438533801</v>
      </c>
      <c r="T5">
        <v>918.23337886331296</v>
      </c>
      <c r="W5" s="1">
        <f t="shared" si="7"/>
        <v>3228.2476089989041</v>
      </c>
      <c r="Y5" t="s">
        <v>178</v>
      </c>
      <c r="Z5" s="24">
        <f t="shared" si="8"/>
        <v>14.585863394420031</v>
      </c>
      <c r="AA5" s="24">
        <f t="shared" si="9"/>
        <v>56.970426888156474</v>
      </c>
      <c r="AB5" s="24">
        <f t="shared" si="10"/>
        <v>28.443709717423499</v>
      </c>
      <c r="AC5" s="24">
        <f t="shared" si="11"/>
        <v>0</v>
      </c>
      <c r="AD5" s="24">
        <f t="shared" si="12"/>
        <v>0</v>
      </c>
      <c r="AG5" t="s">
        <v>179</v>
      </c>
      <c r="AH5">
        <v>682.97475734951001</v>
      </c>
      <c r="AI5">
        <v>6220.0354456246796</v>
      </c>
      <c r="AM5" s="1">
        <f t="shared" si="13"/>
        <v>6903.0102029741893</v>
      </c>
      <c r="AO5" t="s">
        <v>179</v>
      </c>
      <c r="AP5" s="24">
        <f t="shared" si="14"/>
        <v>9.8938685771498296</v>
      </c>
      <c r="AQ5" s="24">
        <f t="shared" si="15"/>
        <v>90.106131422850169</v>
      </c>
      <c r="AR5" s="24">
        <f t="shared" si="16"/>
        <v>0</v>
      </c>
      <c r="AS5" s="24">
        <f t="shared" si="17"/>
        <v>0</v>
      </c>
      <c r="AT5" s="24">
        <f t="shared" si="18"/>
        <v>0</v>
      </c>
      <c r="AU5">
        <f t="shared" si="19"/>
        <v>100</v>
      </c>
    </row>
    <row r="6" spans="1:47" ht="13.15" x14ac:dyDescent="0.4">
      <c r="A6" t="s">
        <v>258</v>
      </c>
      <c r="B6">
        <v>590.37662876610705</v>
      </c>
      <c r="C6">
        <v>423.48838704596301</v>
      </c>
      <c r="D6">
        <v>6212.11584147756</v>
      </c>
      <c r="E6">
        <v>370.77858452466597</v>
      </c>
      <c r="G6" s="1">
        <f t="shared" si="0"/>
        <v>7596.7594418142962</v>
      </c>
      <c r="I6" t="s">
        <v>258</v>
      </c>
      <c r="J6" s="24">
        <f t="shared" si="1"/>
        <v>7.771427189289942</v>
      </c>
      <c r="K6" s="24">
        <f t="shared" si="2"/>
        <v>5.5745925652849602</v>
      </c>
      <c r="L6" s="24">
        <f t="shared" si="3"/>
        <v>81.773233561729725</v>
      </c>
      <c r="M6" s="24">
        <f t="shared" si="4"/>
        <v>4.8807466836953681</v>
      </c>
      <c r="N6" s="24">
        <f t="shared" si="5"/>
        <v>0</v>
      </c>
      <c r="O6">
        <f t="shared" si="6"/>
        <v>99.999999999999986</v>
      </c>
      <c r="Q6" t="s">
        <v>182</v>
      </c>
      <c r="R6">
        <v>607.63623073333895</v>
      </c>
      <c r="S6">
        <v>3057.1448524165298</v>
      </c>
      <c r="T6">
        <v>1099.38102715886</v>
      </c>
      <c r="W6" s="1">
        <f t="shared" si="7"/>
        <v>4764.1621103087291</v>
      </c>
      <c r="Y6" t="s">
        <v>182</v>
      </c>
      <c r="Z6" s="24">
        <f t="shared" si="8"/>
        <v>12.754314749670906</v>
      </c>
      <c r="AA6" s="24">
        <f t="shared" si="9"/>
        <v>64.169622729702198</v>
      </c>
      <c r="AB6" s="24">
        <f t="shared" si="10"/>
        <v>23.076062520626895</v>
      </c>
      <c r="AC6" s="24">
        <f t="shared" si="11"/>
        <v>0</v>
      </c>
      <c r="AD6" s="24">
        <f t="shared" si="12"/>
        <v>0</v>
      </c>
      <c r="AG6" t="s">
        <v>183</v>
      </c>
      <c r="AH6">
        <v>399.99092272572602</v>
      </c>
      <c r="AI6">
        <v>984.94384417614106</v>
      </c>
      <c r="AJ6">
        <v>1477.25144805123</v>
      </c>
      <c r="AL6">
        <v>269.46815686135699</v>
      </c>
      <c r="AM6" s="1">
        <f t="shared" si="13"/>
        <v>3131.654371814454</v>
      </c>
      <c r="AO6" t="s">
        <v>183</v>
      </c>
      <c r="AP6" s="24">
        <f t="shared" si="14"/>
        <v>12.772511753714848</v>
      </c>
      <c r="AQ6" s="24">
        <f t="shared" si="15"/>
        <v>31.451230794842566</v>
      </c>
      <c r="AR6" s="24">
        <f t="shared" si="16"/>
        <v>47.171599182425844</v>
      </c>
      <c r="AS6" s="24">
        <f t="shared" si="17"/>
        <v>0</v>
      </c>
      <c r="AT6" s="24">
        <f t="shared" si="18"/>
        <v>8.6046582690167508</v>
      </c>
      <c r="AU6">
        <f t="shared" si="19"/>
        <v>100.00000000000001</v>
      </c>
    </row>
    <row r="7" spans="1:47" ht="13.15" x14ac:dyDescent="0.4">
      <c r="A7" t="s">
        <v>262</v>
      </c>
      <c r="B7">
        <v>832.63641422197702</v>
      </c>
      <c r="C7">
        <v>3133.97426484373</v>
      </c>
      <c r="G7" s="1">
        <f t="shared" si="0"/>
        <v>3966.6106790657068</v>
      </c>
      <c r="I7" t="s">
        <v>262</v>
      </c>
      <c r="J7" s="24">
        <f t="shared" si="1"/>
        <v>20.991130251736621</v>
      </c>
      <c r="K7" s="24">
        <f t="shared" si="2"/>
        <v>79.008869748263379</v>
      </c>
      <c r="L7" s="24">
        <f t="shared" si="3"/>
        <v>0</v>
      </c>
      <c r="M7" s="24">
        <f t="shared" si="4"/>
        <v>0</v>
      </c>
      <c r="N7" s="24">
        <f t="shared" si="5"/>
        <v>0</v>
      </c>
      <c r="O7">
        <f t="shared" si="6"/>
        <v>100</v>
      </c>
      <c r="Q7" t="s">
        <v>189</v>
      </c>
      <c r="R7">
        <v>366.708371908971</v>
      </c>
      <c r="S7">
        <v>1057.0517750450099</v>
      </c>
      <c r="T7">
        <v>1002.50109046103</v>
      </c>
      <c r="W7" s="1">
        <f t="shared" si="7"/>
        <v>2426.2612374150108</v>
      </c>
      <c r="Y7" t="s">
        <v>189</v>
      </c>
      <c r="Z7" s="24">
        <f t="shared" si="8"/>
        <v>15.114133888553145</v>
      </c>
      <c r="AA7" s="24">
        <f t="shared" si="9"/>
        <v>43.567104759552386</v>
      </c>
      <c r="AB7" s="24">
        <f t="shared" si="10"/>
        <v>41.318761351894466</v>
      </c>
      <c r="AC7" s="24">
        <f t="shared" si="11"/>
        <v>0</v>
      </c>
      <c r="AD7" s="24">
        <f t="shared" si="12"/>
        <v>0</v>
      </c>
      <c r="AG7" t="s">
        <v>190</v>
      </c>
      <c r="AH7">
        <v>698.60920682508004</v>
      </c>
      <c r="AI7">
        <v>193.25014558154601</v>
      </c>
      <c r="AJ7">
        <v>1128.26771523415</v>
      </c>
      <c r="AM7" s="1">
        <f t="shared" si="13"/>
        <v>2020.1270676407762</v>
      </c>
      <c r="AO7" t="s">
        <v>190</v>
      </c>
      <c r="AP7" s="24">
        <f t="shared" si="14"/>
        <v>34.582438798810671</v>
      </c>
      <c r="AQ7" s="24">
        <f t="shared" si="15"/>
        <v>9.5662371282037704</v>
      </c>
      <c r="AR7" s="24">
        <f t="shared" si="16"/>
        <v>55.851324072985555</v>
      </c>
      <c r="AS7" s="24">
        <f t="shared" si="17"/>
        <v>0</v>
      </c>
      <c r="AT7" s="24">
        <f t="shared" si="18"/>
        <v>0</v>
      </c>
      <c r="AU7">
        <f t="shared" si="19"/>
        <v>100</v>
      </c>
    </row>
    <row r="8" spans="1:47" ht="13.15" x14ac:dyDescent="0.4">
      <c r="A8" t="s">
        <v>265</v>
      </c>
      <c r="B8">
        <v>743.44739008470196</v>
      </c>
      <c r="C8">
        <v>2963.9826815514698</v>
      </c>
      <c r="D8">
        <v>6534.5287356429899</v>
      </c>
      <c r="E8">
        <v>685.45500158027698</v>
      </c>
      <c r="F8">
        <v>426.35271430128699</v>
      </c>
      <c r="G8" s="1">
        <f t="shared" si="0"/>
        <v>11353.766523160724</v>
      </c>
      <c r="I8" t="s">
        <v>265</v>
      </c>
      <c r="J8" s="24">
        <f t="shared" si="1"/>
        <v>6.5480242928030279</v>
      </c>
      <c r="K8" s="24">
        <f t="shared" si="2"/>
        <v>26.1057216167445</v>
      </c>
      <c r="L8" s="24">
        <f t="shared" si="3"/>
        <v>57.553841029874121</v>
      </c>
      <c r="M8" s="24">
        <f t="shared" si="4"/>
        <v>6.0372476409657247</v>
      </c>
      <c r="N8" s="24">
        <f t="shared" si="5"/>
        <v>3.7551654196126321</v>
      </c>
      <c r="O8">
        <f t="shared" si="6"/>
        <v>100.00000000000001</v>
      </c>
      <c r="Q8" t="s">
        <v>194</v>
      </c>
      <c r="R8">
        <v>43.363493676043603</v>
      </c>
      <c r="S8">
        <v>1855.9890259071501</v>
      </c>
      <c r="W8" s="1">
        <f t="shared" si="7"/>
        <v>1899.3525195831937</v>
      </c>
      <c r="Y8" t="s">
        <v>194</v>
      </c>
      <c r="Z8" s="24">
        <f t="shared" si="8"/>
        <v>2.2830671625696723</v>
      </c>
      <c r="AA8" s="24">
        <f t="shared" si="9"/>
        <v>97.716932837430321</v>
      </c>
      <c r="AB8" s="24">
        <f t="shared" si="10"/>
        <v>0</v>
      </c>
      <c r="AC8" s="24">
        <f t="shared" si="11"/>
        <v>0</v>
      </c>
      <c r="AD8" s="24">
        <f t="shared" si="12"/>
        <v>0</v>
      </c>
      <c r="AG8" t="s">
        <v>195</v>
      </c>
      <c r="AH8">
        <v>633.34780412498196</v>
      </c>
      <c r="AI8">
        <v>1932.6859994651099</v>
      </c>
      <c r="AJ8">
        <v>145.24043501356499</v>
      </c>
      <c r="AM8" s="1">
        <f t="shared" si="13"/>
        <v>2711.2742386036566</v>
      </c>
      <c r="AO8" t="s">
        <v>195</v>
      </c>
      <c r="AP8" s="24">
        <f t="shared" si="14"/>
        <v>23.359783938756589</v>
      </c>
      <c r="AQ8" s="24">
        <f t="shared" si="15"/>
        <v>71.283309225866802</v>
      </c>
      <c r="AR8" s="24">
        <f t="shared" si="16"/>
        <v>5.3569068353766305</v>
      </c>
      <c r="AS8" s="24">
        <f t="shared" si="17"/>
        <v>0</v>
      </c>
      <c r="AT8" s="24">
        <f t="shared" si="18"/>
        <v>0</v>
      </c>
      <c r="AU8">
        <f t="shared" si="19"/>
        <v>100.00000000000003</v>
      </c>
    </row>
    <row r="9" spans="1:47" ht="13.15" x14ac:dyDescent="0.4">
      <c r="A9" t="s">
        <v>268</v>
      </c>
      <c r="B9">
        <v>536.26206426042802</v>
      </c>
      <c r="C9">
        <v>2167.0533514952599</v>
      </c>
      <c r="D9">
        <v>5712.2100638942202</v>
      </c>
      <c r="E9">
        <v>138.80933270100201</v>
      </c>
      <c r="G9" s="1">
        <f t="shared" si="0"/>
        <v>8554.3348123509113</v>
      </c>
      <c r="I9" t="s">
        <v>268</v>
      </c>
      <c r="J9" s="24">
        <f t="shared" si="1"/>
        <v>6.2688926260655897</v>
      </c>
      <c r="K9" s="24">
        <f t="shared" si="2"/>
        <v>25.33280961094049</v>
      </c>
      <c r="L9" s="24">
        <f t="shared" si="3"/>
        <v>66.775619486471612</v>
      </c>
      <c r="M9" s="24">
        <f t="shared" si="4"/>
        <v>1.6226782765222896</v>
      </c>
      <c r="N9" s="24">
        <f t="shared" si="5"/>
        <v>0</v>
      </c>
      <c r="O9">
        <f t="shared" si="6"/>
        <v>99.999999999999986</v>
      </c>
      <c r="Q9" t="s">
        <v>198</v>
      </c>
      <c r="R9">
        <v>440.36998732712999</v>
      </c>
      <c r="S9">
        <v>955.58523863743301</v>
      </c>
      <c r="T9">
        <v>481.43372083949299</v>
      </c>
      <c r="W9" s="1">
        <f t="shared" si="7"/>
        <v>1877.3889468040559</v>
      </c>
      <c r="Y9" t="s">
        <v>198</v>
      </c>
      <c r="Z9" s="24">
        <f t="shared" si="8"/>
        <v>23.456513264168677</v>
      </c>
      <c r="AA9" s="24">
        <f t="shared" si="9"/>
        <v>50.899694507318735</v>
      </c>
      <c r="AB9" s="24">
        <f t="shared" si="10"/>
        <v>25.643792228512595</v>
      </c>
      <c r="AC9" s="24">
        <f t="shared" si="11"/>
        <v>0</v>
      </c>
      <c r="AD9" s="24">
        <f t="shared" si="12"/>
        <v>0</v>
      </c>
      <c r="AG9" t="s">
        <v>199</v>
      </c>
      <c r="AH9">
        <v>501.00206948832101</v>
      </c>
      <c r="AI9">
        <v>3292.7316553350602</v>
      </c>
      <c r="AM9" s="1">
        <f t="shared" si="13"/>
        <v>3793.7337248233812</v>
      </c>
      <c r="AO9" t="s">
        <v>199</v>
      </c>
      <c r="AP9" s="24">
        <f t="shared" si="14"/>
        <v>13.206042011070384</v>
      </c>
      <c r="AQ9" s="24">
        <f t="shared" si="15"/>
        <v>86.79395798892962</v>
      </c>
      <c r="AR9" s="24">
        <f t="shared" si="16"/>
        <v>0</v>
      </c>
      <c r="AS9" s="24">
        <f t="shared" si="17"/>
        <v>0</v>
      </c>
      <c r="AT9" s="24">
        <f t="shared" si="18"/>
        <v>0</v>
      </c>
      <c r="AU9">
        <f t="shared" si="19"/>
        <v>100</v>
      </c>
    </row>
    <row r="10" spans="1:47" ht="13.15" x14ac:dyDescent="0.4">
      <c r="A10" t="s">
        <v>275</v>
      </c>
      <c r="B10">
        <v>1573.3439569403599</v>
      </c>
      <c r="C10">
        <v>5253.5461593351201</v>
      </c>
      <c r="D10">
        <v>4409.2848207328698</v>
      </c>
      <c r="G10" s="1">
        <f t="shared" si="0"/>
        <v>11236.174937008349</v>
      </c>
      <c r="I10" t="s">
        <v>275</v>
      </c>
      <c r="J10" s="24">
        <f t="shared" si="1"/>
        <v>14.00248719658387</v>
      </c>
      <c r="K10" s="24">
        <f t="shared" si="2"/>
        <v>46.755645838439442</v>
      </c>
      <c r="L10" s="24">
        <f t="shared" si="3"/>
        <v>39.241866964976687</v>
      </c>
      <c r="M10" s="24">
        <f t="shared" si="4"/>
        <v>0</v>
      </c>
      <c r="N10" s="24">
        <f t="shared" si="5"/>
        <v>0</v>
      </c>
      <c r="O10">
        <f t="shared" si="6"/>
        <v>100</v>
      </c>
      <c r="Q10" t="s">
        <v>202</v>
      </c>
      <c r="R10">
        <v>188.04747978868599</v>
      </c>
      <c r="S10">
        <v>1367.7901894356701</v>
      </c>
      <c r="W10" s="1">
        <f t="shared" si="7"/>
        <v>1555.837669224356</v>
      </c>
      <c r="Y10" t="s">
        <v>202</v>
      </c>
      <c r="Z10" s="24">
        <f t="shared" si="8"/>
        <v>12.086574551343444</v>
      </c>
      <c r="AA10" s="24">
        <f t="shared" si="9"/>
        <v>87.913425448656554</v>
      </c>
      <c r="AB10" s="24">
        <f t="shared" si="10"/>
        <v>0</v>
      </c>
      <c r="AC10" s="24">
        <f t="shared" si="11"/>
        <v>0</v>
      </c>
      <c r="AD10" s="24">
        <f t="shared" si="12"/>
        <v>0</v>
      </c>
      <c r="AG10" t="s">
        <v>203</v>
      </c>
      <c r="AH10">
        <v>732.77609052082505</v>
      </c>
      <c r="AI10">
        <v>6387.1667695725801</v>
      </c>
      <c r="AJ10">
        <v>2039.93387499758</v>
      </c>
      <c r="AM10" s="1">
        <f t="shared" si="13"/>
        <v>9159.8767350909857</v>
      </c>
      <c r="AO10" t="s">
        <v>203</v>
      </c>
      <c r="AP10" s="24">
        <f t="shared" si="14"/>
        <v>7.9998466323635125</v>
      </c>
      <c r="AQ10" s="24">
        <f t="shared" si="15"/>
        <v>69.729833209476439</v>
      </c>
      <c r="AR10" s="24">
        <f t="shared" si="16"/>
        <v>22.270320158160047</v>
      </c>
      <c r="AS10" s="24">
        <f t="shared" si="17"/>
        <v>0</v>
      </c>
      <c r="AT10" s="24">
        <f t="shared" si="18"/>
        <v>0</v>
      </c>
      <c r="AU10">
        <f t="shared" si="19"/>
        <v>100</v>
      </c>
    </row>
    <row r="11" spans="1:47" ht="13.15" x14ac:dyDescent="0.4">
      <c r="A11" t="s">
        <v>282</v>
      </c>
      <c r="B11">
        <v>619.09685659316096</v>
      </c>
      <c r="C11">
        <v>2399.7690607897498</v>
      </c>
      <c r="D11">
        <v>5226.5175510480403</v>
      </c>
      <c r="F11">
        <v>350.681802567001</v>
      </c>
      <c r="G11" s="1">
        <f t="shared" si="0"/>
        <v>8596.0652709979531</v>
      </c>
      <c r="I11" t="s">
        <v>282</v>
      </c>
      <c r="J11" s="24">
        <f t="shared" si="1"/>
        <v>7.2020958086709301</v>
      </c>
      <c r="K11" s="24">
        <f t="shared" si="2"/>
        <v>27.917064204785298</v>
      </c>
      <c r="L11" s="24">
        <f t="shared" si="3"/>
        <v>60.801278099663293</v>
      </c>
      <c r="M11" s="24">
        <f t="shared" si="4"/>
        <v>0</v>
      </c>
      <c r="N11" s="24">
        <f t="shared" si="5"/>
        <v>4.0795618868804713</v>
      </c>
      <c r="O11">
        <f t="shared" si="6"/>
        <v>100</v>
      </c>
      <c r="Q11" t="s">
        <v>206</v>
      </c>
      <c r="R11">
        <v>184.072994105221</v>
      </c>
      <c r="S11">
        <v>1805.4689414697</v>
      </c>
      <c r="T11">
        <v>739.25590483366705</v>
      </c>
      <c r="U11">
        <v>76.302622374791099</v>
      </c>
      <c r="W11" s="1">
        <f t="shared" si="7"/>
        <v>2805.100462783379</v>
      </c>
      <c r="Y11" t="s">
        <v>206</v>
      </c>
      <c r="Z11" s="24">
        <f t="shared" si="8"/>
        <v>6.5620820554345993</v>
      </c>
      <c r="AA11" s="24">
        <f t="shared" si="9"/>
        <v>64.363788941741205</v>
      </c>
      <c r="AB11" s="24">
        <f t="shared" si="10"/>
        <v>26.353990334454387</v>
      </c>
      <c r="AC11" s="24">
        <f t="shared" si="11"/>
        <v>2.720138668369807</v>
      </c>
      <c r="AD11" s="24">
        <f t="shared" si="12"/>
        <v>0</v>
      </c>
      <c r="AG11" t="s">
        <v>207</v>
      </c>
      <c r="AH11">
        <v>191.242820117555</v>
      </c>
      <c r="AI11">
        <v>1925.0823088761299</v>
      </c>
      <c r="AJ11">
        <v>384.33504168081299</v>
      </c>
      <c r="AL11">
        <v>891.94711337366402</v>
      </c>
      <c r="AM11" s="1">
        <f t="shared" si="13"/>
        <v>3392.607284048162</v>
      </c>
      <c r="AO11" t="s">
        <v>207</v>
      </c>
      <c r="AP11" s="24">
        <f t="shared" si="14"/>
        <v>5.637045614349983</v>
      </c>
      <c r="AQ11" s="24">
        <f t="shared" si="15"/>
        <v>56.743446785832028</v>
      </c>
      <c r="AR11" s="24">
        <f t="shared" si="16"/>
        <v>11.328603917345033</v>
      </c>
      <c r="AS11" s="24">
        <f t="shared" si="17"/>
        <v>0</v>
      </c>
      <c r="AT11" s="24">
        <f t="shared" si="18"/>
        <v>26.290903682472958</v>
      </c>
      <c r="AU11">
        <f t="shared" si="19"/>
        <v>100</v>
      </c>
    </row>
    <row r="12" spans="1:47" ht="13.15" x14ac:dyDescent="0.4">
      <c r="A12" t="s">
        <v>285</v>
      </c>
      <c r="B12">
        <v>777.51563729245095</v>
      </c>
      <c r="C12">
        <v>5767.5766101241597</v>
      </c>
      <c r="D12">
        <v>5945.9765780838597</v>
      </c>
      <c r="E12">
        <v>380.714944999365</v>
      </c>
      <c r="F12">
        <v>264.86896127967799</v>
      </c>
      <c r="G12" s="1">
        <f t="shared" si="0"/>
        <v>13136.652731779515</v>
      </c>
      <c r="I12" t="s">
        <v>285</v>
      </c>
      <c r="J12" s="24">
        <f t="shared" si="1"/>
        <v>5.9186739055035318</v>
      </c>
      <c r="K12" s="24">
        <f t="shared" si="2"/>
        <v>43.90446126486647</v>
      </c>
      <c r="L12" s="24">
        <f t="shared" si="3"/>
        <v>45.262493418126667</v>
      </c>
      <c r="M12" s="24">
        <f t="shared" si="4"/>
        <v>2.8981122723778716</v>
      </c>
      <c r="N12" s="24">
        <f t="shared" si="5"/>
        <v>2.0162591391254532</v>
      </c>
      <c r="O12">
        <f t="shared" si="6"/>
        <v>99.999999999999986</v>
      </c>
      <c r="Q12" t="s">
        <v>209</v>
      </c>
      <c r="R12">
        <v>432.39460867825699</v>
      </c>
      <c r="S12">
        <v>3723.6927048196799</v>
      </c>
      <c r="T12">
        <v>847.93407632420895</v>
      </c>
      <c r="V12">
        <v>709.64744480731599</v>
      </c>
      <c r="W12" s="1">
        <f t="shared" si="7"/>
        <v>5713.6688346294613</v>
      </c>
      <c r="Y12" t="s">
        <v>209</v>
      </c>
      <c r="Z12" s="24">
        <f t="shared" si="8"/>
        <v>7.5677226173416878</v>
      </c>
      <c r="AA12" s="24">
        <f t="shared" si="9"/>
        <v>65.171657871577821</v>
      </c>
      <c r="AB12" s="24">
        <f t="shared" si="10"/>
        <v>14.840448420549709</v>
      </c>
      <c r="AC12" s="24">
        <f t="shared" si="11"/>
        <v>0</v>
      </c>
      <c r="AD12" s="24">
        <f t="shared" si="12"/>
        <v>12.420171090530793</v>
      </c>
      <c r="AG12" t="s">
        <v>210</v>
      </c>
      <c r="AH12">
        <v>548.95534157781299</v>
      </c>
      <c r="AI12">
        <v>3758.1136429631601</v>
      </c>
      <c r="AJ12">
        <v>1640.4713356617699</v>
      </c>
      <c r="AL12">
        <v>1066.2217987793699</v>
      </c>
      <c r="AM12" s="1">
        <f t="shared" si="13"/>
        <v>7013.762118982113</v>
      </c>
      <c r="AO12" t="s">
        <v>210</v>
      </c>
      <c r="AP12" s="24">
        <f t="shared" si="14"/>
        <v>7.8268314816682336</v>
      </c>
      <c r="AQ12" s="24">
        <f t="shared" si="15"/>
        <v>53.581994644388708</v>
      </c>
      <c r="AR12" s="24">
        <f t="shared" si="16"/>
        <v>23.389320992538121</v>
      </c>
      <c r="AS12" s="24">
        <f t="shared" si="17"/>
        <v>0</v>
      </c>
      <c r="AT12" s="24">
        <f t="shared" si="18"/>
        <v>15.20185288140493</v>
      </c>
      <c r="AU12">
        <f t="shared" si="19"/>
        <v>100</v>
      </c>
    </row>
    <row r="13" spans="1:47" ht="13.15" x14ac:dyDescent="0.4">
      <c r="A13" t="s">
        <v>287</v>
      </c>
      <c r="B13">
        <v>725.90147541970805</v>
      </c>
      <c r="C13">
        <v>2555.6833766261302</v>
      </c>
      <c r="D13">
        <v>5565.3760038259597</v>
      </c>
      <c r="E13">
        <v>220.01994086536399</v>
      </c>
      <c r="F13">
        <v>184.703631289691</v>
      </c>
      <c r="G13" s="1">
        <f t="shared" si="0"/>
        <v>9251.6844280268542</v>
      </c>
      <c r="I13" t="s">
        <v>287</v>
      </c>
      <c r="J13" s="24">
        <f t="shared" si="1"/>
        <v>7.8461547307069583</v>
      </c>
      <c r="K13" s="24">
        <f t="shared" si="2"/>
        <v>27.623979141398273</v>
      </c>
      <c r="L13" s="24">
        <f t="shared" si="3"/>
        <v>60.155272773532239</v>
      </c>
      <c r="M13" s="24">
        <f t="shared" si="4"/>
        <v>2.3781608914247045</v>
      </c>
      <c r="N13" s="24">
        <f t="shared" si="5"/>
        <v>1.996432462937817</v>
      </c>
      <c r="O13">
        <f t="shared" si="6"/>
        <v>99.999999999999986</v>
      </c>
      <c r="Q13" t="s">
        <v>214</v>
      </c>
      <c r="R13">
        <v>510.49644934368303</v>
      </c>
      <c r="S13">
        <v>2849.7255696038701</v>
      </c>
      <c r="W13" s="1">
        <f t="shared" si="7"/>
        <v>3360.2220189475529</v>
      </c>
      <c r="Y13" t="s">
        <v>214</v>
      </c>
      <c r="Z13" s="24">
        <f t="shared" si="8"/>
        <v>15.192342841190429</v>
      </c>
      <c r="AA13" s="24">
        <f t="shared" si="9"/>
        <v>84.80765715880959</v>
      </c>
      <c r="AB13" s="24">
        <f t="shared" si="10"/>
        <v>0</v>
      </c>
      <c r="AC13" s="24">
        <f t="shared" si="11"/>
        <v>0</v>
      </c>
      <c r="AD13" s="24">
        <f t="shared" si="12"/>
        <v>0</v>
      </c>
      <c r="AG13" t="s">
        <v>215</v>
      </c>
      <c r="AH13">
        <v>486.55696555614799</v>
      </c>
      <c r="AI13">
        <v>225.93537478051601</v>
      </c>
      <c r="AJ13">
        <v>1644.5806050716701</v>
      </c>
      <c r="AL13">
        <v>909.66504804648798</v>
      </c>
      <c r="AM13" s="1">
        <f t="shared" si="13"/>
        <v>3266.7379934548217</v>
      </c>
      <c r="AO13" t="s">
        <v>215</v>
      </c>
      <c r="AP13" s="24">
        <f t="shared" si="14"/>
        <v>14.89427577390672</v>
      </c>
      <c r="AQ13" s="24">
        <f t="shared" si="15"/>
        <v>6.9162380096964045</v>
      </c>
      <c r="AR13" s="24">
        <f t="shared" si="16"/>
        <v>50.343205006545446</v>
      </c>
      <c r="AS13" s="24">
        <f t="shared" si="17"/>
        <v>0</v>
      </c>
      <c r="AT13" s="24">
        <f t="shared" si="18"/>
        <v>27.846281209851441</v>
      </c>
      <c r="AU13">
        <f t="shared" si="19"/>
        <v>100.00000000000001</v>
      </c>
    </row>
    <row r="14" spans="1:47" ht="13.15" x14ac:dyDescent="0.4">
      <c r="A14" t="s">
        <v>291</v>
      </c>
      <c r="B14">
        <v>97.436494788007394</v>
      </c>
      <c r="C14">
        <v>1490.4654387089799</v>
      </c>
      <c r="G14" s="1">
        <f t="shared" si="0"/>
        <v>1587.9019334969873</v>
      </c>
      <c r="I14" t="s">
        <v>291</v>
      </c>
      <c r="J14" s="24">
        <f t="shared" si="1"/>
        <v>6.1361783579056439</v>
      </c>
      <c r="K14" s="24">
        <f t="shared" si="2"/>
        <v>93.863821642094351</v>
      </c>
      <c r="L14" s="24">
        <f t="shared" si="3"/>
        <v>0</v>
      </c>
      <c r="M14" s="24">
        <f t="shared" si="4"/>
        <v>0</v>
      </c>
      <c r="N14" s="24">
        <f t="shared" si="5"/>
        <v>0</v>
      </c>
      <c r="O14">
        <f t="shared" si="6"/>
        <v>100</v>
      </c>
      <c r="Q14" s="17" t="s">
        <v>217</v>
      </c>
      <c r="R14">
        <v>2243.1145707212299</v>
      </c>
      <c r="S14">
        <v>2940.9634580121401</v>
      </c>
      <c r="T14">
        <v>4103.5102287693799</v>
      </c>
      <c r="U14">
        <v>181.936555214376</v>
      </c>
      <c r="V14">
        <v>59.801810171527897</v>
      </c>
      <c r="W14" s="1">
        <f t="shared" si="7"/>
        <v>9529.3266228886532</v>
      </c>
      <c r="Y14" s="17" t="s">
        <v>217</v>
      </c>
      <c r="Z14" s="24">
        <f t="shared" si="8"/>
        <v>23.539066919308386</v>
      </c>
      <c r="AA14" s="24">
        <f t="shared" si="9"/>
        <v>30.862237956543428</v>
      </c>
      <c r="AB14" s="24">
        <f t="shared" si="10"/>
        <v>43.061911834495085</v>
      </c>
      <c r="AC14" s="24">
        <f t="shared" si="11"/>
        <v>1.9092278228493025</v>
      </c>
      <c r="AD14" s="24">
        <f t="shared" si="12"/>
        <v>0.62755546680380225</v>
      </c>
      <c r="AG14" t="s">
        <v>218</v>
      </c>
      <c r="AH14">
        <v>233.08159539053901</v>
      </c>
      <c r="AI14">
        <v>1948.7517332945999</v>
      </c>
      <c r="AJ14">
        <v>10.6309214115877</v>
      </c>
      <c r="AM14" s="1">
        <f t="shared" si="13"/>
        <v>2192.4642500967266</v>
      </c>
      <c r="AO14" t="s">
        <v>218</v>
      </c>
      <c r="AP14" s="24">
        <f t="shared" si="14"/>
        <v>10.63103288367215</v>
      </c>
      <c r="AQ14" s="24">
        <f t="shared" si="15"/>
        <v>88.884082520781149</v>
      </c>
      <c r="AR14" s="24">
        <f t="shared" si="16"/>
        <v>0.48488459554670899</v>
      </c>
      <c r="AS14" s="24">
        <f t="shared" si="17"/>
        <v>0</v>
      </c>
      <c r="AT14" s="24">
        <f t="shared" si="18"/>
        <v>0</v>
      </c>
      <c r="AU14">
        <f t="shared" si="19"/>
        <v>100</v>
      </c>
    </row>
    <row r="15" spans="1:47" ht="13.15" x14ac:dyDescent="0.4">
      <c r="A15" t="s">
        <v>271</v>
      </c>
      <c r="B15">
        <v>989.32043418954004</v>
      </c>
      <c r="C15">
        <v>3785.2860829476199</v>
      </c>
      <c r="D15">
        <v>4109.8122733364598</v>
      </c>
      <c r="E15">
        <v>490.91787458621599</v>
      </c>
      <c r="G15" s="1">
        <f t="shared" si="0"/>
        <v>9375.3366650598364</v>
      </c>
      <c r="I15" t="s">
        <v>271</v>
      </c>
      <c r="J15" s="24">
        <f t="shared" si="1"/>
        <v>10.552372352414354</v>
      </c>
      <c r="K15" s="24">
        <f t="shared" si="2"/>
        <v>40.374934982918404</v>
      </c>
      <c r="L15" s="24">
        <f t="shared" si="3"/>
        <v>43.836423375098391</v>
      </c>
      <c r="M15" s="24">
        <f t="shared" si="4"/>
        <v>5.2362692895688436</v>
      </c>
      <c r="N15" s="24">
        <f t="shared" si="5"/>
        <v>0</v>
      </c>
      <c r="O15">
        <f t="shared" si="6"/>
        <v>99.999999999999986</v>
      </c>
      <c r="Q15" t="s">
        <v>220</v>
      </c>
      <c r="R15">
        <v>482.813589876126</v>
      </c>
      <c r="S15">
        <v>3067.4152438758101</v>
      </c>
      <c r="T15">
        <v>1693.22754885576</v>
      </c>
      <c r="V15">
        <v>403.68649614600702</v>
      </c>
      <c r="W15" s="1">
        <f t="shared" si="7"/>
        <v>5647.1428787537034</v>
      </c>
      <c r="Y15" t="s">
        <v>220</v>
      </c>
      <c r="Z15" s="24">
        <f t="shared" si="8"/>
        <v>8.5496967270408533</v>
      </c>
      <c r="AA15" s="24">
        <f t="shared" si="9"/>
        <v>54.318003098812575</v>
      </c>
      <c r="AB15" s="24">
        <f t="shared" si="10"/>
        <v>29.983791542201018</v>
      </c>
      <c r="AC15" s="24">
        <f t="shared" si="11"/>
        <v>0</v>
      </c>
      <c r="AD15" s="24">
        <f t="shared" si="12"/>
        <v>7.1485086319455524</v>
      </c>
      <c r="AG15" t="s">
        <v>221</v>
      </c>
      <c r="AH15">
        <v>625.19606789618297</v>
      </c>
      <c r="AI15">
        <v>4175.5986682218399</v>
      </c>
      <c r="AJ15">
        <v>3361.24888065409</v>
      </c>
      <c r="AK15">
        <v>168.99897666271499</v>
      </c>
      <c r="AL15">
        <v>249.45783494749401</v>
      </c>
      <c r="AM15" s="1">
        <f t="shared" si="13"/>
        <v>8580.5004283823218</v>
      </c>
      <c r="AO15" t="s">
        <v>221</v>
      </c>
      <c r="AP15" s="24">
        <f t="shared" si="14"/>
        <v>7.2862424880042909</v>
      </c>
      <c r="AQ15" s="24">
        <f t="shared" si="15"/>
        <v>48.663812828560907</v>
      </c>
      <c r="AR15" s="24">
        <f t="shared" si="16"/>
        <v>39.173110108308506</v>
      </c>
      <c r="AS15" s="24">
        <f t="shared" si="17"/>
        <v>1.9695701675359778</v>
      </c>
      <c r="AT15" s="24">
        <f t="shared" si="18"/>
        <v>2.907264407590318</v>
      </c>
      <c r="AU15">
        <f t="shared" si="19"/>
        <v>100</v>
      </c>
    </row>
    <row r="16" spans="1:47" ht="13.15" x14ac:dyDescent="0.4">
      <c r="A16" t="s">
        <v>273</v>
      </c>
      <c r="B16">
        <v>346.60179902281402</v>
      </c>
      <c r="C16">
        <v>3716.7830401515798</v>
      </c>
      <c r="D16">
        <v>4750.59460997727</v>
      </c>
      <c r="E16">
        <v>291.50011540130902</v>
      </c>
      <c r="G16" s="1">
        <f t="shared" si="0"/>
        <v>9105.4795645529739</v>
      </c>
      <c r="I16" t="s">
        <v>273</v>
      </c>
      <c r="J16" s="24">
        <f t="shared" si="1"/>
        <v>3.8065188831142045</v>
      </c>
      <c r="K16" s="24">
        <f t="shared" si="2"/>
        <v>40.819190398502116</v>
      </c>
      <c r="L16" s="24">
        <f t="shared" si="3"/>
        <v>52.172920451889418</v>
      </c>
      <c r="M16" s="24">
        <f t="shared" si="4"/>
        <v>3.20137026649425</v>
      </c>
      <c r="N16" s="24">
        <f t="shared" si="5"/>
        <v>0</v>
      </c>
      <c r="O16">
        <f t="shared" si="6"/>
        <v>100</v>
      </c>
      <c r="Q16" t="s">
        <v>224</v>
      </c>
      <c r="R16">
        <v>609.16222879310897</v>
      </c>
      <c r="S16">
        <v>29.5947429633108</v>
      </c>
      <c r="T16">
        <v>3369.6512438381301</v>
      </c>
      <c r="V16">
        <v>455.08240003988197</v>
      </c>
      <c r="W16" s="1">
        <f t="shared" si="7"/>
        <v>4463.4906156344314</v>
      </c>
      <c r="Y16" t="s">
        <v>224</v>
      </c>
      <c r="Z16" s="24">
        <f t="shared" si="8"/>
        <v>13.647664602662639</v>
      </c>
      <c r="AA16" s="24">
        <f t="shared" si="9"/>
        <v>0.6630403312521419</v>
      </c>
      <c r="AB16" s="24">
        <f t="shared" si="10"/>
        <v>75.493633436466283</v>
      </c>
      <c r="AC16" s="24">
        <f t="shared" si="11"/>
        <v>0</v>
      </c>
      <c r="AD16" s="24">
        <f t="shared" si="12"/>
        <v>10.195661629618941</v>
      </c>
      <c r="AG16" t="s">
        <v>225</v>
      </c>
      <c r="AH16">
        <v>362.45889873453399</v>
      </c>
      <c r="AI16">
        <v>1970.3344271625001</v>
      </c>
      <c r="AJ16">
        <v>1999.91363603221</v>
      </c>
      <c r="AM16" s="1">
        <f t="shared" si="13"/>
        <v>4332.7069619292442</v>
      </c>
      <c r="AO16" t="s">
        <v>225</v>
      </c>
      <c r="AP16" s="24">
        <f t="shared" si="14"/>
        <v>8.3656453556494448</v>
      </c>
      <c r="AQ16" s="24">
        <f t="shared" si="15"/>
        <v>45.475829417394074</v>
      </c>
      <c r="AR16" s="24">
        <f t="shared" si="16"/>
        <v>46.158525226956478</v>
      </c>
      <c r="AS16" s="24">
        <f t="shared" si="17"/>
        <v>0</v>
      </c>
      <c r="AT16" s="24">
        <f t="shared" si="18"/>
        <v>0</v>
      </c>
      <c r="AU16">
        <f t="shared" si="19"/>
        <v>100</v>
      </c>
    </row>
    <row r="17" spans="1:47" ht="13.15" x14ac:dyDescent="0.4">
      <c r="A17" t="s">
        <v>158</v>
      </c>
      <c r="B17">
        <v>3145.4140227604498</v>
      </c>
      <c r="C17">
        <v>7451.28785740076</v>
      </c>
      <c r="D17">
        <v>8243.7788344774708</v>
      </c>
      <c r="E17">
        <v>1253.2208671590099</v>
      </c>
      <c r="G17" s="1">
        <f t="shared" si="0"/>
        <v>20093.70158179769</v>
      </c>
      <c r="I17" t="s">
        <v>158</v>
      </c>
      <c r="J17" s="24">
        <f t="shared" si="1"/>
        <v>15.65373114533457</v>
      </c>
      <c r="K17" s="24">
        <f t="shared" si="2"/>
        <v>37.082703886429108</v>
      </c>
      <c r="L17" s="24">
        <f t="shared" si="3"/>
        <v>41.026680927446812</v>
      </c>
      <c r="M17" s="24">
        <f t="shared" si="4"/>
        <v>6.2368840407895121</v>
      </c>
      <c r="N17" s="24">
        <f t="shared" si="5"/>
        <v>0</v>
      </c>
      <c r="O17">
        <f t="shared" si="6"/>
        <v>100</v>
      </c>
      <c r="Q17" t="s">
        <v>228</v>
      </c>
      <c r="R17">
        <v>978.95209930943395</v>
      </c>
      <c r="S17">
        <v>2325.2721410700401</v>
      </c>
      <c r="T17">
        <v>2505.47685822926</v>
      </c>
      <c r="U17">
        <v>205.733982228125</v>
      </c>
      <c r="W17" s="1">
        <f t="shared" si="7"/>
        <v>6015.4350808368581</v>
      </c>
      <c r="Y17" t="s">
        <v>228</v>
      </c>
      <c r="Z17" s="24">
        <f t="shared" si="8"/>
        <v>16.274003229260078</v>
      </c>
      <c r="AA17" s="24">
        <f t="shared" si="9"/>
        <v>38.655094931995372</v>
      </c>
      <c r="AB17" s="24">
        <f t="shared" si="10"/>
        <v>41.650800391992625</v>
      </c>
      <c r="AC17" s="24">
        <f t="shared" si="11"/>
        <v>3.4201014467519379</v>
      </c>
      <c r="AD17" s="24">
        <f t="shared" si="12"/>
        <v>0</v>
      </c>
      <c r="AG17" t="s">
        <v>229</v>
      </c>
      <c r="AH17">
        <v>290.77575851544702</v>
      </c>
      <c r="AI17">
        <v>2274.25424116152</v>
      </c>
      <c r="AJ17">
        <v>74.526340405429295</v>
      </c>
      <c r="AM17" s="1">
        <f t="shared" si="13"/>
        <v>2639.5563400823967</v>
      </c>
      <c r="AO17" t="s">
        <v>229</v>
      </c>
      <c r="AP17" s="24">
        <f t="shared" si="14"/>
        <v>11.016084563149356</v>
      </c>
      <c r="AQ17" s="24">
        <f t="shared" si="15"/>
        <v>86.16047350936735</v>
      </c>
      <c r="AR17" s="24">
        <f t="shared" si="16"/>
        <v>2.8234419274832705</v>
      </c>
      <c r="AS17" s="24">
        <f t="shared" si="17"/>
        <v>0</v>
      </c>
      <c r="AT17" s="24">
        <f t="shared" si="18"/>
        <v>0</v>
      </c>
      <c r="AU17">
        <f t="shared" si="19"/>
        <v>99.999999999999986</v>
      </c>
    </row>
    <row r="18" spans="1:47" ht="13.15" x14ac:dyDescent="0.4">
      <c r="A18" t="s">
        <v>168</v>
      </c>
      <c r="B18">
        <v>823.68235630337199</v>
      </c>
      <c r="C18">
        <v>3305.91720656097</v>
      </c>
      <c r="D18">
        <v>5521.4763181190101</v>
      </c>
      <c r="G18" s="1">
        <f t="shared" si="0"/>
        <v>9651.0758809833533</v>
      </c>
      <c r="I18" t="s">
        <v>168</v>
      </c>
      <c r="J18" s="24">
        <f t="shared" si="1"/>
        <v>8.5346169324641821</v>
      </c>
      <c r="K18" s="24">
        <f t="shared" si="2"/>
        <v>34.254390363617453</v>
      </c>
      <c r="L18" s="24">
        <f t="shared" si="3"/>
        <v>57.21099270391835</v>
      </c>
      <c r="M18" s="24">
        <f t="shared" si="4"/>
        <v>0</v>
      </c>
      <c r="N18" s="24">
        <f t="shared" si="5"/>
        <v>0</v>
      </c>
      <c r="O18">
        <f t="shared" si="6"/>
        <v>99.999999999999986</v>
      </c>
      <c r="Q18" t="s">
        <v>233</v>
      </c>
      <c r="R18">
        <v>150.029818667923</v>
      </c>
      <c r="S18">
        <v>3343.8717643985401</v>
      </c>
      <c r="T18">
        <v>343.97401173904001</v>
      </c>
      <c r="W18" s="1">
        <f t="shared" si="7"/>
        <v>3837.8755948055032</v>
      </c>
      <c r="Y18" t="s">
        <v>233</v>
      </c>
      <c r="Z18" s="24">
        <f t="shared" si="8"/>
        <v>3.9091892105879018</v>
      </c>
      <c r="AA18" s="24">
        <f t="shared" si="9"/>
        <v>87.128195841585168</v>
      </c>
      <c r="AB18" s="24">
        <f t="shared" si="10"/>
        <v>8.9626149478269372</v>
      </c>
      <c r="AC18" s="24">
        <f t="shared" si="11"/>
        <v>0</v>
      </c>
      <c r="AD18" s="24">
        <f t="shared" si="12"/>
        <v>0</v>
      </c>
      <c r="AG18" t="s">
        <v>234</v>
      </c>
      <c r="AH18">
        <v>141.75939182618299</v>
      </c>
      <c r="AI18">
        <v>2274.4071787235498</v>
      </c>
      <c r="AM18" s="1">
        <f t="shared" si="13"/>
        <v>2416.1665705497326</v>
      </c>
      <c r="AO18" t="s">
        <v>234</v>
      </c>
      <c r="AP18" s="24">
        <f t="shared" si="14"/>
        <v>5.8671199889140722</v>
      </c>
      <c r="AQ18" s="24">
        <f t="shared" si="15"/>
        <v>94.132880011085945</v>
      </c>
      <c r="AR18" s="24">
        <f t="shared" si="16"/>
        <v>0</v>
      </c>
      <c r="AS18" s="24">
        <f t="shared" si="17"/>
        <v>0</v>
      </c>
      <c r="AT18" s="24">
        <f t="shared" si="18"/>
        <v>0</v>
      </c>
      <c r="AU18">
        <f t="shared" si="19"/>
        <v>100.00000000000001</v>
      </c>
    </row>
    <row r="19" spans="1:47" ht="13.15" x14ac:dyDescent="0.4">
      <c r="A19" t="s">
        <v>172</v>
      </c>
      <c r="B19">
        <v>412.877290141662</v>
      </c>
      <c r="C19">
        <v>3757.3838732906802</v>
      </c>
      <c r="D19">
        <v>2468.3072776928402</v>
      </c>
      <c r="F19">
        <v>127.43778590378901</v>
      </c>
      <c r="G19" s="1">
        <f t="shared" si="0"/>
        <v>6766.0062270289709</v>
      </c>
      <c r="I19" t="s">
        <v>172</v>
      </c>
      <c r="J19" s="24">
        <f t="shared" si="1"/>
        <v>6.1022304190660055</v>
      </c>
      <c r="K19" s="24">
        <f t="shared" si="2"/>
        <v>55.533260644671174</v>
      </c>
      <c r="L19" s="24">
        <f t="shared" si="3"/>
        <v>36.481008069906871</v>
      </c>
      <c r="M19" s="24">
        <f t="shared" si="4"/>
        <v>0</v>
      </c>
      <c r="N19" s="24">
        <f t="shared" si="5"/>
        <v>1.883500866355962</v>
      </c>
      <c r="O19">
        <f t="shared" si="6"/>
        <v>100.00000000000001</v>
      </c>
      <c r="Q19" t="s">
        <v>237</v>
      </c>
      <c r="R19">
        <v>642.73113543115096</v>
      </c>
      <c r="S19">
        <v>4478.7420286536899</v>
      </c>
      <c r="T19">
        <v>613.33458315335304</v>
      </c>
      <c r="W19" s="1">
        <f t="shared" si="7"/>
        <v>5734.8077472381938</v>
      </c>
      <c r="Y19" t="s">
        <v>237</v>
      </c>
      <c r="Z19" s="24">
        <f t="shared" si="8"/>
        <v>11.207544590150937</v>
      </c>
      <c r="AA19" s="24">
        <f t="shared" si="9"/>
        <v>78.097509560117189</v>
      </c>
      <c r="AB19" s="24">
        <f t="shared" si="10"/>
        <v>10.694945849731871</v>
      </c>
      <c r="AC19" s="24">
        <f t="shared" si="11"/>
        <v>0</v>
      </c>
      <c r="AD19" s="24">
        <f t="shared" si="12"/>
        <v>0</v>
      </c>
      <c r="AG19" t="s">
        <v>238</v>
      </c>
      <c r="AH19">
        <v>677.11723619644101</v>
      </c>
      <c r="AI19">
        <v>3819.7139723550099</v>
      </c>
      <c r="AJ19">
        <v>1147.17385191516</v>
      </c>
      <c r="AM19" s="1">
        <f t="shared" si="13"/>
        <v>5644.0050604666103</v>
      </c>
      <c r="AO19" t="s">
        <v>238</v>
      </c>
      <c r="AP19" s="24">
        <f t="shared" si="14"/>
        <v>11.997105405508998</v>
      </c>
      <c r="AQ19" s="24">
        <f t="shared" si="15"/>
        <v>67.677366186472199</v>
      </c>
      <c r="AR19" s="24">
        <f t="shared" si="16"/>
        <v>20.325528408018808</v>
      </c>
      <c r="AS19" s="24">
        <f t="shared" si="17"/>
        <v>0</v>
      </c>
      <c r="AT19" s="24">
        <f t="shared" si="18"/>
        <v>0</v>
      </c>
      <c r="AU19">
        <f t="shared" si="19"/>
        <v>100.00000000000001</v>
      </c>
    </row>
    <row r="20" spans="1:47" ht="13.15" x14ac:dyDescent="0.4">
      <c r="A20" t="s">
        <v>177</v>
      </c>
      <c r="B20">
        <v>888.43068844966103</v>
      </c>
      <c r="C20">
        <v>752.31162909130001</v>
      </c>
      <c r="D20">
        <v>2954.5055214545901</v>
      </c>
      <c r="E20">
        <v>504.83328938296302</v>
      </c>
      <c r="G20" s="1">
        <f t="shared" si="0"/>
        <v>5100.0811283785142</v>
      </c>
      <c r="I20" t="s">
        <v>177</v>
      </c>
      <c r="J20" s="24">
        <f t="shared" si="1"/>
        <v>17.419932469429614</v>
      </c>
      <c r="K20" s="24">
        <f t="shared" si="2"/>
        <v>14.750973762068075</v>
      </c>
      <c r="L20" s="24">
        <f t="shared" si="3"/>
        <v>57.930559281003546</v>
      </c>
      <c r="M20" s="24">
        <f t="shared" si="4"/>
        <v>9.8985344874987575</v>
      </c>
      <c r="N20" s="24">
        <f t="shared" si="5"/>
        <v>0</v>
      </c>
      <c r="O20">
        <f t="shared" si="6"/>
        <v>100</v>
      </c>
      <c r="Q20" t="s">
        <v>241</v>
      </c>
      <c r="R20">
        <v>293.72150935057903</v>
      </c>
      <c r="S20">
        <v>1854.7912603741099</v>
      </c>
      <c r="T20">
        <v>103.95282919956399</v>
      </c>
      <c r="W20" s="1">
        <f t="shared" si="7"/>
        <v>2252.4655989242528</v>
      </c>
      <c r="Y20" t="s">
        <v>241</v>
      </c>
      <c r="Z20" s="24">
        <f t="shared" si="8"/>
        <v>13.039999789157999</v>
      </c>
      <c r="AA20" s="24">
        <f t="shared" si="9"/>
        <v>82.344931760997071</v>
      </c>
      <c r="AB20" s="24">
        <f t="shared" si="10"/>
        <v>4.6150684498449364</v>
      </c>
      <c r="AC20" s="24">
        <f t="shared" si="11"/>
        <v>0</v>
      </c>
      <c r="AD20" s="24">
        <f t="shared" si="12"/>
        <v>0</v>
      </c>
      <c r="AG20" t="s">
        <v>248</v>
      </c>
      <c r="AH20">
        <v>176.04140951781901</v>
      </c>
      <c r="AI20">
        <v>4542.2192158183698</v>
      </c>
      <c r="AJ20">
        <v>2058.3105904261301</v>
      </c>
      <c r="AL20">
        <v>612.82055231006098</v>
      </c>
      <c r="AM20" s="1">
        <f t="shared" si="13"/>
        <v>7389.3917680723807</v>
      </c>
      <c r="AO20" t="s">
        <v>248</v>
      </c>
      <c r="AP20" s="24">
        <f t="shared" si="14"/>
        <v>2.3823531765963155</v>
      </c>
      <c r="AQ20" s="24">
        <f t="shared" si="15"/>
        <v>61.46945998240485</v>
      </c>
      <c r="AR20" s="24">
        <f t="shared" si="16"/>
        <v>27.854939283630205</v>
      </c>
      <c r="AS20" s="24">
        <f t="shared" si="17"/>
        <v>0</v>
      </c>
      <c r="AT20" s="24">
        <f t="shared" si="18"/>
        <v>8.2932475573686251</v>
      </c>
      <c r="AU20">
        <f t="shared" si="19"/>
        <v>100</v>
      </c>
    </row>
    <row r="21" spans="1:47" ht="13.15" x14ac:dyDescent="0.4">
      <c r="A21" t="s">
        <v>181</v>
      </c>
      <c r="B21">
        <v>170.40955735058799</v>
      </c>
      <c r="C21">
        <v>1827.0811072854599</v>
      </c>
      <c r="D21">
        <v>318.59120618448299</v>
      </c>
      <c r="G21" s="1">
        <f t="shared" si="0"/>
        <v>2316.0818708205306</v>
      </c>
      <c r="I21" t="s">
        <v>181</v>
      </c>
      <c r="J21" s="24">
        <f t="shared" si="1"/>
        <v>7.3576655254512273</v>
      </c>
      <c r="K21" s="24">
        <f t="shared" si="2"/>
        <v>78.88672375118459</v>
      </c>
      <c r="L21" s="24">
        <f t="shared" si="3"/>
        <v>13.755610723364196</v>
      </c>
      <c r="M21" s="24">
        <f t="shared" si="4"/>
        <v>0</v>
      </c>
      <c r="N21" s="24">
        <f t="shared" si="5"/>
        <v>0</v>
      </c>
      <c r="O21">
        <f t="shared" si="6"/>
        <v>100.00000000000001</v>
      </c>
      <c r="Q21" t="s">
        <v>251</v>
      </c>
      <c r="R21">
        <v>413.19968270558797</v>
      </c>
      <c r="S21">
        <v>72.057939690724993</v>
      </c>
      <c r="T21">
        <v>3381.45330120469</v>
      </c>
      <c r="W21" s="1">
        <f t="shared" si="7"/>
        <v>3866.7109236010028</v>
      </c>
      <c r="Y21" t="s">
        <v>251</v>
      </c>
      <c r="Z21" s="24">
        <f t="shared" si="8"/>
        <v>10.686076380408135</v>
      </c>
      <c r="AA21" s="24">
        <f t="shared" si="9"/>
        <v>1.8635460760955631</v>
      </c>
      <c r="AB21" s="24">
        <f t="shared" si="10"/>
        <v>87.450377543496302</v>
      </c>
      <c r="AC21" s="24">
        <f t="shared" si="11"/>
        <v>0</v>
      </c>
      <c r="AD21" s="24">
        <f t="shared" si="12"/>
        <v>0</v>
      </c>
      <c r="AG21" t="s">
        <v>252</v>
      </c>
      <c r="AH21">
        <v>354.90586727337302</v>
      </c>
      <c r="AI21">
        <v>4487.0581189361901</v>
      </c>
      <c r="AJ21">
        <v>1365.6863108472601</v>
      </c>
      <c r="AM21" s="1">
        <f t="shared" si="13"/>
        <v>6207.6502970568226</v>
      </c>
      <c r="AO21" t="s">
        <v>252</v>
      </c>
      <c r="AP21" s="24">
        <f t="shared" si="14"/>
        <v>5.7172335793728797</v>
      </c>
      <c r="AQ21" s="24">
        <f t="shared" si="15"/>
        <v>72.282714138449435</v>
      </c>
      <c r="AR21" s="24">
        <f t="shared" si="16"/>
        <v>22.000052282177698</v>
      </c>
      <c r="AS21" s="24">
        <f t="shared" si="17"/>
        <v>0</v>
      </c>
      <c r="AT21" s="24">
        <f t="shared" si="18"/>
        <v>0</v>
      </c>
      <c r="AU21">
        <f t="shared" si="19"/>
        <v>100</v>
      </c>
    </row>
    <row r="22" spans="1:47" ht="13.15" x14ac:dyDescent="0.4">
      <c r="A22" t="s">
        <v>188</v>
      </c>
      <c r="B22">
        <v>1108.64575389846</v>
      </c>
      <c r="C22">
        <v>2479.7992755062401</v>
      </c>
      <c r="D22">
        <v>9549.4369293234395</v>
      </c>
      <c r="F22">
        <v>109.93351890682</v>
      </c>
      <c r="G22" s="1">
        <f t="shared" si="0"/>
        <v>13247.81547763496</v>
      </c>
      <c r="I22" t="s">
        <v>188</v>
      </c>
      <c r="J22" s="24">
        <f t="shared" si="1"/>
        <v>8.3685174795050727</v>
      </c>
      <c r="K22" s="24">
        <f t="shared" si="2"/>
        <v>18.718552350707569</v>
      </c>
      <c r="L22" s="24">
        <f t="shared" si="3"/>
        <v>72.083106421921826</v>
      </c>
      <c r="M22" s="24">
        <f t="shared" si="4"/>
        <v>0</v>
      </c>
      <c r="N22" s="24">
        <f t="shared" si="5"/>
        <v>0.82982374786552848</v>
      </c>
      <c r="O22">
        <f t="shared" si="6"/>
        <v>100</v>
      </c>
      <c r="W22" s="1">
        <f>AVERAGE(W4:W21)</f>
        <v>4144.2022813184822</v>
      </c>
      <c r="Z22" s="1">
        <f>AVERAGE(Z4:Z21)</f>
        <v>12.206228570110008</v>
      </c>
      <c r="AA22" s="1">
        <f>AVERAGE(AA4:AA21)</f>
        <v>59.181139922596948</v>
      </c>
      <c r="AB22" s="1">
        <f>AVERAGE(AB4:AB21)</f>
        <v>26.350664834665192</v>
      </c>
      <c r="AC22" s="1">
        <f>AVERAGE(AC4:AC21)</f>
        <v>0.573527960466791</v>
      </c>
      <c r="AD22" s="1">
        <f>AVERAGE(AD4:AD21)</f>
        <v>1.6884387121610607</v>
      </c>
      <c r="AG22" t="s">
        <v>257</v>
      </c>
      <c r="AH22">
        <v>312.47231335458298</v>
      </c>
      <c r="AI22">
        <v>1101.75057616754</v>
      </c>
      <c r="AJ22">
        <v>1165.30844045411</v>
      </c>
      <c r="AM22" s="1">
        <f t="shared" si="13"/>
        <v>2579.5313299762329</v>
      </c>
      <c r="AO22" t="s">
        <v>257</v>
      </c>
      <c r="AP22" s="24">
        <f t="shared" si="14"/>
        <v>12.113530458940463</v>
      </c>
      <c r="AQ22" s="24">
        <f t="shared" si="15"/>
        <v>42.711269421863982</v>
      </c>
      <c r="AR22" s="24">
        <f t="shared" si="16"/>
        <v>45.175200119195566</v>
      </c>
      <c r="AS22" s="24">
        <f t="shared" si="17"/>
        <v>0</v>
      </c>
      <c r="AT22" s="24">
        <f t="shared" si="18"/>
        <v>0</v>
      </c>
      <c r="AU22">
        <f t="shared" si="19"/>
        <v>100.00000000000001</v>
      </c>
    </row>
    <row r="23" spans="1:47" ht="13.15" x14ac:dyDescent="0.4">
      <c r="A23" t="s">
        <v>193</v>
      </c>
      <c r="B23">
        <v>1003.54882452023</v>
      </c>
      <c r="C23">
        <v>2138.0193097061701</v>
      </c>
      <c r="D23">
        <v>7305.06148295807</v>
      </c>
      <c r="E23">
        <v>873.58652065475599</v>
      </c>
      <c r="G23" s="1">
        <f t="shared" si="0"/>
        <v>11320.216137839227</v>
      </c>
      <c r="I23" t="s">
        <v>193</v>
      </c>
      <c r="J23" s="24">
        <f t="shared" si="1"/>
        <v>8.8651030360254648</v>
      </c>
      <c r="K23" s="24">
        <f t="shared" si="2"/>
        <v>18.886735762575906</v>
      </c>
      <c r="L23" s="24">
        <f t="shared" si="3"/>
        <v>64.531113134315476</v>
      </c>
      <c r="M23" s="24">
        <f t="shared" si="4"/>
        <v>7.7170480670831427</v>
      </c>
      <c r="N23" s="24">
        <f t="shared" si="5"/>
        <v>0</v>
      </c>
      <c r="O23">
        <f t="shared" si="6"/>
        <v>99.999999999999986</v>
      </c>
      <c r="AG23" t="s">
        <v>260</v>
      </c>
      <c r="AH23">
        <v>410.94545248874903</v>
      </c>
      <c r="AI23">
        <v>402.44548658606601</v>
      </c>
      <c r="AJ23">
        <v>1482.78384584234</v>
      </c>
      <c r="AM23" s="1">
        <f t="shared" si="13"/>
        <v>2296.1747849171552</v>
      </c>
      <c r="AO23" t="s">
        <v>260</v>
      </c>
      <c r="AP23" s="24">
        <f t="shared" si="14"/>
        <v>17.896958680502873</v>
      </c>
      <c r="AQ23" s="24">
        <f t="shared" si="15"/>
        <v>17.52677928655967</v>
      </c>
      <c r="AR23" s="24">
        <f t="shared" si="16"/>
        <v>64.57626203293745</v>
      </c>
      <c r="AS23" s="24">
        <f t="shared" si="17"/>
        <v>0</v>
      </c>
      <c r="AT23" s="24">
        <f t="shared" si="18"/>
        <v>0</v>
      </c>
      <c r="AU23">
        <f t="shared" si="19"/>
        <v>100</v>
      </c>
    </row>
    <row r="24" spans="1:47" ht="13.15" x14ac:dyDescent="0.4">
      <c r="A24" t="s">
        <v>197</v>
      </c>
      <c r="B24">
        <v>722.89869641568498</v>
      </c>
      <c r="C24">
        <v>532.81977146881002</v>
      </c>
      <c r="D24">
        <v>4247.85194883037</v>
      </c>
      <c r="E24">
        <v>194.261662503541</v>
      </c>
      <c r="F24">
        <v>79.673980690689504</v>
      </c>
      <c r="G24" s="1">
        <f t="shared" si="0"/>
        <v>5777.5060599090957</v>
      </c>
      <c r="I24" t="s">
        <v>197</v>
      </c>
      <c r="J24" s="24">
        <f t="shared" si="1"/>
        <v>12.512296636640121</v>
      </c>
      <c r="K24" s="24">
        <f t="shared" si="2"/>
        <v>9.2223143678916966</v>
      </c>
      <c r="L24" s="24">
        <f t="shared" si="3"/>
        <v>73.52397219116385</v>
      </c>
      <c r="M24" s="24">
        <f t="shared" si="4"/>
        <v>3.3623792080729995</v>
      </c>
      <c r="N24" s="24">
        <f t="shared" si="5"/>
        <v>1.3790375962313246</v>
      </c>
      <c r="O24">
        <f t="shared" si="6"/>
        <v>99.999999999999986</v>
      </c>
      <c r="AG24" t="s">
        <v>264</v>
      </c>
      <c r="AH24">
        <v>442.71708010853303</v>
      </c>
      <c r="AI24">
        <v>2856.3046847389701</v>
      </c>
      <c r="AJ24">
        <v>12.6</v>
      </c>
      <c r="AL24">
        <v>204.97882887516499</v>
      </c>
      <c r="AM24" s="1">
        <f t="shared" si="13"/>
        <v>3516.6005937226682</v>
      </c>
      <c r="AO24" t="s">
        <v>264</v>
      </c>
      <c r="AP24" s="24">
        <f t="shared" si="14"/>
        <v>12.58934781785592</v>
      </c>
      <c r="AQ24" s="24">
        <f t="shared" si="15"/>
        <v>81.22346023138472</v>
      </c>
      <c r="AR24" s="24">
        <f t="shared" si="16"/>
        <v>0.35830057079816557</v>
      </c>
      <c r="AS24" s="24">
        <f t="shared" si="17"/>
        <v>0</v>
      </c>
      <c r="AT24" s="24">
        <f t="shared" si="18"/>
        <v>5.8288913799611999</v>
      </c>
      <c r="AU24">
        <f t="shared" si="19"/>
        <v>100.00000000000001</v>
      </c>
    </row>
    <row r="25" spans="1:47" ht="13.15" x14ac:dyDescent="0.4">
      <c r="A25" t="s">
        <v>201</v>
      </c>
      <c r="B25">
        <v>143.196139822139</v>
      </c>
      <c r="C25">
        <v>2532.2171706418999</v>
      </c>
      <c r="D25">
        <v>2066.26184657157</v>
      </c>
      <c r="F25">
        <v>76.3042413508539</v>
      </c>
      <c r="G25" s="1">
        <f t="shared" si="0"/>
        <v>4817.979398386462</v>
      </c>
      <c r="I25" t="s">
        <v>201</v>
      </c>
      <c r="J25" s="24">
        <f t="shared" si="1"/>
        <v>2.9721202184902515</v>
      </c>
      <c r="K25" s="24">
        <f t="shared" si="2"/>
        <v>52.557658745696124</v>
      </c>
      <c r="L25" s="24">
        <f t="shared" si="3"/>
        <v>42.886481566599464</v>
      </c>
      <c r="M25" s="24">
        <f t="shared" si="4"/>
        <v>0</v>
      </c>
      <c r="N25" s="24">
        <f t="shared" si="5"/>
        <v>1.5837394692141717</v>
      </c>
      <c r="O25">
        <f t="shared" si="6"/>
        <v>100.00000000000001</v>
      </c>
      <c r="AG25" t="s">
        <v>269</v>
      </c>
      <c r="AH25">
        <v>404.93734188606402</v>
      </c>
      <c r="AI25">
        <v>501.21968512206502</v>
      </c>
      <c r="AJ25">
        <v>1868.8843837774</v>
      </c>
      <c r="AK25">
        <v>155.23148584177301</v>
      </c>
      <c r="AM25" s="1">
        <f t="shared" si="13"/>
        <v>2930.2728966273021</v>
      </c>
      <c r="AO25" t="s">
        <v>269</v>
      </c>
      <c r="AP25" s="24">
        <f t="shared" si="14"/>
        <v>13.819100000963751</v>
      </c>
      <c r="AQ25" s="24">
        <f t="shared" si="15"/>
        <v>17.104880767213217</v>
      </c>
      <c r="AR25" s="24">
        <f t="shared" si="16"/>
        <v>63.778509705647437</v>
      </c>
      <c r="AS25" s="24">
        <f t="shared" si="17"/>
        <v>5.2975095261755998</v>
      </c>
      <c r="AT25" s="24">
        <f t="shared" si="18"/>
        <v>0</v>
      </c>
      <c r="AU25">
        <f t="shared" si="19"/>
        <v>100.00000000000001</v>
      </c>
    </row>
    <row r="26" spans="1:47" ht="13.15" x14ac:dyDescent="0.4">
      <c r="A26" s="17" t="s">
        <v>205</v>
      </c>
      <c r="B26">
        <v>1465.42203886122</v>
      </c>
      <c r="C26">
        <v>3552.1827205712698</v>
      </c>
      <c r="D26">
        <v>1735.3718666484101</v>
      </c>
      <c r="G26" s="1">
        <f t="shared" si="0"/>
        <v>6752.9766260809001</v>
      </c>
      <c r="I26" s="17" t="s">
        <v>205</v>
      </c>
      <c r="J26" s="24">
        <f t="shared" si="1"/>
        <v>21.700386659144709</v>
      </c>
      <c r="K26" s="24">
        <f t="shared" si="2"/>
        <v>52.601732795168644</v>
      </c>
      <c r="L26" s="24">
        <f t="shared" si="3"/>
        <v>25.697880545686647</v>
      </c>
      <c r="M26" s="24">
        <f t="shared" si="4"/>
        <v>0</v>
      </c>
      <c r="N26" s="24">
        <f t="shared" si="5"/>
        <v>0</v>
      </c>
      <c r="O26">
        <f t="shared" si="6"/>
        <v>100</v>
      </c>
      <c r="AG26" t="s">
        <v>274</v>
      </c>
      <c r="AH26">
        <v>477.96997478038401</v>
      </c>
      <c r="AI26">
        <v>2044.4138118370799</v>
      </c>
      <c r="AJ26">
        <v>599.072216057481</v>
      </c>
      <c r="AM26" s="1">
        <f t="shared" si="13"/>
        <v>3121.456002674945</v>
      </c>
      <c r="AO26" t="s">
        <v>274</v>
      </c>
      <c r="AP26" s="24">
        <f t="shared" si="14"/>
        <v>15.312404671755283</v>
      </c>
      <c r="AQ26" s="24">
        <f t="shared" si="15"/>
        <v>65.495519081002925</v>
      </c>
      <c r="AR26" s="24">
        <f t="shared" si="16"/>
        <v>19.192076247241783</v>
      </c>
      <c r="AS26" s="24">
        <f t="shared" si="17"/>
        <v>0</v>
      </c>
      <c r="AT26" s="24">
        <f t="shared" si="18"/>
        <v>0</v>
      </c>
      <c r="AU26">
        <f t="shared" si="19"/>
        <v>100</v>
      </c>
    </row>
    <row r="27" spans="1:47" ht="13.15" x14ac:dyDescent="0.4">
      <c r="A27" s="17" t="s">
        <v>208</v>
      </c>
      <c r="B27">
        <v>1174.1985909605601</v>
      </c>
      <c r="C27">
        <v>2748.9599473989701</v>
      </c>
      <c r="D27">
        <v>2658.0842252751199</v>
      </c>
      <c r="E27">
        <v>174.48029926805799</v>
      </c>
      <c r="G27" s="1">
        <f t="shared" si="0"/>
        <v>6755.7230629027081</v>
      </c>
      <c r="I27" s="17" t="s">
        <v>208</v>
      </c>
      <c r="J27" s="24">
        <f t="shared" si="1"/>
        <v>17.380798177005886</v>
      </c>
      <c r="K27" s="24">
        <f t="shared" si="2"/>
        <v>40.690832377279747</v>
      </c>
      <c r="L27" s="24">
        <f t="shared" si="3"/>
        <v>39.345665897278955</v>
      </c>
      <c r="M27" s="24">
        <f t="shared" si="4"/>
        <v>2.5827035484354157</v>
      </c>
      <c r="N27" s="24">
        <f t="shared" si="5"/>
        <v>0</v>
      </c>
      <c r="O27">
        <f t="shared" si="6"/>
        <v>100.00000000000001</v>
      </c>
      <c r="AG27" t="s">
        <v>276</v>
      </c>
      <c r="AH27">
        <v>148.36775468110801</v>
      </c>
      <c r="AI27">
        <v>2079.0109388798501</v>
      </c>
      <c r="AJ27">
        <v>219.93104131358501</v>
      </c>
      <c r="AM27" s="1">
        <f t="shared" si="13"/>
        <v>2447.3097348745432</v>
      </c>
      <c r="AO27" t="s">
        <v>276</v>
      </c>
      <c r="AP27" s="24">
        <f t="shared" si="14"/>
        <v>6.0624837374217293</v>
      </c>
      <c r="AQ27" s="24">
        <f t="shared" si="15"/>
        <v>84.9508711240601</v>
      </c>
      <c r="AR27" s="24">
        <f t="shared" si="16"/>
        <v>8.9866451385181687</v>
      </c>
      <c r="AS27" s="24">
        <f t="shared" si="17"/>
        <v>0</v>
      </c>
      <c r="AT27" s="24">
        <f t="shared" si="18"/>
        <v>0</v>
      </c>
      <c r="AU27">
        <f t="shared" si="19"/>
        <v>100</v>
      </c>
    </row>
    <row r="28" spans="1:47" ht="13.15" x14ac:dyDescent="0.4">
      <c r="A28" s="17" t="s">
        <v>213</v>
      </c>
      <c r="B28">
        <v>918.70175934148597</v>
      </c>
      <c r="C28">
        <v>1761.49584536164</v>
      </c>
      <c r="D28">
        <v>4679.8715488411299</v>
      </c>
      <c r="E28">
        <v>191.6330588571</v>
      </c>
      <c r="F28">
        <v>232.530331394483</v>
      </c>
      <c r="G28" s="1">
        <f t="shared" si="0"/>
        <v>7784.2325437958389</v>
      </c>
      <c r="I28" s="17" t="s">
        <v>213</v>
      </c>
      <c r="J28" s="24">
        <f t="shared" si="1"/>
        <v>11.802085230273683</v>
      </c>
      <c r="K28" s="24">
        <f t="shared" si="2"/>
        <v>22.62902393333022</v>
      </c>
      <c r="L28" s="24">
        <f t="shared" si="3"/>
        <v>60.119883655981788</v>
      </c>
      <c r="M28" s="24">
        <f t="shared" si="4"/>
        <v>2.4618105610145817</v>
      </c>
      <c r="N28" s="24">
        <f t="shared" si="5"/>
        <v>2.987196619399731</v>
      </c>
      <c r="O28">
        <f t="shared" si="6"/>
        <v>100.00000000000001</v>
      </c>
      <c r="AM28" s="1">
        <f>AVERAGE(AM4:AM27)</f>
        <v>4382.7201277510203</v>
      </c>
      <c r="AP28" s="1">
        <f>AVERAGE(AP4:AP27)</f>
        <v>12.019193172998607</v>
      </c>
      <c r="AQ28" s="1">
        <f>AVERAGE(AQ4:AQ27)</f>
        <v>57.418174921395</v>
      </c>
      <c r="AR28" s="1">
        <f>AVERAGE(AR4:AR27)</f>
        <v>26.302624443882319</v>
      </c>
      <c r="AS28" s="1">
        <f>AVERAGE(AS4:AS27)</f>
        <v>0.30279498723798243</v>
      </c>
      <c r="AT28" s="1">
        <f>AVERAGE(AT4:AT27)</f>
        <v>3.9572124744860933</v>
      </c>
    </row>
    <row r="29" spans="1:47" ht="13.15" x14ac:dyDescent="0.4">
      <c r="A29" s="17" t="s">
        <v>216</v>
      </c>
      <c r="B29">
        <v>585.587509937802</v>
      </c>
      <c r="C29">
        <v>2054.3516844175701</v>
      </c>
      <c r="D29">
        <v>5703.88174325821</v>
      </c>
      <c r="E29">
        <v>415.69023008583099</v>
      </c>
      <c r="G29" s="1">
        <f t="shared" si="0"/>
        <v>8759.5111676994129</v>
      </c>
      <c r="I29" s="17" t="s">
        <v>216</v>
      </c>
      <c r="J29" s="24">
        <f t="shared" si="1"/>
        <v>6.6851619768138271</v>
      </c>
      <c r="K29" s="24">
        <f t="shared" si="2"/>
        <v>23.452811978743359</v>
      </c>
      <c r="L29" s="24">
        <f t="shared" si="3"/>
        <v>65.116438966265633</v>
      </c>
      <c r="M29" s="24">
        <f t="shared" si="4"/>
        <v>4.7455870781771869</v>
      </c>
      <c r="N29" s="24">
        <f t="shared" si="5"/>
        <v>0</v>
      </c>
      <c r="O29">
        <f t="shared" si="6"/>
        <v>100</v>
      </c>
    </row>
    <row r="30" spans="1:47" ht="13.15" x14ac:dyDescent="0.4">
      <c r="A30" s="17" t="s">
        <v>219</v>
      </c>
      <c r="B30">
        <v>2038.8196054617699</v>
      </c>
      <c r="C30">
        <v>3925.01686532135</v>
      </c>
      <c r="D30">
        <v>4722.4761506672203</v>
      </c>
      <c r="F30">
        <v>1740.9262753020801</v>
      </c>
      <c r="G30" s="1">
        <f t="shared" si="0"/>
        <v>12427.238896752418</v>
      </c>
      <c r="I30" s="17" t="s">
        <v>219</v>
      </c>
      <c r="J30" s="24">
        <f t="shared" si="1"/>
        <v>16.406054654622999</v>
      </c>
      <c r="K30" s="24">
        <f t="shared" si="2"/>
        <v>31.583981751143977</v>
      </c>
      <c r="L30" s="24">
        <f t="shared" si="3"/>
        <v>38.001008831505878</v>
      </c>
      <c r="M30" s="24">
        <f t="shared" si="4"/>
        <v>0</v>
      </c>
      <c r="N30" s="24">
        <f t="shared" si="5"/>
        <v>14.008954762727159</v>
      </c>
      <c r="O30">
        <f t="shared" si="6"/>
        <v>100.00000000000001</v>
      </c>
    </row>
    <row r="31" spans="1:47" ht="13.15" x14ac:dyDescent="0.4">
      <c r="A31" t="s">
        <v>223</v>
      </c>
      <c r="B31">
        <v>702.28964504496298</v>
      </c>
      <c r="C31">
        <v>3372.85148025017</v>
      </c>
      <c r="D31">
        <v>3562.5201177129602</v>
      </c>
      <c r="E31">
        <v>46.800070312728899</v>
      </c>
      <c r="G31" s="1">
        <f t="shared" si="0"/>
        <v>7684.4613133208222</v>
      </c>
      <c r="I31" t="s">
        <v>223</v>
      </c>
      <c r="J31" s="24">
        <f t="shared" si="1"/>
        <v>9.1390875223428001</v>
      </c>
      <c r="K31" s="24">
        <f t="shared" si="2"/>
        <v>43.891840204900454</v>
      </c>
      <c r="L31" s="24">
        <f t="shared" si="3"/>
        <v>46.360050138289076</v>
      </c>
      <c r="M31" s="24">
        <f t="shared" si="4"/>
        <v>0.60902213446767095</v>
      </c>
      <c r="N31" s="24">
        <f t="shared" si="5"/>
        <v>0</v>
      </c>
      <c r="O31">
        <f t="shared" si="6"/>
        <v>100</v>
      </c>
    </row>
    <row r="32" spans="1:47" ht="13.15" x14ac:dyDescent="0.4">
      <c r="A32" s="18" t="s">
        <v>227</v>
      </c>
      <c r="B32">
        <v>1212.05951766064</v>
      </c>
      <c r="C32">
        <v>5478.4856098897599</v>
      </c>
      <c r="D32">
        <v>4561.1326668096999</v>
      </c>
      <c r="E32">
        <v>178.116471459048</v>
      </c>
      <c r="G32" s="1">
        <f t="shared" si="0"/>
        <v>11429.79426581915</v>
      </c>
      <c r="I32" s="18" t="s">
        <v>227</v>
      </c>
      <c r="J32" s="24">
        <f t="shared" si="1"/>
        <v>10.604386128675205</v>
      </c>
      <c r="K32" s="24">
        <f t="shared" si="2"/>
        <v>47.931620486583874</v>
      </c>
      <c r="L32" s="24">
        <f t="shared" si="3"/>
        <v>39.905641000466538</v>
      </c>
      <c r="M32" s="24">
        <f t="shared" si="4"/>
        <v>1.5583523842743705</v>
      </c>
      <c r="N32" s="24">
        <f t="shared" si="5"/>
        <v>0</v>
      </c>
      <c r="O32">
        <f t="shared" si="6"/>
        <v>100</v>
      </c>
    </row>
    <row r="33" spans="1:15" ht="13.15" x14ac:dyDescent="0.4">
      <c r="A33" s="18" t="s">
        <v>232</v>
      </c>
      <c r="B33">
        <v>272.50753273558502</v>
      </c>
      <c r="C33">
        <v>1507.5385106864101</v>
      </c>
      <c r="D33">
        <v>1802.402465008</v>
      </c>
      <c r="G33" s="1">
        <f t="shared" si="0"/>
        <v>3582.4485084299949</v>
      </c>
      <c r="I33" s="18" t="s">
        <v>232</v>
      </c>
      <c r="J33" s="24">
        <f t="shared" si="1"/>
        <v>7.606739694774042</v>
      </c>
      <c r="K33" s="24">
        <f t="shared" si="2"/>
        <v>42.081233188389568</v>
      </c>
      <c r="L33" s="24">
        <f t="shared" si="3"/>
        <v>50.312027116836397</v>
      </c>
      <c r="M33" s="24">
        <f t="shared" si="4"/>
        <v>0</v>
      </c>
      <c r="N33" s="24">
        <f t="shared" si="5"/>
        <v>0</v>
      </c>
      <c r="O33">
        <f t="shared" si="6"/>
        <v>100</v>
      </c>
    </row>
    <row r="34" spans="1:15" ht="13.15" x14ac:dyDescent="0.4">
      <c r="A34" t="s">
        <v>236</v>
      </c>
      <c r="B34">
        <v>603.16292884685004</v>
      </c>
      <c r="C34">
        <v>3017.6849228545798</v>
      </c>
      <c r="D34">
        <v>5135.0738922611899</v>
      </c>
      <c r="E34">
        <v>140.12358993105701</v>
      </c>
      <c r="F34">
        <v>427.054979336553</v>
      </c>
      <c r="G34" s="1">
        <f t="shared" si="0"/>
        <v>9323.1003132302303</v>
      </c>
      <c r="I34" t="s">
        <v>236</v>
      </c>
      <c r="J34" s="24">
        <f t="shared" si="1"/>
        <v>6.4695531377144277</v>
      </c>
      <c r="K34" s="24">
        <f t="shared" si="2"/>
        <v>32.367826382520434</v>
      </c>
      <c r="L34" s="24">
        <f t="shared" si="3"/>
        <v>55.079037227284857</v>
      </c>
      <c r="M34" s="24">
        <f t="shared" si="4"/>
        <v>1.5029720288669461</v>
      </c>
      <c r="N34" s="24">
        <f t="shared" si="5"/>
        <v>4.5806112236133254</v>
      </c>
      <c r="O34">
        <f t="shared" si="6"/>
        <v>100</v>
      </c>
    </row>
    <row r="35" spans="1:15" ht="13.15" x14ac:dyDescent="0.4">
      <c r="A35" t="s">
        <v>240</v>
      </c>
      <c r="B35">
        <v>625.77209297250397</v>
      </c>
      <c r="C35">
        <v>2592.4490074415598</v>
      </c>
      <c r="D35">
        <v>2018.88883349767</v>
      </c>
      <c r="E35">
        <v>129.90146545503501</v>
      </c>
      <c r="G35" s="1">
        <f t="shared" si="0"/>
        <v>5367.0113993667683</v>
      </c>
      <c r="I35" t="s">
        <v>240</v>
      </c>
      <c r="J35" s="24">
        <f t="shared" si="1"/>
        <v>11.659600593476217</v>
      </c>
      <c r="K35" s="24">
        <f t="shared" si="2"/>
        <v>48.303400431521951</v>
      </c>
      <c r="L35" s="24">
        <f t="shared" si="3"/>
        <v>37.616630248556405</v>
      </c>
      <c r="M35" s="24">
        <f t="shared" si="4"/>
        <v>2.4203687264454397</v>
      </c>
      <c r="N35" s="24">
        <f t="shared" si="5"/>
        <v>0</v>
      </c>
      <c r="O35">
        <f t="shared" si="6"/>
        <v>100.00000000000001</v>
      </c>
    </row>
    <row r="36" spans="1:15" ht="13.15" x14ac:dyDescent="0.4">
      <c r="A36" t="s">
        <v>246</v>
      </c>
      <c r="B36">
        <v>549.46606894908098</v>
      </c>
      <c r="C36">
        <v>2902.6766825914101</v>
      </c>
      <c r="D36">
        <v>5298.1517802858398</v>
      </c>
      <c r="F36">
        <v>763.69048142413897</v>
      </c>
      <c r="G36" s="1">
        <f t="shared" si="0"/>
        <v>9513.9850132504689</v>
      </c>
      <c r="I36" t="s">
        <v>246</v>
      </c>
      <c r="J36" s="24">
        <f t="shared" si="1"/>
        <v>5.7753514240753985</v>
      </c>
      <c r="K36" s="24">
        <f t="shared" si="2"/>
        <v>30.509578042731288</v>
      </c>
      <c r="L36" s="24">
        <f t="shared" si="3"/>
        <v>55.688040005391152</v>
      </c>
      <c r="M36" s="24">
        <f t="shared" si="4"/>
        <v>0</v>
      </c>
      <c r="N36" s="24">
        <f t="shared" si="5"/>
        <v>8.0270305278021752</v>
      </c>
      <c r="O36">
        <f t="shared" si="6"/>
        <v>100</v>
      </c>
    </row>
    <row r="37" spans="1:15" ht="13.15" x14ac:dyDescent="0.4">
      <c r="A37" t="s">
        <v>293</v>
      </c>
      <c r="B37">
        <v>1008.92357736244</v>
      </c>
      <c r="C37">
        <v>3311.4701835628898</v>
      </c>
      <c r="D37">
        <v>3392.3693487861601</v>
      </c>
      <c r="F37">
        <v>2588.80759114595</v>
      </c>
      <c r="G37" s="1">
        <f t="shared" si="0"/>
        <v>10301.570700857439</v>
      </c>
      <c r="I37" t="s">
        <v>293</v>
      </c>
      <c r="J37" s="24">
        <f t="shared" si="1"/>
        <v>9.7938810173720725</v>
      </c>
      <c r="K37" s="24">
        <f t="shared" si="2"/>
        <v>32.145293952962561</v>
      </c>
      <c r="L37" s="24">
        <f t="shared" si="3"/>
        <v>32.930602985657323</v>
      </c>
      <c r="M37" s="24">
        <f t="shared" si="4"/>
        <v>0</v>
      </c>
      <c r="N37" s="24">
        <f t="shared" si="5"/>
        <v>25.130222044008043</v>
      </c>
      <c r="O37">
        <f t="shared" si="6"/>
        <v>100</v>
      </c>
    </row>
    <row r="38" spans="1:15" ht="13.15" x14ac:dyDescent="0.4">
      <c r="G38" s="1">
        <f>AVERAGE(G3:G37)</f>
        <v>8387.5251033736695</v>
      </c>
      <c r="J38" s="1">
        <f>AVERAGE(J4:J37)</f>
        <v>10.432511926752129</v>
      </c>
      <c r="K38" s="1">
        <f>AVERAGE(K4:K37)</f>
        <v>37.222523807979165</v>
      </c>
      <c r="L38" s="1">
        <f>AVERAGE(L4:L37)</f>
        <v>47.860068124549308</v>
      </c>
      <c r="M38" s="1">
        <f>AVERAGE(M4:M37)</f>
        <v>2.3596745005495907</v>
      </c>
      <c r="N38" s="1">
        <f>AVERAGE(N4:N37)</f>
        <v>2.1252216401698174</v>
      </c>
      <c r="O38">
        <f t="shared" si="6"/>
        <v>100</v>
      </c>
    </row>
  </sheetData>
  <mergeCells count="12">
    <mergeCell ref="AO1:AU1"/>
    <mergeCell ref="A2:G2"/>
    <mergeCell ref="I2:O2"/>
    <mergeCell ref="Q2:W2"/>
    <mergeCell ref="Y2:AE2"/>
    <mergeCell ref="AG2:AM2"/>
    <mergeCell ref="AO2:AU2"/>
    <mergeCell ref="A1:G1"/>
    <mergeCell ref="I1:O1"/>
    <mergeCell ref="Q1:W1"/>
    <mergeCell ref="Y1:AE1"/>
    <mergeCell ref="AG1:AM1"/>
  </mergeCells>
  <pageMargins left="0.78749999999999998" right="0.78749999999999998" top="1.0249999999999999" bottom="1.0249999999999999" header="0.78749999999999998" footer="0.78749999999999998"/>
  <pageSetup firstPageNumber="0" orientation="portrait" horizontalDpi="1200" verticalDpi="1200" r:id="rId1"/>
  <headerFooter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B269"/>
  <sheetViews>
    <sheetView zoomScale="120" zoomScaleNormal="120" workbookViewId="0">
      <selection activeCell="NZ1" sqref="NZ1"/>
    </sheetView>
  </sheetViews>
  <sheetFormatPr defaultRowHeight="12.75" x14ac:dyDescent="0.35"/>
  <sheetData>
    <row r="1" spans="1:470" ht="13.15" x14ac:dyDescent="0.4">
      <c r="A1" s="39" t="s">
        <v>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FO1" s="42" t="s">
        <v>1020</v>
      </c>
      <c r="FP1" s="42"/>
      <c r="FQ1" s="42"/>
      <c r="FR1" s="42"/>
      <c r="GH1" s="42" t="s">
        <v>1020</v>
      </c>
      <c r="GI1" s="42"/>
      <c r="GJ1" s="42"/>
      <c r="GK1" s="42"/>
      <c r="GZ1" s="42" t="s">
        <v>1020</v>
      </c>
      <c r="HA1" s="42"/>
      <c r="HB1" s="42"/>
      <c r="HC1" s="42"/>
      <c r="HV1" s="42" t="s">
        <v>1021</v>
      </c>
      <c r="HW1" s="42"/>
      <c r="HX1" s="7"/>
      <c r="IX1" s="42" t="s">
        <v>1021</v>
      </c>
      <c r="IY1" s="42"/>
      <c r="IZ1" s="42"/>
      <c r="JV1" s="42" t="s">
        <v>1021</v>
      </c>
      <c r="JW1" s="42"/>
      <c r="JX1" s="42"/>
      <c r="KT1" s="70" t="s">
        <v>1022</v>
      </c>
      <c r="KU1" s="70"/>
      <c r="KV1" s="70"/>
      <c r="KY1" t="s">
        <v>342</v>
      </c>
      <c r="KZ1" t="s">
        <v>345</v>
      </c>
      <c r="LA1" t="s">
        <v>348</v>
      </c>
      <c r="LB1" t="s">
        <v>351</v>
      </c>
      <c r="LC1" t="s">
        <v>354</v>
      </c>
      <c r="LD1" t="s">
        <v>358</v>
      </c>
      <c r="LE1" t="s">
        <v>362</v>
      </c>
      <c r="LF1" t="s">
        <v>366</v>
      </c>
      <c r="LG1" t="s">
        <v>370</v>
      </c>
      <c r="LH1" t="s">
        <v>374</v>
      </c>
      <c r="LI1" t="s">
        <v>378</v>
      </c>
      <c r="LJ1" t="s">
        <v>382</v>
      </c>
      <c r="LK1" t="s">
        <v>385</v>
      </c>
      <c r="LL1" t="s">
        <v>388</v>
      </c>
      <c r="LM1" t="s">
        <v>391</v>
      </c>
      <c r="LN1" t="s">
        <v>711</v>
      </c>
      <c r="LW1" s="42" t="s">
        <v>1023</v>
      </c>
      <c r="LX1" s="42"/>
      <c r="LY1" s="42"/>
      <c r="MB1" t="s">
        <v>343</v>
      </c>
      <c r="MC1" t="s">
        <v>908</v>
      </c>
      <c r="MD1" t="s">
        <v>346</v>
      </c>
      <c r="ME1" t="s">
        <v>349</v>
      </c>
      <c r="MF1" t="s">
        <v>352</v>
      </c>
      <c r="MG1" t="s">
        <v>355</v>
      </c>
      <c r="MH1" t="s">
        <v>359</v>
      </c>
      <c r="MI1" t="s">
        <v>363</v>
      </c>
      <c r="MJ1" t="s">
        <v>367</v>
      </c>
      <c r="MK1" t="s">
        <v>371</v>
      </c>
      <c r="ML1" t="s">
        <v>375</v>
      </c>
      <c r="MM1" t="s">
        <v>1024</v>
      </c>
      <c r="MN1" t="s">
        <v>379</v>
      </c>
      <c r="MO1" t="s">
        <v>383</v>
      </c>
      <c r="MP1" t="s">
        <v>386</v>
      </c>
      <c r="MQ1" t="s">
        <v>1025</v>
      </c>
      <c r="MR1" t="s">
        <v>1026</v>
      </c>
      <c r="MS1" t="s">
        <v>389</v>
      </c>
      <c r="MT1" t="s">
        <v>392</v>
      </c>
      <c r="MU1" t="s">
        <v>395</v>
      </c>
      <c r="MZ1" s="70" t="s">
        <v>1023</v>
      </c>
      <c r="NA1" s="70"/>
      <c r="NB1" s="70"/>
      <c r="NZ1" t="s">
        <v>1027</v>
      </c>
      <c r="OC1" t="s">
        <v>1027</v>
      </c>
      <c r="OF1" t="s">
        <v>1027</v>
      </c>
      <c r="OI1" s="39" t="s">
        <v>1028</v>
      </c>
      <c r="OJ1" s="39"/>
      <c r="OK1" s="39"/>
      <c r="OL1" s="39"/>
      <c r="OM1" s="39"/>
      <c r="ON1" s="39"/>
      <c r="OO1" s="39"/>
      <c r="OP1" s="39"/>
      <c r="OQ1" s="39"/>
      <c r="OR1" s="39"/>
      <c r="OS1" s="39"/>
      <c r="OT1" s="39"/>
      <c r="OU1" s="39"/>
      <c r="OV1" s="39"/>
      <c r="OW1" s="39"/>
      <c r="OX1" s="39"/>
      <c r="OY1" s="39"/>
      <c r="OZ1" s="39"/>
      <c r="PA1" s="39"/>
      <c r="PB1" s="39"/>
      <c r="PD1" s="49" t="s">
        <v>1029</v>
      </c>
      <c r="PE1" s="49"/>
      <c r="PH1" s="40" t="s">
        <v>1028</v>
      </c>
      <c r="PI1" s="40"/>
      <c r="PJ1" s="40"/>
      <c r="PK1" s="40"/>
      <c r="PL1" s="40"/>
      <c r="PM1" s="40"/>
      <c r="PN1" s="40"/>
      <c r="PO1" s="40"/>
      <c r="PP1" s="40"/>
      <c r="PQ1" s="40"/>
      <c r="PR1" s="40"/>
      <c r="PS1" s="40"/>
      <c r="PT1" s="40"/>
      <c r="PU1" s="40"/>
      <c r="PV1" s="40"/>
      <c r="PW1" s="40"/>
      <c r="PX1" s="40"/>
      <c r="PY1" s="40"/>
      <c r="PZ1" s="40"/>
      <c r="QA1" s="40"/>
      <c r="QF1" s="41" t="s">
        <v>1028</v>
      </c>
      <c r="QG1" s="41"/>
      <c r="QH1" s="41"/>
      <c r="QI1" s="41"/>
      <c r="QJ1" s="41"/>
      <c r="QK1" s="41"/>
      <c r="QL1" s="41"/>
      <c r="QM1" s="41"/>
      <c r="QN1" s="41"/>
      <c r="QO1" s="41"/>
      <c r="QP1" s="41"/>
      <c r="QQ1" s="41"/>
      <c r="QR1" s="41"/>
      <c r="QS1" s="41"/>
      <c r="QT1" s="41"/>
      <c r="QU1" s="41"/>
      <c r="QV1" s="41"/>
      <c r="QW1" s="41"/>
      <c r="QX1" s="41"/>
      <c r="QY1" s="41"/>
    </row>
    <row r="2" spans="1:470" ht="13.15" x14ac:dyDescent="0.4">
      <c r="A2" t="s">
        <v>887</v>
      </c>
      <c r="B2" t="s">
        <v>342</v>
      </c>
      <c r="C2" t="s">
        <v>345</v>
      </c>
      <c r="D2" t="s">
        <v>348</v>
      </c>
      <c r="E2" t="s">
        <v>351</v>
      </c>
      <c r="F2" t="s">
        <v>354</v>
      </c>
      <c r="G2" t="s">
        <v>358</v>
      </c>
      <c r="H2" t="s">
        <v>362</v>
      </c>
      <c r="I2" t="s">
        <v>366</v>
      </c>
      <c r="J2" t="s">
        <v>370</v>
      </c>
      <c r="K2" t="s">
        <v>374</v>
      </c>
      <c r="L2" t="s">
        <v>378</v>
      </c>
      <c r="M2" t="s">
        <v>382</v>
      </c>
      <c r="N2" t="s">
        <v>385</v>
      </c>
      <c r="O2" t="s">
        <v>388</v>
      </c>
      <c r="P2" t="s">
        <v>391</v>
      </c>
      <c r="Q2" t="s">
        <v>394</v>
      </c>
      <c r="R2" t="s">
        <v>398</v>
      </c>
      <c r="S2" t="s">
        <v>401</v>
      </c>
      <c r="T2" t="s">
        <v>404</v>
      </c>
      <c r="U2" t="s">
        <v>407</v>
      </c>
      <c r="V2" t="s">
        <v>411</v>
      </c>
      <c r="W2" t="s">
        <v>414</v>
      </c>
      <c r="X2" t="s">
        <v>417</v>
      </c>
      <c r="Y2" t="s">
        <v>421</v>
      </c>
      <c r="Z2" t="s">
        <v>425</v>
      </c>
      <c r="AA2" t="s">
        <v>428</v>
      </c>
      <c r="AB2" t="s">
        <v>431</v>
      </c>
      <c r="AC2" t="s">
        <v>434</v>
      </c>
      <c r="AD2" t="s">
        <v>437</v>
      </c>
      <c r="AE2" t="s">
        <v>440</v>
      </c>
      <c r="AF2" t="s">
        <v>443</v>
      </c>
      <c r="AG2" t="s">
        <v>446</v>
      </c>
      <c r="AH2" s="8" t="s">
        <v>449</v>
      </c>
      <c r="AI2" t="s">
        <v>452</v>
      </c>
      <c r="AJ2" t="s">
        <v>455</v>
      </c>
      <c r="AK2" t="s">
        <v>458</v>
      </c>
      <c r="AL2" t="s">
        <v>461</v>
      </c>
      <c r="AM2" t="s">
        <v>464</v>
      </c>
      <c r="AN2" t="s">
        <v>467</v>
      </c>
      <c r="AO2" t="s">
        <v>470</v>
      </c>
      <c r="AP2" t="s">
        <v>473</v>
      </c>
      <c r="AQ2" t="s">
        <v>476</v>
      </c>
      <c r="AR2" t="s">
        <v>479</v>
      </c>
      <c r="AS2" t="s">
        <v>482</v>
      </c>
      <c r="AT2" t="s">
        <v>485</v>
      </c>
      <c r="AU2" t="s">
        <v>488</v>
      </c>
      <c r="AV2" t="s">
        <v>491</v>
      </c>
      <c r="AW2" t="s">
        <v>494</v>
      </c>
      <c r="AX2" t="s">
        <v>740</v>
      </c>
      <c r="AY2" t="s">
        <v>497</v>
      </c>
      <c r="AZ2" t="s">
        <v>500</v>
      </c>
      <c r="BA2" t="s">
        <v>503</v>
      </c>
      <c r="BB2" t="s">
        <v>506</v>
      </c>
      <c r="BC2" t="s">
        <v>509</v>
      </c>
      <c r="BD2" t="s">
        <v>512</v>
      </c>
      <c r="BE2" t="s">
        <v>515</v>
      </c>
      <c r="BF2" t="s">
        <v>518</v>
      </c>
      <c r="BG2" t="s">
        <v>521</v>
      </c>
      <c r="BH2" t="s">
        <v>525</v>
      </c>
      <c r="BI2" t="s">
        <v>529</v>
      </c>
      <c r="BJ2" t="s">
        <v>533</v>
      </c>
      <c r="BK2" t="s">
        <v>537</v>
      </c>
      <c r="BL2" t="s">
        <v>541</v>
      </c>
      <c r="BM2" t="s">
        <v>545</v>
      </c>
      <c r="BN2" t="s">
        <v>549</v>
      </c>
      <c r="BO2" t="s">
        <v>553</v>
      </c>
      <c r="BP2" t="s">
        <v>557</v>
      </c>
      <c r="BQ2" t="s">
        <v>561</v>
      </c>
      <c r="BR2" t="s">
        <v>565</v>
      </c>
      <c r="BS2" t="s">
        <v>569</v>
      </c>
      <c r="BT2" t="s">
        <v>573</v>
      </c>
      <c r="BU2" t="s">
        <v>576</v>
      </c>
      <c r="BV2" t="s">
        <v>741</v>
      </c>
      <c r="BW2" t="s">
        <v>579</v>
      </c>
      <c r="BX2" t="s">
        <v>582</v>
      </c>
      <c r="BY2" t="s">
        <v>585</v>
      </c>
      <c r="BZ2" t="s">
        <v>588</v>
      </c>
      <c r="CA2" t="s">
        <v>591</v>
      </c>
      <c r="CB2" t="s">
        <v>742</v>
      </c>
      <c r="CC2" t="s">
        <v>594</v>
      </c>
      <c r="CD2" t="s">
        <v>743</v>
      </c>
      <c r="CE2" t="s">
        <v>597</v>
      </c>
      <c r="CF2" t="s">
        <v>890</v>
      </c>
      <c r="CG2" t="s">
        <v>603</v>
      </c>
      <c r="CH2" t="s">
        <v>606</v>
      </c>
      <c r="CI2" t="s">
        <v>609</v>
      </c>
      <c r="CJ2" t="s">
        <v>612</v>
      </c>
      <c r="CK2" t="s">
        <v>615</v>
      </c>
      <c r="CL2" t="s">
        <v>618</v>
      </c>
      <c r="CM2" t="s">
        <v>621</v>
      </c>
      <c r="CN2" t="s">
        <v>624</v>
      </c>
      <c r="CO2" t="s">
        <v>627</v>
      </c>
      <c r="CP2" t="s">
        <v>630</v>
      </c>
      <c r="CQ2" t="s">
        <v>633</v>
      </c>
      <c r="CR2" t="s">
        <v>636</v>
      </c>
      <c r="CS2" t="s">
        <v>639</v>
      </c>
      <c r="CT2" t="s">
        <v>641</v>
      </c>
      <c r="CU2" t="s">
        <v>643</v>
      </c>
      <c r="CV2" t="s">
        <v>645</v>
      </c>
      <c r="CW2" t="s">
        <v>647</v>
      </c>
      <c r="CX2" t="s">
        <v>649</v>
      </c>
      <c r="CY2" t="s">
        <v>745</v>
      </c>
      <c r="CZ2" t="s">
        <v>651</v>
      </c>
      <c r="DA2" t="s">
        <v>653</v>
      </c>
      <c r="DB2" t="s">
        <v>655</v>
      </c>
      <c r="DC2" t="s">
        <v>657</v>
      </c>
      <c r="DD2" t="s">
        <v>659</v>
      </c>
      <c r="DE2" t="s">
        <v>661</v>
      </c>
      <c r="DF2" t="s">
        <v>663</v>
      </c>
      <c r="DG2" t="s">
        <v>665</v>
      </c>
      <c r="DH2" t="s">
        <v>667</v>
      </c>
      <c r="DI2" t="s">
        <v>669</v>
      </c>
      <c r="DJ2" t="s">
        <v>671</v>
      </c>
      <c r="DK2" t="s">
        <v>673</v>
      </c>
      <c r="DL2" t="s">
        <v>675</v>
      </c>
      <c r="DM2" t="s">
        <v>677</v>
      </c>
      <c r="DN2" t="s">
        <v>679</v>
      </c>
      <c r="DO2" t="s">
        <v>681</v>
      </c>
      <c r="DP2" t="s">
        <v>683</v>
      </c>
      <c r="DQ2" t="s">
        <v>685</v>
      </c>
      <c r="DR2" t="s">
        <v>687</v>
      </c>
      <c r="DS2" s="27" t="s">
        <v>397</v>
      </c>
      <c r="DT2" s="27" t="s">
        <v>284</v>
      </c>
      <c r="DZ2" s="39" t="s">
        <v>1030</v>
      </c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M2" s="40" t="s">
        <v>1030</v>
      </c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FA2" s="41" t="s">
        <v>1030</v>
      </c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O2" s="49" t="s">
        <v>1031</v>
      </c>
      <c r="FP2" s="49"/>
      <c r="FQ2" s="49"/>
      <c r="FR2" s="49"/>
      <c r="FS2" s="43" t="s">
        <v>1032</v>
      </c>
      <c r="FT2" s="43"/>
      <c r="FU2" s="43"/>
      <c r="FW2" t="s">
        <v>342</v>
      </c>
      <c r="FX2" t="s">
        <v>345</v>
      </c>
      <c r="FY2" t="s">
        <v>348</v>
      </c>
      <c r="FZ2" t="s">
        <v>351</v>
      </c>
      <c r="GA2" t="s">
        <v>354</v>
      </c>
      <c r="GB2" t="s">
        <v>358</v>
      </c>
      <c r="GC2" t="s">
        <v>362</v>
      </c>
      <c r="GD2" t="s">
        <v>366</v>
      </c>
      <c r="GE2" t="s">
        <v>370</v>
      </c>
      <c r="GF2" t="s">
        <v>374</v>
      </c>
      <c r="GH2" s="50" t="s">
        <v>1033</v>
      </c>
      <c r="GI2" s="50"/>
      <c r="GJ2" s="50"/>
      <c r="GK2" s="50"/>
      <c r="GL2" s="43" t="s">
        <v>1032</v>
      </c>
      <c r="GM2" s="43"/>
      <c r="GN2" s="43"/>
      <c r="GZ2" s="51" t="s">
        <v>18</v>
      </c>
      <c r="HA2" s="51"/>
      <c r="HB2" s="51"/>
      <c r="HC2" s="51"/>
      <c r="HD2" s="43" t="s">
        <v>1032</v>
      </c>
      <c r="HE2" s="43"/>
      <c r="HF2" s="43"/>
      <c r="HV2" s="49" t="s">
        <v>1031</v>
      </c>
      <c r="HW2" s="49"/>
      <c r="HX2" s="42"/>
      <c r="HY2" s="42"/>
      <c r="IA2" t="s">
        <v>354</v>
      </c>
      <c r="IB2" t="s">
        <v>358</v>
      </c>
      <c r="IC2" t="s">
        <v>362</v>
      </c>
      <c r="ID2" t="s">
        <v>366</v>
      </c>
      <c r="IE2" t="s">
        <v>370</v>
      </c>
      <c r="IF2" t="s">
        <v>374</v>
      </c>
      <c r="IG2" t="s">
        <v>378</v>
      </c>
      <c r="IH2" t="s">
        <v>382</v>
      </c>
      <c r="II2" t="s">
        <v>385</v>
      </c>
      <c r="IJ2" t="s">
        <v>388</v>
      </c>
      <c r="IK2" t="s">
        <v>391</v>
      </c>
      <c r="IX2" s="50" t="s">
        <v>1033</v>
      </c>
      <c r="IY2" s="50"/>
      <c r="IZ2" s="42"/>
      <c r="JA2" s="42"/>
      <c r="JV2" s="51" t="s">
        <v>1034</v>
      </c>
      <c r="JW2" s="51"/>
      <c r="JX2" s="42"/>
      <c r="JY2" s="42"/>
      <c r="KT2" s="49" t="s">
        <v>1031</v>
      </c>
      <c r="KU2" s="49"/>
      <c r="KV2" s="42"/>
      <c r="KW2" s="42"/>
      <c r="KY2">
        <v>2.0245000000000002</v>
      </c>
      <c r="KZ2">
        <v>2.3839199999999998</v>
      </c>
      <c r="LA2">
        <v>1.7439</v>
      </c>
      <c r="LB2">
        <v>2.3706399999999999</v>
      </c>
      <c r="LC2">
        <v>2.7879299999999998</v>
      </c>
      <c r="LD2">
        <v>1.8855900000000001</v>
      </c>
      <c r="LE2">
        <v>2.5295200000000002</v>
      </c>
      <c r="LF2">
        <v>2.2911100000000002</v>
      </c>
      <c r="LG2">
        <v>2.5125000000000002</v>
      </c>
      <c r="LH2">
        <v>3.1923300000000001</v>
      </c>
      <c r="LI2">
        <v>1.9295800000000001</v>
      </c>
      <c r="LJ2">
        <v>3.5906799999999999</v>
      </c>
      <c r="LK2">
        <v>1.9249099999999999</v>
      </c>
      <c r="LL2">
        <v>3.9256099999999998</v>
      </c>
      <c r="LM2">
        <v>1.86676</v>
      </c>
      <c r="LN2">
        <v>2.39167</v>
      </c>
      <c r="LW2" s="50" t="s">
        <v>1033</v>
      </c>
      <c r="LX2" s="50"/>
      <c r="LY2" s="42"/>
      <c r="LZ2" s="42"/>
      <c r="MB2">
        <v>1.36381</v>
      </c>
      <c r="MC2">
        <v>1.63124</v>
      </c>
      <c r="MD2">
        <v>1.5919099999999999</v>
      </c>
      <c r="ME2">
        <v>1.58748</v>
      </c>
      <c r="MF2">
        <v>1.62626</v>
      </c>
      <c r="MG2">
        <v>1.5244</v>
      </c>
      <c r="MH2">
        <v>1.7787500000000001</v>
      </c>
      <c r="MI2">
        <v>1.5179199999999999</v>
      </c>
      <c r="MJ2">
        <v>1.5579099999999999</v>
      </c>
      <c r="MK2">
        <v>1.59433</v>
      </c>
      <c r="ML2">
        <v>1.4754799999999999</v>
      </c>
      <c r="MM2">
        <v>1.355</v>
      </c>
      <c r="MN2">
        <v>1.68452</v>
      </c>
      <c r="MO2">
        <v>1.9021300000000001</v>
      </c>
      <c r="MP2">
        <v>1.9021300000000001</v>
      </c>
      <c r="MQ2">
        <v>1.77607</v>
      </c>
      <c r="MR2">
        <v>1.3237300000000001</v>
      </c>
      <c r="MS2">
        <v>2.3624499999999999</v>
      </c>
      <c r="MT2">
        <v>1.85317</v>
      </c>
      <c r="MU2">
        <v>1.8064199999999999</v>
      </c>
      <c r="MZ2" s="51" t="s">
        <v>10</v>
      </c>
      <c r="NA2" s="51"/>
      <c r="NB2" s="42"/>
      <c r="NC2" s="42"/>
      <c r="NZ2" s="49" t="s">
        <v>1031</v>
      </c>
      <c r="OA2" s="49"/>
      <c r="OC2" s="50" t="s">
        <v>9</v>
      </c>
      <c r="OD2" s="50"/>
      <c r="OF2" s="51" t="s">
        <v>10</v>
      </c>
      <c r="OG2" s="51"/>
      <c r="OI2" t="s">
        <v>2</v>
      </c>
      <c r="OJ2" t="s">
        <v>3</v>
      </c>
      <c r="OK2" t="s">
        <v>4</v>
      </c>
      <c r="OL2" s="43" t="s">
        <v>1035</v>
      </c>
      <c r="OM2" s="43"/>
      <c r="ON2" s="43" t="s">
        <v>1036</v>
      </c>
      <c r="OO2" s="43"/>
      <c r="OP2" s="43" t="s">
        <v>1037</v>
      </c>
      <c r="OQ2" s="43"/>
      <c r="OR2" s="43" t="s">
        <v>1038</v>
      </c>
      <c r="OS2" s="43"/>
      <c r="OT2" s="43" t="s">
        <v>1039</v>
      </c>
      <c r="OU2" s="43"/>
      <c r="OV2" s="43" t="s">
        <v>1040</v>
      </c>
      <c r="OW2" s="43"/>
      <c r="OX2" s="43" t="s">
        <v>1041</v>
      </c>
      <c r="OY2" s="43"/>
      <c r="OZ2" s="43" t="s">
        <v>1042</v>
      </c>
      <c r="PA2" s="43"/>
      <c r="PB2" t="s">
        <v>1043</v>
      </c>
      <c r="PD2" s="1" t="s">
        <v>1044</v>
      </c>
      <c r="PE2" s="1" t="s">
        <v>1045</v>
      </c>
      <c r="PH2" t="s">
        <v>2</v>
      </c>
      <c r="PI2" t="s">
        <v>3</v>
      </c>
      <c r="PJ2" t="s">
        <v>4</v>
      </c>
      <c r="PK2" s="43" t="s">
        <v>1035</v>
      </c>
      <c r="PL2" s="43"/>
      <c r="PM2" s="43" t="s">
        <v>1036</v>
      </c>
      <c r="PN2" s="43"/>
      <c r="PO2" s="43" t="s">
        <v>1037</v>
      </c>
      <c r="PP2" s="43"/>
      <c r="PQ2" s="43" t="s">
        <v>1038</v>
      </c>
      <c r="PR2" s="43"/>
      <c r="PS2" s="43" t="s">
        <v>1039</v>
      </c>
      <c r="PT2" s="43"/>
      <c r="PU2" s="43" t="s">
        <v>1040</v>
      </c>
      <c r="PV2" s="43"/>
      <c r="PW2" s="43" t="s">
        <v>1041</v>
      </c>
      <c r="PX2" s="43"/>
      <c r="PY2" s="43" t="s">
        <v>1042</v>
      </c>
      <c r="PZ2" s="43"/>
      <c r="QA2" t="s">
        <v>1043</v>
      </c>
      <c r="QC2" s="50" t="s">
        <v>1046</v>
      </c>
      <c r="QD2" s="50"/>
      <c r="QF2" t="s">
        <v>2</v>
      </c>
      <c r="QG2" t="s">
        <v>3</v>
      </c>
      <c r="QH2" t="s">
        <v>4</v>
      </c>
      <c r="QI2" s="43" t="s">
        <v>1035</v>
      </c>
      <c r="QJ2" s="43"/>
      <c r="QK2" s="43" t="s">
        <v>1036</v>
      </c>
      <c r="QL2" s="43"/>
      <c r="QM2" s="43" t="s">
        <v>1037</v>
      </c>
      <c r="QN2" s="43"/>
      <c r="QO2" s="43" t="s">
        <v>1038</v>
      </c>
      <c r="QP2" s="43"/>
      <c r="QQ2" s="43" t="s">
        <v>1039</v>
      </c>
      <c r="QR2" s="43"/>
      <c r="QS2" s="43" t="s">
        <v>1040</v>
      </c>
      <c r="QT2" s="43"/>
      <c r="QU2" s="43" t="s">
        <v>1041</v>
      </c>
      <c r="QV2" s="43"/>
      <c r="QW2" s="43" t="s">
        <v>1042</v>
      </c>
      <c r="QX2" s="43"/>
      <c r="QY2" t="s">
        <v>1043</v>
      </c>
      <c r="RA2" s="51" t="s">
        <v>1047</v>
      </c>
      <c r="RB2" s="51"/>
    </row>
    <row r="3" spans="1:470" ht="13.15" x14ac:dyDescent="0.4">
      <c r="A3">
        <v>50</v>
      </c>
      <c r="B3">
        <v>1.5</v>
      </c>
      <c r="C3">
        <v>0</v>
      </c>
      <c r="D3">
        <v>2.5</v>
      </c>
      <c r="E3">
        <v>7.5</v>
      </c>
      <c r="F3">
        <v>4.5</v>
      </c>
      <c r="G3">
        <v>3</v>
      </c>
      <c r="H3">
        <v>5.5</v>
      </c>
      <c r="I3">
        <v>10</v>
      </c>
      <c r="J3">
        <v>8.5</v>
      </c>
      <c r="K3">
        <v>4</v>
      </c>
      <c r="L3">
        <v>0</v>
      </c>
      <c r="M3">
        <v>2</v>
      </c>
      <c r="N3">
        <v>2</v>
      </c>
      <c r="O3">
        <v>5</v>
      </c>
      <c r="P3">
        <v>1.5</v>
      </c>
      <c r="Q3">
        <v>3.5</v>
      </c>
      <c r="R3">
        <v>0.5</v>
      </c>
      <c r="S3">
        <v>4.5</v>
      </c>
      <c r="T3">
        <v>5.5</v>
      </c>
      <c r="U3">
        <v>5</v>
      </c>
      <c r="V3">
        <v>1.5</v>
      </c>
      <c r="W3">
        <v>6</v>
      </c>
      <c r="X3">
        <v>1.5</v>
      </c>
      <c r="Y3">
        <v>4</v>
      </c>
      <c r="Z3">
        <v>13.5</v>
      </c>
      <c r="AA3">
        <v>2</v>
      </c>
      <c r="AB3">
        <v>5</v>
      </c>
      <c r="AC3">
        <v>0</v>
      </c>
      <c r="AD3">
        <v>7</v>
      </c>
      <c r="AE3">
        <v>8.5</v>
      </c>
      <c r="AF3">
        <v>1.5</v>
      </c>
      <c r="AG3">
        <v>0</v>
      </c>
      <c r="AH3">
        <v>2.5</v>
      </c>
      <c r="AI3">
        <v>2</v>
      </c>
      <c r="AJ3">
        <v>2.5</v>
      </c>
      <c r="AK3">
        <v>3.5</v>
      </c>
      <c r="AL3">
        <v>10.5</v>
      </c>
      <c r="AM3">
        <v>2.5</v>
      </c>
      <c r="AN3">
        <v>3.5</v>
      </c>
      <c r="AO3">
        <v>12.5</v>
      </c>
      <c r="AP3">
        <v>11</v>
      </c>
      <c r="AQ3">
        <v>3.5</v>
      </c>
      <c r="AR3">
        <v>0</v>
      </c>
      <c r="AS3">
        <v>0</v>
      </c>
      <c r="AT3">
        <v>1.5</v>
      </c>
      <c r="AU3">
        <v>6.5</v>
      </c>
      <c r="AV3">
        <v>1</v>
      </c>
      <c r="AW3">
        <v>0</v>
      </c>
      <c r="AX3">
        <v>2.5</v>
      </c>
      <c r="AY3">
        <v>8</v>
      </c>
      <c r="AZ3">
        <v>5</v>
      </c>
      <c r="BA3">
        <v>2.5</v>
      </c>
      <c r="BB3">
        <v>4.5</v>
      </c>
      <c r="BC3">
        <v>3.5</v>
      </c>
      <c r="BD3">
        <v>0</v>
      </c>
      <c r="BE3">
        <v>8</v>
      </c>
      <c r="BF3">
        <v>10.5</v>
      </c>
      <c r="BG3">
        <v>3</v>
      </c>
      <c r="BH3">
        <v>0</v>
      </c>
      <c r="BI3">
        <v>3</v>
      </c>
      <c r="BJ3">
        <v>4</v>
      </c>
      <c r="BK3">
        <v>1</v>
      </c>
      <c r="BL3">
        <v>1.5</v>
      </c>
      <c r="BM3">
        <v>8.5</v>
      </c>
      <c r="BN3">
        <v>0.5</v>
      </c>
      <c r="BO3">
        <v>2.5</v>
      </c>
      <c r="BP3">
        <v>0</v>
      </c>
      <c r="BQ3">
        <v>6</v>
      </c>
      <c r="BR3">
        <v>2.5</v>
      </c>
      <c r="BS3">
        <v>16.5</v>
      </c>
      <c r="BT3">
        <v>3.5</v>
      </c>
      <c r="BU3">
        <v>2.5</v>
      </c>
      <c r="BV3">
        <v>2</v>
      </c>
      <c r="BW3">
        <v>7</v>
      </c>
      <c r="BX3">
        <v>1.5</v>
      </c>
      <c r="BY3">
        <v>5</v>
      </c>
      <c r="BZ3">
        <v>17.5</v>
      </c>
      <c r="CA3">
        <v>0.5</v>
      </c>
      <c r="CB3">
        <v>9</v>
      </c>
      <c r="CC3">
        <v>9</v>
      </c>
      <c r="CD3">
        <v>14</v>
      </c>
      <c r="CE3">
        <v>2</v>
      </c>
      <c r="CF3">
        <v>7.5</v>
      </c>
      <c r="CG3">
        <v>3.5</v>
      </c>
      <c r="CH3">
        <v>4</v>
      </c>
      <c r="CI3">
        <v>11.5</v>
      </c>
      <c r="CJ3">
        <v>24.5</v>
      </c>
      <c r="CK3">
        <v>1.5</v>
      </c>
      <c r="CL3">
        <v>6.5</v>
      </c>
      <c r="CM3">
        <v>11.5</v>
      </c>
      <c r="CN3">
        <v>3.5</v>
      </c>
      <c r="CO3">
        <v>3</v>
      </c>
      <c r="CP3">
        <v>2</v>
      </c>
      <c r="CQ3">
        <v>1</v>
      </c>
      <c r="CR3">
        <v>11.5</v>
      </c>
      <c r="CS3">
        <v>14.5</v>
      </c>
      <c r="CT3">
        <v>8</v>
      </c>
      <c r="CU3">
        <v>2.5</v>
      </c>
      <c r="CV3">
        <v>3.5</v>
      </c>
      <c r="CW3">
        <v>8</v>
      </c>
      <c r="CX3">
        <v>12</v>
      </c>
      <c r="CY3">
        <v>5.5</v>
      </c>
      <c r="CZ3">
        <v>7.5</v>
      </c>
      <c r="DA3">
        <v>3.5</v>
      </c>
      <c r="DB3">
        <v>7</v>
      </c>
      <c r="DC3">
        <v>4</v>
      </c>
      <c r="DD3">
        <v>4</v>
      </c>
      <c r="DE3">
        <v>8</v>
      </c>
      <c r="DF3">
        <v>0.5</v>
      </c>
      <c r="DG3">
        <v>1.5</v>
      </c>
      <c r="DH3">
        <v>3</v>
      </c>
      <c r="DI3">
        <v>2</v>
      </c>
      <c r="DJ3">
        <v>2</v>
      </c>
      <c r="DK3">
        <v>6</v>
      </c>
      <c r="DL3">
        <v>2.5</v>
      </c>
      <c r="DM3">
        <v>3.4</v>
      </c>
      <c r="DN3">
        <v>7</v>
      </c>
      <c r="DO3">
        <v>10.5</v>
      </c>
      <c r="DP3">
        <v>2</v>
      </c>
      <c r="DQ3">
        <v>3</v>
      </c>
      <c r="DR3">
        <v>8.5</v>
      </c>
      <c r="DS3" s="1">
        <f>AVERAGE(Supplementary_Fig7!B3:DR3)</f>
        <v>4.8628099173553716</v>
      </c>
      <c r="DT3" s="1">
        <f t="shared" ref="DT3:DT10" si="0">STDEV(B3:DR3)/SQRT(121)</f>
        <v>0.3873679144497979</v>
      </c>
      <c r="DZ3" t="s">
        <v>2</v>
      </c>
      <c r="EA3" t="s">
        <v>3</v>
      </c>
      <c r="EB3" t="s">
        <v>4</v>
      </c>
      <c r="EC3" t="s">
        <v>1035</v>
      </c>
      <c r="ED3" t="s">
        <v>1036</v>
      </c>
      <c r="EE3" t="s">
        <v>1037</v>
      </c>
      <c r="EF3" t="s">
        <v>1038</v>
      </c>
      <c r="EG3" t="s">
        <v>1039</v>
      </c>
      <c r="EH3" t="s">
        <v>1040</v>
      </c>
      <c r="EI3" t="s">
        <v>1041</v>
      </c>
      <c r="EJ3" t="s">
        <v>1042</v>
      </c>
      <c r="EK3" t="s">
        <v>1043</v>
      </c>
      <c r="EM3" t="s">
        <v>2</v>
      </c>
      <c r="EN3" t="s">
        <v>3</v>
      </c>
      <c r="EO3" t="s">
        <v>4</v>
      </c>
      <c r="EP3" t="s">
        <v>1035</v>
      </c>
      <c r="EQ3" t="s">
        <v>1036</v>
      </c>
      <c r="ER3" t="s">
        <v>1037</v>
      </c>
      <c r="ES3" t="s">
        <v>1038</v>
      </c>
      <c r="ET3" t="s">
        <v>1039</v>
      </c>
      <c r="EU3" t="s">
        <v>1040</v>
      </c>
      <c r="EV3" t="s">
        <v>1041</v>
      </c>
      <c r="EW3" t="s">
        <v>1042</v>
      </c>
      <c r="EX3" t="s">
        <v>1043</v>
      </c>
      <c r="FA3" t="s">
        <v>2</v>
      </c>
      <c r="FB3" t="s">
        <v>3</v>
      </c>
      <c r="FC3" t="s">
        <v>4</v>
      </c>
      <c r="FD3" t="s">
        <v>1035</v>
      </c>
      <c r="FE3" t="s">
        <v>1036</v>
      </c>
      <c r="FF3" t="s">
        <v>1037</v>
      </c>
      <c r="FG3" t="s">
        <v>1038</v>
      </c>
      <c r="FH3" t="s">
        <v>1039</v>
      </c>
      <c r="FI3" t="s">
        <v>1040</v>
      </c>
      <c r="FJ3" t="s">
        <v>1041</v>
      </c>
      <c r="FK3" t="s">
        <v>1042</v>
      </c>
      <c r="FL3" t="s">
        <v>1043</v>
      </c>
      <c r="FO3" t="s">
        <v>15</v>
      </c>
      <c r="FP3" t="s">
        <v>1048</v>
      </c>
      <c r="FQ3" t="s">
        <v>1049</v>
      </c>
      <c r="FR3" t="s">
        <v>1050</v>
      </c>
      <c r="FS3" t="s">
        <v>15</v>
      </c>
      <c r="FT3" t="s">
        <v>1048</v>
      </c>
      <c r="FU3" t="s">
        <v>1049</v>
      </c>
      <c r="FW3">
        <v>66.708100000000002</v>
      </c>
      <c r="FX3">
        <v>29.532299999999999</v>
      </c>
      <c r="FY3">
        <v>57.185000000000002</v>
      </c>
      <c r="FZ3">
        <v>42.076500000000003</v>
      </c>
      <c r="GA3">
        <v>57.121200000000002</v>
      </c>
      <c r="GB3">
        <v>68.136200000000002</v>
      </c>
      <c r="GC3">
        <v>39.311300000000003</v>
      </c>
      <c r="GD3">
        <v>66.283699999999996</v>
      </c>
      <c r="GE3">
        <v>36.8262</v>
      </c>
      <c r="GF3">
        <v>29.708400000000001</v>
      </c>
      <c r="GH3" t="s">
        <v>15</v>
      </c>
      <c r="GI3" t="s">
        <v>1048</v>
      </c>
      <c r="GJ3" t="s">
        <v>1049</v>
      </c>
      <c r="GL3" t="s">
        <v>15</v>
      </c>
      <c r="GM3" t="s">
        <v>1048</v>
      </c>
      <c r="GN3" t="s">
        <v>1049</v>
      </c>
      <c r="GQ3" t="s">
        <v>343</v>
      </c>
      <c r="GR3" t="s">
        <v>908</v>
      </c>
      <c r="GS3" t="s">
        <v>346</v>
      </c>
      <c r="GT3" t="s">
        <v>349</v>
      </c>
      <c r="GU3" t="s">
        <v>352</v>
      </c>
      <c r="GZ3" t="s">
        <v>15</v>
      </c>
      <c r="HA3" t="s">
        <v>1048</v>
      </c>
      <c r="HB3" t="s">
        <v>1049</v>
      </c>
      <c r="HD3" t="s">
        <v>15</v>
      </c>
      <c r="HE3" t="s">
        <v>1048</v>
      </c>
      <c r="HF3" t="s">
        <v>1049</v>
      </c>
      <c r="HV3" t="s">
        <v>15</v>
      </c>
      <c r="IA3">
        <v>84.991500000000002</v>
      </c>
      <c r="IB3">
        <v>89.503500000000003</v>
      </c>
      <c r="IC3">
        <v>69.927999999999997</v>
      </c>
      <c r="ID3">
        <v>79.510499999999993</v>
      </c>
      <c r="IE3">
        <v>58.091700000000003</v>
      </c>
      <c r="IF3">
        <v>50.65</v>
      </c>
      <c r="IG3">
        <v>84.072900000000004</v>
      </c>
      <c r="IH3">
        <v>65.783699999999996</v>
      </c>
      <c r="II3">
        <v>83.615099999999998</v>
      </c>
      <c r="IJ3">
        <v>51.853900000000003</v>
      </c>
      <c r="IK3">
        <v>87.972999999999999</v>
      </c>
      <c r="IX3" t="s">
        <v>15</v>
      </c>
      <c r="JC3" t="s">
        <v>343</v>
      </c>
      <c r="JD3" t="s">
        <v>908</v>
      </c>
      <c r="JE3" t="s">
        <v>346</v>
      </c>
      <c r="JF3" t="s">
        <v>349</v>
      </c>
      <c r="JG3" t="s">
        <v>352</v>
      </c>
      <c r="JH3" t="s">
        <v>355</v>
      </c>
      <c r="JI3" t="s">
        <v>359</v>
      </c>
      <c r="JJ3" t="s">
        <v>363</v>
      </c>
      <c r="JK3" t="s">
        <v>367</v>
      </c>
      <c r="JL3" t="s">
        <v>371</v>
      </c>
      <c r="JM3" t="s">
        <v>375</v>
      </c>
      <c r="JN3" t="s">
        <v>1024</v>
      </c>
      <c r="JO3" t="s">
        <v>1051</v>
      </c>
      <c r="JV3" t="s">
        <v>15</v>
      </c>
      <c r="JZ3" t="s">
        <v>344</v>
      </c>
      <c r="KA3" t="s">
        <v>347</v>
      </c>
      <c r="KB3" t="s">
        <v>350</v>
      </c>
      <c r="KC3" t="s">
        <v>353</v>
      </c>
      <c r="KD3" t="s">
        <v>356</v>
      </c>
      <c r="KE3" t="s">
        <v>360</v>
      </c>
      <c r="KF3" t="s">
        <v>364</v>
      </c>
      <c r="KG3" t="s">
        <v>368</v>
      </c>
      <c r="KH3" t="s">
        <v>372</v>
      </c>
      <c r="KI3" t="s">
        <v>376</v>
      </c>
      <c r="KJ3" t="s">
        <v>380</v>
      </c>
      <c r="KK3" t="s">
        <v>384</v>
      </c>
      <c r="KL3" t="s">
        <v>387</v>
      </c>
      <c r="KM3" t="s">
        <v>390</v>
      </c>
      <c r="KT3" t="s">
        <v>15</v>
      </c>
      <c r="KY3">
        <v>1.9229700000000001</v>
      </c>
      <c r="KZ3">
        <v>2.3630399999999998</v>
      </c>
      <c r="LA3">
        <v>1.70448</v>
      </c>
      <c r="LB3">
        <v>2.4909300000000001</v>
      </c>
      <c r="LC3">
        <v>2.0381800000000001</v>
      </c>
      <c r="LD3">
        <v>1.87252</v>
      </c>
      <c r="LE3">
        <v>2.2089799999999999</v>
      </c>
      <c r="LF3">
        <v>2.0919300000000001</v>
      </c>
      <c r="LG3">
        <v>2.5044499999999998</v>
      </c>
      <c r="LH3">
        <v>3.2882199999999999</v>
      </c>
      <c r="LI3">
        <v>1.83555</v>
      </c>
      <c r="LJ3">
        <v>4.0310699999999997</v>
      </c>
      <c r="LK3">
        <v>1.8897600000000001</v>
      </c>
      <c r="LL3">
        <v>4.3753599999999997</v>
      </c>
      <c r="LM3">
        <v>1.7916099999999999</v>
      </c>
      <c r="LN3">
        <v>2.3240699999999999</v>
      </c>
      <c r="LW3" t="s">
        <v>15</v>
      </c>
      <c r="MB3">
        <v>1.3770199999999999</v>
      </c>
      <c r="MC3">
        <v>1.65811</v>
      </c>
      <c r="MD3">
        <v>1.5988899999999999</v>
      </c>
      <c r="ME3">
        <v>1.59457</v>
      </c>
      <c r="MF3">
        <v>1.60877</v>
      </c>
      <c r="MG3">
        <v>1.52999</v>
      </c>
      <c r="MH3">
        <v>1.9077900000000001</v>
      </c>
      <c r="MI3">
        <v>1.46898</v>
      </c>
      <c r="MJ3">
        <v>1.54959</v>
      </c>
      <c r="MK3">
        <v>1.58633</v>
      </c>
      <c r="ML3">
        <v>1.51193</v>
      </c>
      <c r="MM3">
        <v>1.3712299999999999</v>
      </c>
      <c r="MN3">
        <v>1.6884399999999999</v>
      </c>
      <c r="MO3">
        <v>1.93066</v>
      </c>
      <c r="MP3">
        <v>1.93066</v>
      </c>
      <c r="MQ3">
        <v>1.7876700000000001</v>
      </c>
      <c r="MR3">
        <v>1.3077099999999999</v>
      </c>
      <c r="MS3">
        <v>2.34524</v>
      </c>
      <c r="MT3">
        <v>1.8718900000000001</v>
      </c>
      <c r="MU3">
        <v>1.8383499999999999</v>
      </c>
      <c r="MZ3" t="s">
        <v>15</v>
      </c>
      <c r="ND3" t="s">
        <v>344</v>
      </c>
      <c r="NE3" t="s">
        <v>347</v>
      </c>
      <c r="NF3" t="s">
        <v>350</v>
      </c>
      <c r="NG3" t="s">
        <v>353</v>
      </c>
      <c r="NH3" t="s">
        <v>356</v>
      </c>
      <c r="NI3" t="s">
        <v>360</v>
      </c>
      <c r="NJ3" t="s">
        <v>364</v>
      </c>
      <c r="NK3" t="s">
        <v>368</v>
      </c>
      <c r="NL3" t="s">
        <v>372</v>
      </c>
      <c r="NM3" t="s">
        <v>376</v>
      </c>
      <c r="NN3" t="s">
        <v>380</v>
      </c>
      <c r="NO3" t="s">
        <v>384</v>
      </c>
      <c r="NP3" t="s">
        <v>387</v>
      </c>
      <c r="NQ3" t="s">
        <v>390</v>
      </c>
      <c r="NR3" t="s">
        <v>393</v>
      </c>
      <c r="NS3" t="s">
        <v>396</v>
      </c>
      <c r="NT3" t="s">
        <v>400</v>
      </c>
      <c r="NU3" t="s">
        <v>403</v>
      </c>
      <c r="NV3" t="s">
        <v>406</v>
      </c>
      <c r="NW3" t="s">
        <v>409</v>
      </c>
      <c r="NZ3" t="s">
        <v>15</v>
      </c>
      <c r="OC3" t="s">
        <v>15</v>
      </c>
      <c r="OF3" t="s">
        <v>15</v>
      </c>
      <c r="OL3" s="1" t="s">
        <v>1045</v>
      </c>
      <c r="OM3" s="1" t="s">
        <v>1052</v>
      </c>
      <c r="ON3" s="1" t="s">
        <v>1045</v>
      </c>
      <c r="OO3" s="1" t="s">
        <v>1052</v>
      </c>
      <c r="OP3" s="1" t="s">
        <v>1045</v>
      </c>
      <c r="OQ3" s="1" t="s">
        <v>1052</v>
      </c>
      <c r="OR3" s="1" t="s">
        <v>1045</v>
      </c>
      <c r="OS3" s="1" t="s">
        <v>1052</v>
      </c>
      <c r="OT3" s="1" t="s">
        <v>1045</v>
      </c>
      <c r="OU3" s="1" t="s">
        <v>1052</v>
      </c>
      <c r="OV3" s="1" t="s">
        <v>1045</v>
      </c>
      <c r="OW3" s="1" t="s">
        <v>1052</v>
      </c>
      <c r="OX3" s="1" t="s">
        <v>1045</v>
      </c>
      <c r="OY3" s="1" t="s">
        <v>1052</v>
      </c>
      <c r="OZ3" s="1" t="s">
        <v>1045</v>
      </c>
      <c r="PA3" s="1" t="s">
        <v>1052</v>
      </c>
      <c r="PD3">
        <v>-78.55</v>
      </c>
      <c r="PE3">
        <v>7.61</v>
      </c>
      <c r="PK3" s="1" t="s">
        <v>1045</v>
      </c>
      <c r="PL3" s="1" t="s">
        <v>1052</v>
      </c>
      <c r="PM3" s="1" t="s">
        <v>1045</v>
      </c>
      <c r="PN3" s="1" t="s">
        <v>1052</v>
      </c>
      <c r="PO3" s="1" t="s">
        <v>1045</v>
      </c>
      <c r="PP3" s="1" t="s">
        <v>1052</v>
      </c>
      <c r="PQ3" s="1" t="s">
        <v>1045</v>
      </c>
      <c r="PR3" s="1" t="s">
        <v>1052</v>
      </c>
      <c r="PS3" s="1" t="s">
        <v>1045</v>
      </c>
      <c r="PT3" s="1" t="s">
        <v>1052</v>
      </c>
      <c r="PU3" s="1" t="s">
        <v>1045</v>
      </c>
      <c r="PV3" s="1" t="s">
        <v>1052</v>
      </c>
      <c r="PW3" s="1" t="s">
        <v>1045</v>
      </c>
      <c r="PX3" s="1" t="s">
        <v>1052</v>
      </c>
      <c r="PY3" s="1" t="s">
        <v>1045</v>
      </c>
      <c r="PZ3" s="1" t="s">
        <v>1052</v>
      </c>
      <c r="QC3" s="1" t="s">
        <v>1044</v>
      </c>
      <c r="QD3" s="1" t="s">
        <v>1045</v>
      </c>
      <c r="QI3" s="1" t="s">
        <v>1045</v>
      </c>
      <c r="QJ3" s="1" t="s">
        <v>1052</v>
      </c>
      <c r="QK3" s="1" t="s">
        <v>1045</v>
      </c>
      <c r="QL3" s="1" t="s">
        <v>1052</v>
      </c>
      <c r="QM3" s="1" t="s">
        <v>1045</v>
      </c>
      <c r="QN3" s="1" t="s">
        <v>1052</v>
      </c>
      <c r="QO3" s="1" t="s">
        <v>1045</v>
      </c>
      <c r="QP3" s="1" t="s">
        <v>1052</v>
      </c>
      <c r="QQ3" s="1" t="s">
        <v>1045</v>
      </c>
      <c r="QR3" s="1" t="s">
        <v>1052</v>
      </c>
      <c r="QS3" s="1" t="s">
        <v>1045</v>
      </c>
      <c r="QT3" s="1" t="s">
        <v>1052</v>
      </c>
      <c r="QU3" s="1" t="s">
        <v>1045</v>
      </c>
      <c r="QV3" s="1" t="s">
        <v>1052</v>
      </c>
      <c r="QW3" s="1" t="s">
        <v>1045</v>
      </c>
      <c r="QX3" s="1" t="s">
        <v>1052</v>
      </c>
      <c r="RA3" s="1" t="s">
        <v>1044</v>
      </c>
      <c r="RB3" s="1" t="s">
        <v>1045</v>
      </c>
    </row>
    <row r="4" spans="1:470" ht="13.15" x14ac:dyDescent="0.4">
      <c r="A4">
        <v>100</v>
      </c>
      <c r="B4">
        <v>3</v>
      </c>
      <c r="C4">
        <v>1</v>
      </c>
      <c r="D4">
        <v>5.5</v>
      </c>
      <c r="E4">
        <v>10.5</v>
      </c>
      <c r="F4">
        <v>12</v>
      </c>
      <c r="G4">
        <v>5</v>
      </c>
      <c r="H4">
        <v>10</v>
      </c>
      <c r="I4">
        <v>17</v>
      </c>
      <c r="J4">
        <v>14</v>
      </c>
      <c r="K4">
        <v>8.5</v>
      </c>
      <c r="L4">
        <v>1</v>
      </c>
      <c r="M4">
        <v>3.5</v>
      </c>
      <c r="N4">
        <v>4.5</v>
      </c>
      <c r="O4">
        <v>12.5</v>
      </c>
      <c r="P4">
        <v>4</v>
      </c>
      <c r="Q4">
        <v>6</v>
      </c>
      <c r="R4">
        <v>0.5</v>
      </c>
      <c r="S4">
        <v>9</v>
      </c>
      <c r="T4">
        <v>10</v>
      </c>
      <c r="U4">
        <v>7.5</v>
      </c>
      <c r="V4">
        <v>9.5</v>
      </c>
      <c r="W4">
        <v>13.5</v>
      </c>
      <c r="X4">
        <v>2.5</v>
      </c>
      <c r="Y4">
        <v>6.5</v>
      </c>
      <c r="Z4">
        <v>20.5</v>
      </c>
      <c r="AA4">
        <v>4.5</v>
      </c>
      <c r="AB4">
        <v>10.5</v>
      </c>
      <c r="AC4">
        <v>1.5</v>
      </c>
      <c r="AD4">
        <v>13.5</v>
      </c>
      <c r="AE4">
        <v>17.5</v>
      </c>
      <c r="AF4">
        <v>4</v>
      </c>
      <c r="AG4">
        <v>2.5</v>
      </c>
      <c r="AH4">
        <v>5.5</v>
      </c>
      <c r="AI4">
        <v>3.5</v>
      </c>
      <c r="AJ4">
        <v>4</v>
      </c>
      <c r="AK4">
        <v>6</v>
      </c>
      <c r="AL4">
        <v>20</v>
      </c>
      <c r="AM4">
        <v>6</v>
      </c>
      <c r="AN4">
        <v>7</v>
      </c>
      <c r="AO4">
        <v>21</v>
      </c>
      <c r="AP4">
        <v>18</v>
      </c>
      <c r="AQ4">
        <v>8</v>
      </c>
      <c r="AR4">
        <v>2.5</v>
      </c>
      <c r="AS4">
        <v>1.5</v>
      </c>
      <c r="AT4">
        <v>4.5</v>
      </c>
      <c r="AU4">
        <v>10</v>
      </c>
      <c r="AV4">
        <v>5</v>
      </c>
      <c r="AW4">
        <v>1.5</v>
      </c>
      <c r="AX4">
        <v>9.5</v>
      </c>
      <c r="AY4">
        <v>18.5</v>
      </c>
      <c r="AZ4">
        <v>5.5</v>
      </c>
      <c r="BA4">
        <v>3.5</v>
      </c>
      <c r="BB4">
        <v>11</v>
      </c>
      <c r="BC4">
        <v>10</v>
      </c>
      <c r="BD4">
        <v>1</v>
      </c>
      <c r="BE4">
        <v>12</v>
      </c>
      <c r="BF4">
        <v>16</v>
      </c>
      <c r="BG4">
        <v>6.5</v>
      </c>
      <c r="BH4">
        <v>1.5</v>
      </c>
      <c r="BI4">
        <v>5</v>
      </c>
      <c r="BJ4">
        <v>8</v>
      </c>
      <c r="BK4">
        <v>1.5</v>
      </c>
      <c r="BL4">
        <v>4.5</v>
      </c>
      <c r="BM4">
        <v>11.5</v>
      </c>
      <c r="BN4">
        <v>3.5</v>
      </c>
      <c r="BO4">
        <v>4</v>
      </c>
      <c r="BP4">
        <v>1.5</v>
      </c>
      <c r="BQ4">
        <v>7.5</v>
      </c>
      <c r="BR4">
        <v>2.5</v>
      </c>
      <c r="BS4">
        <v>22</v>
      </c>
      <c r="BT4">
        <v>5.5</v>
      </c>
      <c r="BU4">
        <v>4.5</v>
      </c>
      <c r="BV4">
        <v>5</v>
      </c>
      <c r="BW4">
        <v>19.5</v>
      </c>
      <c r="BX4">
        <v>4.5</v>
      </c>
      <c r="BY4">
        <v>11.5</v>
      </c>
      <c r="BZ4">
        <v>27.5</v>
      </c>
      <c r="CA4">
        <v>1</v>
      </c>
      <c r="CB4">
        <v>19.5</v>
      </c>
      <c r="CC4">
        <v>15</v>
      </c>
      <c r="CD4">
        <v>25</v>
      </c>
      <c r="CE4">
        <v>3.5</v>
      </c>
      <c r="CF4">
        <v>14</v>
      </c>
      <c r="CG4">
        <v>8.5</v>
      </c>
      <c r="CH4">
        <v>10.5</v>
      </c>
      <c r="CI4">
        <v>22.5</v>
      </c>
      <c r="CJ4">
        <f>75/2</f>
        <v>37.5</v>
      </c>
      <c r="CK4">
        <v>3</v>
      </c>
      <c r="CL4">
        <v>12</v>
      </c>
      <c r="CM4">
        <v>24.5</v>
      </c>
      <c r="CN4">
        <v>5</v>
      </c>
      <c r="CO4">
        <v>7.5</v>
      </c>
      <c r="CP4">
        <v>5.5</v>
      </c>
      <c r="CQ4">
        <v>4</v>
      </c>
      <c r="CR4">
        <v>21</v>
      </c>
      <c r="CS4">
        <v>18.5</v>
      </c>
      <c r="CT4">
        <v>13</v>
      </c>
      <c r="CU4">
        <v>8</v>
      </c>
      <c r="CV4">
        <v>8.5</v>
      </c>
      <c r="CW4">
        <v>15</v>
      </c>
      <c r="CX4">
        <v>18.5</v>
      </c>
      <c r="CY4">
        <v>9</v>
      </c>
      <c r="CZ4">
        <v>16</v>
      </c>
      <c r="DA4">
        <v>6</v>
      </c>
      <c r="DB4">
        <v>11.5</v>
      </c>
      <c r="DC4">
        <v>8</v>
      </c>
      <c r="DD4">
        <v>7.5</v>
      </c>
      <c r="DE4">
        <v>16</v>
      </c>
      <c r="DF4">
        <v>5</v>
      </c>
      <c r="DG4">
        <v>2.5</v>
      </c>
      <c r="DH4">
        <v>7</v>
      </c>
      <c r="DI4">
        <v>2.5</v>
      </c>
      <c r="DJ4">
        <v>5</v>
      </c>
      <c r="DK4">
        <v>12</v>
      </c>
      <c r="DL4">
        <v>4.5</v>
      </c>
      <c r="DM4">
        <v>5.5</v>
      </c>
      <c r="DN4">
        <v>10.5</v>
      </c>
      <c r="DO4">
        <v>18</v>
      </c>
      <c r="DP4">
        <v>3.5</v>
      </c>
      <c r="DQ4">
        <v>7</v>
      </c>
      <c r="DR4">
        <v>12.5</v>
      </c>
      <c r="DS4" s="1">
        <f>AVERAGE(Supplementary_Fig7!B4:DR4)</f>
        <v>9.177685950413224</v>
      </c>
      <c r="DT4" s="1">
        <f t="shared" si="0"/>
        <v>0.61267768840297443</v>
      </c>
      <c r="DZ4">
        <v>291121</v>
      </c>
      <c r="EA4">
        <v>6</v>
      </c>
      <c r="EB4">
        <v>0</v>
      </c>
      <c r="EC4">
        <v>0</v>
      </c>
      <c r="ED4">
        <v>0</v>
      </c>
      <c r="EF4">
        <v>0</v>
      </c>
      <c r="EG4">
        <v>1</v>
      </c>
      <c r="EH4">
        <v>0</v>
      </c>
      <c r="EI4">
        <v>1</v>
      </c>
      <c r="EK4">
        <f t="shared" ref="EK4:EK35" si="1">SUM(EC4:EJ4)</f>
        <v>2</v>
      </c>
      <c r="EM4">
        <v>250722</v>
      </c>
      <c r="EN4">
        <v>5</v>
      </c>
      <c r="EO4">
        <v>0</v>
      </c>
      <c r="EX4">
        <f t="shared" ref="EX4:EX43" si="2">SUM(EP4:EW4)</f>
        <v>0</v>
      </c>
      <c r="FA4">
        <v>20322</v>
      </c>
      <c r="FB4">
        <v>3</v>
      </c>
      <c r="FC4">
        <v>0</v>
      </c>
      <c r="FL4">
        <f>SUM(Supplementary_Fig7!FD4:FK4)</f>
        <v>0</v>
      </c>
      <c r="FO4" t="s">
        <v>342</v>
      </c>
      <c r="FQ4">
        <v>83.21</v>
      </c>
      <c r="FS4" t="s">
        <v>342</v>
      </c>
      <c r="FU4">
        <f>63*FQ4/100</f>
        <v>52.422299999999993</v>
      </c>
      <c r="FW4">
        <v>96.5244</v>
      </c>
      <c r="FX4">
        <v>38.552500000000002</v>
      </c>
      <c r="FY4">
        <v>78.741600000000005</v>
      </c>
      <c r="FZ4">
        <v>34.2151</v>
      </c>
      <c r="GA4">
        <v>57.221400000000003</v>
      </c>
      <c r="GB4">
        <v>51.471800000000002</v>
      </c>
      <c r="GC4">
        <v>34.2179</v>
      </c>
      <c r="GE4">
        <v>58.694400000000002</v>
      </c>
      <c r="GF4">
        <v>22.734300000000001</v>
      </c>
      <c r="GH4" t="s">
        <v>343</v>
      </c>
      <c r="GJ4">
        <v>93.22</v>
      </c>
      <c r="GL4" t="s">
        <v>343</v>
      </c>
      <c r="GN4">
        <f t="shared" ref="GN4:GN15" si="3">63*GJ4/100</f>
        <v>58.7286</v>
      </c>
      <c r="GQ4">
        <v>83.917500000000004</v>
      </c>
      <c r="GR4">
        <v>59.267000000000003</v>
      </c>
      <c r="GS4">
        <v>78.5852</v>
      </c>
      <c r="GT4">
        <v>71.070499999999996</v>
      </c>
      <c r="GU4">
        <v>96.535300000000007</v>
      </c>
      <c r="GZ4" t="s">
        <v>344</v>
      </c>
      <c r="HA4">
        <v>76.17</v>
      </c>
      <c r="HD4" t="s">
        <v>344</v>
      </c>
      <c r="HE4">
        <f>63*Supplementary_Fig7!HA4/100</f>
        <v>47.987099999999998</v>
      </c>
      <c r="HJ4" t="s">
        <v>344</v>
      </c>
      <c r="HK4" t="s">
        <v>347</v>
      </c>
      <c r="HL4" t="s">
        <v>350</v>
      </c>
      <c r="HM4" t="s">
        <v>353</v>
      </c>
      <c r="HN4" t="s">
        <v>356</v>
      </c>
      <c r="HO4" t="s">
        <v>360</v>
      </c>
      <c r="HV4" t="s">
        <v>342</v>
      </c>
      <c r="HW4">
        <v>90.17</v>
      </c>
      <c r="IA4">
        <v>82.676699999999997</v>
      </c>
      <c r="IB4">
        <v>88.62</v>
      </c>
      <c r="IC4">
        <v>72.439599999999999</v>
      </c>
      <c r="ID4">
        <v>78.738399999999999</v>
      </c>
      <c r="IE4">
        <v>58.784500000000001</v>
      </c>
      <c r="IF4">
        <v>49.340800000000002</v>
      </c>
      <c r="IG4">
        <v>82.424899999999994</v>
      </c>
      <c r="IH4">
        <v>65.650899999999993</v>
      </c>
      <c r="II4">
        <v>83.279399999999995</v>
      </c>
      <c r="IJ4">
        <v>50.689700000000002</v>
      </c>
      <c r="IK4">
        <v>84.4696</v>
      </c>
      <c r="IX4" t="s">
        <v>343</v>
      </c>
      <c r="IY4">
        <v>102.68</v>
      </c>
      <c r="JC4">
        <v>102.953</v>
      </c>
      <c r="JD4">
        <v>89.375299999999996</v>
      </c>
      <c r="JE4">
        <v>100.307</v>
      </c>
      <c r="JF4">
        <v>103.18300000000001</v>
      </c>
      <c r="JG4">
        <v>103.09399999999999</v>
      </c>
      <c r="JH4">
        <v>104.131</v>
      </c>
      <c r="JI4">
        <v>77.206400000000002</v>
      </c>
      <c r="JJ4">
        <v>125.11</v>
      </c>
      <c r="JK4">
        <v>91.708399999999997</v>
      </c>
      <c r="JL4">
        <v>125.38</v>
      </c>
      <c r="JM4">
        <v>104.663</v>
      </c>
      <c r="JN4">
        <v>90.321399999999997</v>
      </c>
      <c r="JV4" t="s">
        <v>344</v>
      </c>
      <c r="JW4">
        <v>118.15</v>
      </c>
      <c r="JZ4">
        <v>117.63</v>
      </c>
      <c r="KA4">
        <v>121.44499999999999</v>
      </c>
      <c r="KB4">
        <v>68.846100000000007</v>
      </c>
      <c r="KC4">
        <v>95.2423</v>
      </c>
      <c r="KD4">
        <v>94.758600000000001</v>
      </c>
      <c r="KE4">
        <v>92.906199999999998</v>
      </c>
      <c r="KF4">
        <v>96.133399999999995</v>
      </c>
      <c r="KG4">
        <v>80.581699999999998</v>
      </c>
      <c r="KH4">
        <v>110.04</v>
      </c>
      <c r="KI4">
        <v>55.337499999999999</v>
      </c>
      <c r="KJ4">
        <v>117.752</v>
      </c>
      <c r="KK4">
        <v>97.984300000000005</v>
      </c>
      <c r="KL4">
        <v>120.279</v>
      </c>
      <c r="KM4">
        <v>99.319500000000005</v>
      </c>
      <c r="KT4" t="s">
        <v>342</v>
      </c>
      <c r="KU4">
        <v>1.83</v>
      </c>
      <c r="KY4">
        <v>1.8687800000000001</v>
      </c>
      <c r="KZ4">
        <v>2.3441000000000001</v>
      </c>
      <c r="LA4">
        <v>1.70549</v>
      </c>
      <c r="LB4">
        <v>2.2294499999999999</v>
      </c>
      <c r="LC4">
        <v>2.0393500000000002</v>
      </c>
      <c r="LD4">
        <v>1.9124699999999999</v>
      </c>
      <c r="LE4">
        <v>2.2272599999999998</v>
      </c>
      <c r="LF4">
        <v>2.11999</v>
      </c>
      <c r="LG4">
        <v>2.5438000000000001</v>
      </c>
      <c r="LH4">
        <v>3.1991900000000002</v>
      </c>
      <c r="LI4">
        <v>1.7923800000000001</v>
      </c>
      <c r="LJ4">
        <v>4.7174100000000001</v>
      </c>
      <c r="LK4">
        <v>1.9198299999999999</v>
      </c>
      <c r="LL4">
        <v>5.2561799999999996</v>
      </c>
      <c r="LM4">
        <v>1.8751899999999999</v>
      </c>
      <c r="LN4">
        <v>2.29759</v>
      </c>
      <c r="LW4" t="s">
        <v>343</v>
      </c>
      <c r="LX4">
        <v>1.379</v>
      </c>
      <c r="MB4">
        <v>1.3861699999999999</v>
      </c>
      <c r="MC4">
        <v>1.69587</v>
      </c>
      <c r="MD4">
        <v>1.58772</v>
      </c>
      <c r="ME4">
        <v>1.6060700000000001</v>
      </c>
      <c r="MF4">
        <v>1.5758399999999999</v>
      </c>
      <c r="MG4">
        <v>1.58832</v>
      </c>
      <c r="MH4">
        <v>1.8129</v>
      </c>
      <c r="MI4">
        <v>1.50187</v>
      </c>
      <c r="MJ4">
        <v>1.55331</v>
      </c>
      <c r="MK4">
        <v>1.5532600000000001</v>
      </c>
      <c r="ML4">
        <v>1.50823</v>
      </c>
      <c r="MM4">
        <v>1.3296300000000001</v>
      </c>
      <c r="MN4">
        <v>1.65306</v>
      </c>
      <c r="MO4">
        <v>1.9047799999999999</v>
      </c>
      <c r="MP4">
        <v>1.9047799999999999</v>
      </c>
      <c r="MQ4">
        <v>1.75518</v>
      </c>
      <c r="MR4">
        <v>1.2812399999999999</v>
      </c>
      <c r="MS4">
        <v>2.7447400000000002</v>
      </c>
      <c r="MT4">
        <v>1.8912100000000001</v>
      </c>
      <c r="MU4">
        <v>1.8404700000000001</v>
      </c>
      <c r="MZ4" t="s">
        <v>344</v>
      </c>
      <c r="NA4">
        <v>1.33</v>
      </c>
      <c r="ND4">
        <v>1.3266500000000001</v>
      </c>
      <c r="NE4">
        <v>1.45427</v>
      </c>
      <c r="NF4">
        <v>1.4574100000000001</v>
      </c>
      <c r="NG4">
        <v>1.1400699999999999</v>
      </c>
      <c r="NH4">
        <v>1.4981599999999999</v>
      </c>
      <c r="NI4">
        <v>1.4033500000000001</v>
      </c>
      <c r="NJ4">
        <v>1.3870899999999999</v>
      </c>
      <c r="NK4">
        <v>1.4692400000000001</v>
      </c>
      <c r="NL4">
        <v>1.5296000000000001</v>
      </c>
      <c r="NM4">
        <v>2.0170300000000001</v>
      </c>
      <c r="NN4">
        <v>1.2461199999999999</v>
      </c>
      <c r="NO4">
        <v>1.34209</v>
      </c>
      <c r="NP4">
        <v>1.37419</v>
      </c>
      <c r="NQ4">
        <v>1.35419</v>
      </c>
      <c r="NR4">
        <v>1.34798</v>
      </c>
      <c r="NS4">
        <v>1.2274499999999999</v>
      </c>
      <c r="NT4">
        <v>1.08971</v>
      </c>
      <c r="NU4">
        <v>1.1944600000000001</v>
      </c>
      <c r="NZ4" t="s">
        <v>342</v>
      </c>
      <c r="OA4">
        <v>284.79899999999998</v>
      </c>
      <c r="OC4" t="s">
        <v>343</v>
      </c>
      <c r="OD4">
        <v>396.03199999999998</v>
      </c>
      <c r="OF4" t="s">
        <v>344</v>
      </c>
      <c r="OG4">
        <v>312.08800000000002</v>
      </c>
      <c r="OI4">
        <v>291121</v>
      </c>
      <c r="OJ4">
        <v>6</v>
      </c>
      <c r="OK4">
        <v>0</v>
      </c>
      <c r="OL4">
        <v>6.23</v>
      </c>
      <c r="OM4">
        <v>-99.98</v>
      </c>
      <c r="OR4">
        <v>8.69</v>
      </c>
      <c r="OS4">
        <v>-99.75</v>
      </c>
      <c r="OV4">
        <v>5.94</v>
      </c>
      <c r="OW4">
        <v>-100</v>
      </c>
      <c r="OX4">
        <v>3.44</v>
      </c>
      <c r="OY4">
        <v>-96.15</v>
      </c>
      <c r="PD4">
        <v>-80.790000000000006</v>
      </c>
      <c r="PE4">
        <v>4.03</v>
      </c>
      <c r="PH4">
        <v>250722</v>
      </c>
      <c r="PI4">
        <v>5</v>
      </c>
      <c r="PJ4">
        <v>0</v>
      </c>
      <c r="PO4">
        <v>3.52</v>
      </c>
      <c r="PP4">
        <v>-91.23</v>
      </c>
      <c r="PS4">
        <v>4.6399999999999997</v>
      </c>
      <c r="PT4">
        <v>-91.63</v>
      </c>
      <c r="PW4">
        <v>6.78</v>
      </c>
      <c r="PX4">
        <v>-97.06</v>
      </c>
      <c r="PY4">
        <v>3.29</v>
      </c>
      <c r="PZ4">
        <v>-100</v>
      </c>
      <c r="QC4">
        <v>-74.45</v>
      </c>
      <c r="QD4">
        <v>1.27</v>
      </c>
      <c r="QF4">
        <v>20322</v>
      </c>
      <c r="QG4">
        <v>3</v>
      </c>
      <c r="QH4">
        <v>0</v>
      </c>
      <c r="QO4" t="s">
        <v>1053</v>
      </c>
      <c r="QS4" t="s">
        <v>1053</v>
      </c>
      <c r="QU4" t="s">
        <v>1053</v>
      </c>
      <c r="RA4">
        <v>-73.48</v>
      </c>
      <c r="RB4">
        <v>1.42</v>
      </c>
    </row>
    <row r="5" spans="1:470" ht="13.15" x14ac:dyDescent="0.4">
      <c r="A5">
        <v>150</v>
      </c>
      <c r="B5">
        <v>4</v>
      </c>
      <c r="C5">
        <v>1</v>
      </c>
      <c r="D5">
        <v>9.5</v>
      </c>
      <c r="E5">
        <v>16</v>
      </c>
      <c r="F5">
        <v>16.5</v>
      </c>
      <c r="G5">
        <v>8.5</v>
      </c>
      <c r="H5">
        <v>13</v>
      </c>
      <c r="I5">
        <v>21.5</v>
      </c>
      <c r="J5">
        <v>19</v>
      </c>
      <c r="K5">
        <v>15</v>
      </c>
      <c r="L5">
        <v>2.5</v>
      </c>
      <c r="M5">
        <v>6.5</v>
      </c>
      <c r="N5">
        <v>7</v>
      </c>
      <c r="O5">
        <v>17</v>
      </c>
      <c r="P5">
        <v>5.5</v>
      </c>
      <c r="Q5">
        <v>10</v>
      </c>
      <c r="R5">
        <v>3</v>
      </c>
      <c r="S5">
        <v>12</v>
      </c>
      <c r="T5">
        <v>15</v>
      </c>
      <c r="U5">
        <v>12</v>
      </c>
      <c r="V5">
        <v>15.5</v>
      </c>
      <c r="W5">
        <v>18.5</v>
      </c>
      <c r="X5">
        <v>3.5</v>
      </c>
      <c r="Y5">
        <v>11</v>
      </c>
      <c r="Z5">
        <v>19.5</v>
      </c>
      <c r="AA5">
        <v>7</v>
      </c>
      <c r="AB5">
        <v>14.5</v>
      </c>
      <c r="AC5">
        <v>3.5</v>
      </c>
      <c r="AD5">
        <v>18</v>
      </c>
      <c r="AE5">
        <f>35/2</f>
        <v>17.5</v>
      </c>
      <c r="AF5">
        <v>6</v>
      </c>
      <c r="AG5">
        <v>8.5</v>
      </c>
      <c r="AH5">
        <v>7.5</v>
      </c>
      <c r="AI5">
        <v>5.5</v>
      </c>
      <c r="AJ5">
        <v>6.5</v>
      </c>
      <c r="AK5">
        <v>8.5</v>
      </c>
      <c r="AL5">
        <v>24.5</v>
      </c>
      <c r="AM5">
        <v>9</v>
      </c>
      <c r="AN5">
        <v>11</v>
      </c>
      <c r="AO5">
        <v>20.5</v>
      </c>
      <c r="AP5">
        <v>24.5</v>
      </c>
      <c r="AQ5">
        <v>6.5</v>
      </c>
      <c r="AR5">
        <v>1</v>
      </c>
      <c r="AS5">
        <v>2</v>
      </c>
      <c r="AT5">
        <v>5</v>
      </c>
      <c r="AU5">
        <v>13</v>
      </c>
      <c r="AV5">
        <v>4</v>
      </c>
      <c r="AW5">
        <v>3</v>
      </c>
      <c r="AX5">
        <v>12.5</v>
      </c>
      <c r="AY5">
        <v>22.5</v>
      </c>
      <c r="AZ5">
        <v>7.5</v>
      </c>
      <c r="BA5">
        <v>5</v>
      </c>
      <c r="BB5">
        <v>16</v>
      </c>
      <c r="BC5">
        <v>13</v>
      </c>
      <c r="BD5">
        <v>2</v>
      </c>
      <c r="BE5">
        <v>13.5</v>
      </c>
      <c r="BF5">
        <v>18</v>
      </c>
      <c r="BG5">
        <v>8</v>
      </c>
      <c r="BH5">
        <v>3</v>
      </c>
      <c r="BI5">
        <v>7.5</v>
      </c>
      <c r="BJ5">
        <v>14.5</v>
      </c>
      <c r="BK5">
        <v>2.5</v>
      </c>
      <c r="BL5">
        <v>7</v>
      </c>
      <c r="BM5">
        <v>12.5</v>
      </c>
      <c r="BN5">
        <v>5</v>
      </c>
      <c r="BO5">
        <v>6</v>
      </c>
      <c r="BP5">
        <v>3.5</v>
      </c>
      <c r="BQ5">
        <v>9</v>
      </c>
      <c r="BR5">
        <v>3.5</v>
      </c>
      <c r="BS5">
        <v>15</v>
      </c>
      <c r="BT5">
        <v>9.5</v>
      </c>
      <c r="BU5">
        <v>9.5</v>
      </c>
      <c r="BV5">
        <v>7.5</v>
      </c>
      <c r="BW5">
        <v>26</v>
      </c>
      <c r="BX5">
        <v>6.5</v>
      </c>
      <c r="BY5">
        <v>15.5</v>
      </c>
      <c r="BZ5">
        <v>32.5</v>
      </c>
      <c r="CA5">
        <v>1.5</v>
      </c>
      <c r="CB5">
        <v>26.5</v>
      </c>
      <c r="CC5">
        <v>21.5</v>
      </c>
      <c r="CD5">
        <v>31</v>
      </c>
      <c r="CE5">
        <v>6</v>
      </c>
      <c r="CF5">
        <v>19</v>
      </c>
      <c r="CG5">
        <v>13</v>
      </c>
      <c r="CH5">
        <v>17</v>
      </c>
      <c r="CI5">
        <v>26</v>
      </c>
      <c r="CJ5">
        <v>43</v>
      </c>
      <c r="CK5">
        <v>4.5</v>
      </c>
      <c r="CL5">
        <v>20</v>
      </c>
      <c r="CM5">
        <v>27.5</v>
      </c>
      <c r="CN5">
        <v>7</v>
      </c>
      <c r="CO5">
        <v>13.5</v>
      </c>
      <c r="CP5">
        <v>13.5</v>
      </c>
      <c r="CQ5">
        <v>7.5</v>
      </c>
      <c r="CR5">
        <v>26</v>
      </c>
      <c r="CS5">
        <v>22</v>
      </c>
      <c r="CT5">
        <v>18</v>
      </c>
      <c r="CU5">
        <v>10.5</v>
      </c>
      <c r="CV5">
        <v>12.5</v>
      </c>
      <c r="CW5">
        <v>23</v>
      </c>
      <c r="CX5">
        <v>23.5</v>
      </c>
      <c r="CY5">
        <v>11.5</v>
      </c>
      <c r="CZ5">
        <v>19</v>
      </c>
      <c r="DA5">
        <v>10</v>
      </c>
      <c r="DB5">
        <v>15.5</v>
      </c>
      <c r="DC5">
        <v>10.5</v>
      </c>
      <c r="DD5">
        <v>8.5</v>
      </c>
      <c r="DE5">
        <v>20.5</v>
      </c>
      <c r="DF5">
        <v>11</v>
      </c>
      <c r="DG5">
        <v>4</v>
      </c>
      <c r="DH5">
        <v>9.5</v>
      </c>
      <c r="DI5">
        <v>4</v>
      </c>
      <c r="DJ5">
        <v>7</v>
      </c>
      <c r="DK5">
        <v>16.5</v>
      </c>
      <c r="DL5">
        <v>7</v>
      </c>
      <c r="DM5">
        <v>8</v>
      </c>
      <c r="DN5">
        <v>16.5</v>
      </c>
      <c r="DO5">
        <v>21</v>
      </c>
      <c r="DP5">
        <v>6</v>
      </c>
      <c r="DQ5">
        <v>10</v>
      </c>
      <c r="DR5">
        <v>15.5</v>
      </c>
      <c r="DS5" s="1">
        <f>AVERAGE(Supplementary_Fig7!B5:DR5)</f>
        <v>12.301652892561984</v>
      </c>
      <c r="DT5" s="1">
        <f t="shared" si="0"/>
        <v>0.6998002307143204</v>
      </c>
      <c r="DZ5">
        <v>301121</v>
      </c>
      <c r="EA5">
        <v>4</v>
      </c>
      <c r="EB5">
        <v>0</v>
      </c>
      <c r="EC5">
        <v>1</v>
      </c>
      <c r="EG5">
        <v>1</v>
      </c>
      <c r="EI5">
        <v>1</v>
      </c>
      <c r="EJ5">
        <v>1</v>
      </c>
      <c r="EK5">
        <f t="shared" si="1"/>
        <v>4</v>
      </c>
      <c r="EM5">
        <v>2507222</v>
      </c>
      <c r="EN5">
        <v>8</v>
      </c>
      <c r="EO5">
        <v>0</v>
      </c>
      <c r="EP5">
        <v>1</v>
      </c>
      <c r="EV5">
        <v>1</v>
      </c>
      <c r="EX5">
        <f t="shared" si="2"/>
        <v>2</v>
      </c>
      <c r="FA5">
        <v>203222</v>
      </c>
      <c r="FB5">
        <v>6</v>
      </c>
      <c r="FC5">
        <v>0</v>
      </c>
      <c r="FL5">
        <f>SUM(Supplementary_Fig7!FD5:FK5)</f>
        <v>0</v>
      </c>
      <c r="FO5" t="s">
        <v>345</v>
      </c>
      <c r="FP5">
        <v>28.69</v>
      </c>
      <c r="FS5" t="s">
        <v>345</v>
      </c>
      <c r="FT5">
        <f>63*FP5/100</f>
        <v>18.0747</v>
      </c>
      <c r="FW5">
        <v>50.563899999999997</v>
      </c>
      <c r="FX5">
        <v>28.035599999999999</v>
      </c>
      <c r="FY5">
        <v>54.116999999999997</v>
      </c>
      <c r="FZ5">
        <v>36.735900000000001</v>
      </c>
      <c r="GB5">
        <v>40.3613</v>
      </c>
      <c r="GC5">
        <v>33.774500000000003</v>
      </c>
      <c r="GF5">
        <v>36.153399999999998</v>
      </c>
      <c r="GH5" t="s">
        <v>908</v>
      </c>
      <c r="GJ5">
        <v>53.88</v>
      </c>
      <c r="GL5" t="s">
        <v>908</v>
      </c>
      <c r="GN5">
        <f t="shared" si="3"/>
        <v>33.944400000000002</v>
      </c>
      <c r="GQ5">
        <v>125.68300000000001</v>
      </c>
      <c r="GR5">
        <v>36.740699999999997</v>
      </c>
      <c r="GS5">
        <v>74.033500000000004</v>
      </c>
      <c r="GT5">
        <v>103.32299999999999</v>
      </c>
      <c r="GU5">
        <v>102.33499999999999</v>
      </c>
      <c r="GZ5" t="s">
        <v>347</v>
      </c>
      <c r="HA5">
        <v>103.1</v>
      </c>
      <c r="HD5" t="s">
        <v>347</v>
      </c>
      <c r="HE5">
        <f>63*Supplementary_Fig7!HA5/100</f>
        <v>64.952999999999989</v>
      </c>
      <c r="HJ5">
        <v>73.683400000000006</v>
      </c>
      <c r="HK5">
        <v>80.0291</v>
      </c>
      <c r="HL5">
        <v>59.590400000000002</v>
      </c>
      <c r="HM5">
        <v>88.704899999999995</v>
      </c>
      <c r="HN5">
        <v>59.277000000000001</v>
      </c>
      <c r="HO5">
        <v>58.68</v>
      </c>
      <c r="HV5" t="s">
        <v>345</v>
      </c>
      <c r="HW5">
        <v>71.86</v>
      </c>
      <c r="IA5">
        <v>80.036900000000003</v>
      </c>
      <c r="IB5">
        <v>84.852599999999995</v>
      </c>
      <c r="IC5">
        <v>73.069800000000001</v>
      </c>
      <c r="ID5">
        <v>78.257800000000003</v>
      </c>
      <c r="IE5">
        <v>80.561800000000005</v>
      </c>
      <c r="IF5">
        <v>47.541800000000002</v>
      </c>
      <c r="IG5">
        <v>107.553</v>
      </c>
      <c r="IH5">
        <v>100.943</v>
      </c>
      <c r="II5">
        <v>82.408100000000005</v>
      </c>
      <c r="IJ5">
        <v>86.306799999999996</v>
      </c>
      <c r="IK5">
        <v>83.697500000000005</v>
      </c>
      <c r="IX5" t="s">
        <v>908</v>
      </c>
      <c r="IY5">
        <v>90.25</v>
      </c>
      <c r="JC5">
        <v>103.29900000000001</v>
      </c>
      <c r="JD5">
        <v>89.659099999999995</v>
      </c>
      <c r="JE5">
        <v>101.422</v>
      </c>
      <c r="JF5">
        <v>104.002</v>
      </c>
      <c r="JG5">
        <v>99.751300000000001</v>
      </c>
      <c r="JH5">
        <v>105.02</v>
      </c>
      <c r="JI5">
        <v>74.902299999999997</v>
      </c>
      <c r="JJ5">
        <v>125.185</v>
      </c>
      <c r="JK5">
        <v>89.956699999999998</v>
      </c>
      <c r="JL5">
        <v>123.358</v>
      </c>
      <c r="JM5">
        <v>105.34699999999999</v>
      </c>
      <c r="JN5">
        <v>91.862499999999997</v>
      </c>
      <c r="JV5" t="s">
        <v>347</v>
      </c>
      <c r="JW5">
        <v>122.09</v>
      </c>
      <c r="JZ5">
        <v>117.664</v>
      </c>
      <c r="KA5">
        <v>122.30800000000001</v>
      </c>
      <c r="KB5">
        <v>68.281599999999997</v>
      </c>
      <c r="KC5">
        <v>95.080600000000004</v>
      </c>
      <c r="KD5">
        <v>93.267799999999994</v>
      </c>
      <c r="KE5">
        <v>125.934</v>
      </c>
      <c r="KF5">
        <v>96.903999999999996</v>
      </c>
      <c r="KG5">
        <v>79.843100000000007</v>
      </c>
      <c r="KH5">
        <v>99.116500000000002</v>
      </c>
      <c r="KI5">
        <v>54.6753</v>
      </c>
      <c r="KJ5">
        <v>117.351</v>
      </c>
      <c r="KK5">
        <v>99.255399999999995</v>
      </c>
      <c r="KL5">
        <v>119.34699999999999</v>
      </c>
      <c r="KM5">
        <v>114.258</v>
      </c>
      <c r="KT5" t="s">
        <v>345</v>
      </c>
      <c r="KU5">
        <v>2.4300000000000002</v>
      </c>
      <c r="KY5">
        <v>1.80003</v>
      </c>
      <c r="KZ5">
        <v>2.3566699999999998</v>
      </c>
      <c r="LA5">
        <v>1.7080599999999999</v>
      </c>
      <c r="LB5">
        <v>2.1720999999999999</v>
      </c>
      <c r="LC5">
        <v>2.0135399999999999</v>
      </c>
      <c r="LD5">
        <v>1.94777</v>
      </c>
      <c r="LE5">
        <v>2.2393100000000001</v>
      </c>
      <c r="LF5">
        <v>2.0562999999999998</v>
      </c>
      <c r="LG5">
        <v>2.6439499999999998</v>
      </c>
      <c r="LH5">
        <v>3.5584899999999999</v>
      </c>
      <c r="LI5">
        <v>1.7783</v>
      </c>
      <c r="LJ5">
        <v>5.8258000000000001</v>
      </c>
      <c r="LK5">
        <v>1.95347</v>
      </c>
      <c r="LL5">
        <v>4.1623900000000003</v>
      </c>
      <c r="LM5">
        <v>1.75745</v>
      </c>
      <c r="LN5">
        <v>2.2973699999999999</v>
      </c>
      <c r="LW5" t="s">
        <v>908</v>
      </c>
      <c r="LX5">
        <v>1.7290000000000001</v>
      </c>
      <c r="MB5">
        <v>1.3748</v>
      </c>
      <c r="MC5">
        <v>1.69625</v>
      </c>
      <c r="MD5">
        <v>1.58091</v>
      </c>
      <c r="ME5">
        <v>1.60006</v>
      </c>
      <c r="MF5">
        <v>1.57725</v>
      </c>
      <c r="MG5">
        <v>1.5539000000000001</v>
      </c>
      <c r="MH5">
        <v>1.8699600000000001</v>
      </c>
      <c r="MI5">
        <v>1.49573</v>
      </c>
      <c r="MJ5">
        <v>1.57002</v>
      </c>
      <c r="MK5">
        <v>1.48996</v>
      </c>
      <c r="ML5">
        <v>1.50458</v>
      </c>
      <c r="MM5">
        <v>1.32701</v>
      </c>
      <c r="MN5">
        <v>1.63093</v>
      </c>
      <c r="MO5">
        <v>1.9191800000000001</v>
      </c>
      <c r="MP5">
        <v>1.9191800000000001</v>
      </c>
      <c r="MQ5">
        <v>1.74251</v>
      </c>
      <c r="MR5">
        <v>1.2907500000000001</v>
      </c>
      <c r="MS5">
        <v>2.43492</v>
      </c>
      <c r="MT5">
        <v>1.9107799999999999</v>
      </c>
      <c r="MU5">
        <v>1.87094</v>
      </c>
      <c r="MZ5" t="s">
        <v>347</v>
      </c>
      <c r="NA5">
        <v>1.47</v>
      </c>
      <c r="ND5">
        <v>1.33663</v>
      </c>
      <c r="NE5">
        <v>1.45353</v>
      </c>
      <c r="NF5">
        <v>1.4184099999999999</v>
      </c>
      <c r="NG5">
        <v>1.14811</v>
      </c>
      <c r="NH5">
        <v>1.51552</v>
      </c>
      <c r="NI5">
        <v>1.40909</v>
      </c>
      <c r="NJ5">
        <v>1.4111100000000001</v>
      </c>
      <c r="NK5">
        <v>1.44337</v>
      </c>
      <c r="NL5">
        <v>1.7285299999999999</v>
      </c>
      <c r="NM5">
        <v>2.0293100000000002</v>
      </c>
      <c r="NN5">
        <v>1.24356</v>
      </c>
      <c r="NO5">
        <v>1.3213900000000001</v>
      </c>
      <c r="NP5">
        <v>1.39455</v>
      </c>
      <c r="NQ5">
        <v>1.33382</v>
      </c>
      <c r="NR5">
        <v>1.3625400000000001</v>
      </c>
      <c r="NS5">
        <v>1.2182900000000001</v>
      </c>
      <c r="NT5">
        <v>1.0458000000000001</v>
      </c>
      <c r="NU5">
        <v>1.1957100000000001</v>
      </c>
      <c r="NZ5" t="s">
        <v>345</v>
      </c>
      <c r="OA5">
        <v>125.51900000000001</v>
      </c>
      <c r="OC5" t="s">
        <v>908</v>
      </c>
      <c r="OD5">
        <v>237.179</v>
      </c>
      <c r="OF5" t="s">
        <v>347</v>
      </c>
      <c r="OG5">
        <v>304.08999999999997</v>
      </c>
      <c r="OI5">
        <v>301121</v>
      </c>
      <c r="OJ5">
        <v>4</v>
      </c>
      <c r="OK5">
        <v>0</v>
      </c>
      <c r="OL5">
        <v>3.67</v>
      </c>
      <c r="OM5">
        <v>-86.23</v>
      </c>
      <c r="OT5">
        <v>8.89</v>
      </c>
      <c r="OU5">
        <v>-95.44</v>
      </c>
      <c r="OX5">
        <v>3.29</v>
      </c>
      <c r="OY5">
        <v>-86.72</v>
      </c>
      <c r="PD5">
        <v>-83.07</v>
      </c>
      <c r="PE5">
        <v>2.68</v>
      </c>
      <c r="PH5">
        <v>2507222</v>
      </c>
      <c r="PI5">
        <v>8</v>
      </c>
      <c r="PJ5">
        <v>0</v>
      </c>
      <c r="PK5">
        <v>2.2999999999999998</v>
      </c>
      <c r="PL5">
        <v>-96.54</v>
      </c>
      <c r="PO5">
        <v>2.2799999999999998</v>
      </c>
      <c r="PP5">
        <v>-90.4</v>
      </c>
      <c r="PQ5">
        <v>2.2200000000000002</v>
      </c>
      <c r="PR5">
        <v>-85.17</v>
      </c>
      <c r="PS5">
        <v>4.9400000000000004</v>
      </c>
      <c r="PT5">
        <v>-98.16</v>
      </c>
      <c r="PU5">
        <v>2.86</v>
      </c>
      <c r="PV5">
        <v>-95.06</v>
      </c>
      <c r="QC5">
        <v>-77.37</v>
      </c>
      <c r="QD5">
        <v>2.14</v>
      </c>
      <c r="QF5">
        <v>203222</v>
      </c>
      <c r="QG5">
        <v>6</v>
      </c>
      <c r="QH5">
        <v>0</v>
      </c>
      <c r="QI5" t="s">
        <v>1053</v>
      </c>
      <c r="QK5">
        <v>2.5</v>
      </c>
      <c r="QL5">
        <v>-88.11</v>
      </c>
      <c r="QO5" t="s">
        <v>1053</v>
      </c>
      <c r="QQ5" t="s">
        <v>1053</v>
      </c>
      <c r="QS5">
        <v>3.36</v>
      </c>
      <c r="QT5">
        <v>-95.69</v>
      </c>
      <c r="QW5">
        <v>3.1</v>
      </c>
      <c r="QX5">
        <v>-95.84</v>
      </c>
      <c r="RA5">
        <v>-75.64</v>
      </c>
      <c r="RB5">
        <v>2.68</v>
      </c>
    </row>
    <row r="6" spans="1:470" ht="13.15" x14ac:dyDescent="0.4">
      <c r="A6">
        <v>200</v>
      </c>
      <c r="B6">
        <v>5</v>
      </c>
      <c r="C6">
        <v>1.5</v>
      </c>
      <c r="D6">
        <v>12.5</v>
      </c>
      <c r="E6">
        <v>20.5</v>
      </c>
      <c r="F6">
        <v>20</v>
      </c>
      <c r="G6">
        <v>11</v>
      </c>
      <c r="H6">
        <v>16.5</v>
      </c>
      <c r="I6">
        <v>25.5</v>
      </c>
      <c r="J6">
        <v>23.5</v>
      </c>
      <c r="K6">
        <v>19</v>
      </c>
      <c r="L6">
        <v>3</v>
      </c>
      <c r="M6">
        <v>9.5</v>
      </c>
      <c r="N6">
        <v>8.5</v>
      </c>
      <c r="O6">
        <v>22</v>
      </c>
      <c r="P6">
        <v>7.5</v>
      </c>
      <c r="Q6">
        <v>12.5</v>
      </c>
      <c r="R6">
        <v>4.5</v>
      </c>
      <c r="S6">
        <v>16.5</v>
      </c>
      <c r="T6">
        <v>21.5</v>
      </c>
      <c r="U6">
        <v>15.5</v>
      </c>
      <c r="V6">
        <v>6.5</v>
      </c>
      <c r="W6">
        <v>21.5</v>
      </c>
      <c r="X6">
        <v>4</v>
      </c>
      <c r="Y6">
        <v>24.5</v>
      </c>
      <c r="Z6">
        <v>6.5</v>
      </c>
      <c r="AA6">
        <v>10</v>
      </c>
      <c r="AB6">
        <v>18</v>
      </c>
      <c r="AC6">
        <v>5.5</v>
      </c>
      <c r="AD6">
        <f>43/2</f>
        <v>21.5</v>
      </c>
      <c r="AE6">
        <v>7.5</v>
      </c>
      <c r="AF6">
        <v>8</v>
      </c>
      <c r="AG6">
        <v>12.5</v>
      </c>
      <c r="AH6">
        <v>10</v>
      </c>
      <c r="AI6">
        <v>8</v>
      </c>
      <c r="AJ6">
        <v>8.5</v>
      </c>
      <c r="AK6">
        <v>10</v>
      </c>
      <c r="AL6">
        <v>24</v>
      </c>
      <c r="AM6">
        <v>9.5</v>
      </c>
      <c r="AN6">
        <v>14.5</v>
      </c>
      <c r="AO6">
        <v>14</v>
      </c>
      <c r="AP6">
        <v>29</v>
      </c>
      <c r="AQ6">
        <v>7.5</v>
      </c>
      <c r="AR6">
        <v>1.5</v>
      </c>
      <c r="AS6">
        <v>3.5</v>
      </c>
      <c r="AT6">
        <v>7</v>
      </c>
      <c r="AU6">
        <v>19</v>
      </c>
      <c r="AV6">
        <v>7</v>
      </c>
      <c r="AW6">
        <v>4</v>
      </c>
      <c r="AX6">
        <v>16</v>
      </c>
      <c r="AY6">
        <v>24.5</v>
      </c>
      <c r="AZ6">
        <v>9.5</v>
      </c>
      <c r="BA6">
        <v>5</v>
      </c>
      <c r="BB6">
        <v>20</v>
      </c>
      <c r="BC6">
        <v>15</v>
      </c>
      <c r="BD6">
        <v>3</v>
      </c>
      <c r="BE6">
        <v>14</v>
      </c>
      <c r="BF6">
        <v>19.5</v>
      </c>
      <c r="BG6">
        <v>10</v>
      </c>
      <c r="BH6">
        <v>4.5</v>
      </c>
      <c r="BI6">
        <v>8.5</v>
      </c>
      <c r="BJ6">
        <v>16</v>
      </c>
      <c r="BK6">
        <v>4</v>
      </c>
      <c r="BL6">
        <v>8.5</v>
      </c>
      <c r="BM6">
        <v>12.5</v>
      </c>
      <c r="BN6">
        <v>7</v>
      </c>
      <c r="BO6">
        <v>8</v>
      </c>
      <c r="BP6">
        <v>4.5</v>
      </c>
      <c r="BQ6">
        <v>11</v>
      </c>
      <c r="BR6">
        <v>4.5</v>
      </c>
      <c r="BS6">
        <v>4</v>
      </c>
      <c r="BT6">
        <v>11.5</v>
      </c>
      <c r="BU6">
        <v>13.5</v>
      </c>
      <c r="BV6">
        <v>8.5</v>
      </c>
      <c r="BW6">
        <v>29.5</v>
      </c>
      <c r="BX6">
        <v>8.5</v>
      </c>
      <c r="BY6">
        <v>18.5</v>
      </c>
      <c r="BZ6">
        <v>21.5</v>
      </c>
      <c r="CA6">
        <v>1.5</v>
      </c>
      <c r="CB6">
        <v>31.5</v>
      </c>
      <c r="CC6">
        <v>24.5</v>
      </c>
      <c r="CD6">
        <v>34</v>
      </c>
      <c r="CE6">
        <v>7.5</v>
      </c>
      <c r="CF6">
        <v>22</v>
      </c>
      <c r="CG6">
        <v>17.5</v>
      </c>
      <c r="CH6">
        <v>23.5</v>
      </c>
      <c r="CI6">
        <v>23</v>
      </c>
      <c r="CJ6">
        <f>96/2</f>
        <v>48</v>
      </c>
      <c r="CK6">
        <v>6.5</v>
      </c>
      <c r="CL6">
        <v>23.5</v>
      </c>
      <c r="CM6">
        <v>36.5</v>
      </c>
      <c r="CN6">
        <f>17/2</f>
        <v>8.5</v>
      </c>
      <c r="CO6">
        <v>17.5</v>
      </c>
      <c r="CP6">
        <v>14.5</v>
      </c>
      <c r="CQ6">
        <v>11</v>
      </c>
      <c r="CR6">
        <v>28</v>
      </c>
      <c r="CS6">
        <v>18</v>
      </c>
      <c r="CT6">
        <v>22</v>
      </c>
      <c r="CU6">
        <f>27/2</f>
        <v>13.5</v>
      </c>
      <c r="CV6">
        <v>16</v>
      </c>
      <c r="CW6">
        <v>28.5</v>
      </c>
      <c r="CX6">
        <v>28</v>
      </c>
      <c r="CY6">
        <v>13.5</v>
      </c>
      <c r="CZ6">
        <v>21</v>
      </c>
      <c r="DA6">
        <v>12</v>
      </c>
      <c r="DB6">
        <v>7.5</v>
      </c>
      <c r="DC6">
        <v>13</v>
      </c>
      <c r="DD6">
        <v>10</v>
      </c>
      <c r="DE6">
        <v>26</v>
      </c>
      <c r="DF6">
        <v>14.5</v>
      </c>
      <c r="DG6">
        <v>6</v>
      </c>
      <c r="DH6">
        <v>14</v>
      </c>
      <c r="DI6">
        <v>5</v>
      </c>
      <c r="DJ6">
        <v>11</v>
      </c>
      <c r="DK6">
        <v>20.5</v>
      </c>
      <c r="DL6">
        <v>8</v>
      </c>
      <c r="DM6">
        <v>9.5</v>
      </c>
      <c r="DN6">
        <v>22</v>
      </c>
      <c r="DO6">
        <v>24</v>
      </c>
      <c r="DP6">
        <v>8</v>
      </c>
      <c r="DQ6">
        <v>12</v>
      </c>
      <c r="DR6">
        <v>15</v>
      </c>
      <c r="DS6" s="1">
        <f>AVERAGE(Supplementary_Fig7!B6:DR6)</f>
        <v>14.194214876033058</v>
      </c>
      <c r="DT6" s="1">
        <f t="shared" si="0"/>
        <v>0.76804221209523327</v>
      </c>
      <c r="DZ6">
        <v>11221</v>
      </c>
      <c r="EA6">
        <v>6</v>
      </c>
      <c r="EB6">
        <v>0</v>
      </c>
      <c r="EK6">
        <f t="shared" si="1"/>
        <v>0</v>
      </c>
      <c r="EM6">
        <v>260722</v>
      </c>
      <c r="EN6">
        <v>7</v>
      </c>
      <c r="EO6">
        <v>1</v>
      </c>
      <c r="EX6">
        <f t="shared" si="2"/>
        <v>0</v>
      </c>
      <c r="FA6">
        <v>30322</v>
      </c>
      <c r="FB6">
        <v>4</v>
      </c>
      <c r="FC6">
        <v>0</v>
      </c>
      <c r="FL6">
        <f>SUM(Supplementary_Fig7!FD6:FK6)</f>
        <v>0</v>
      </c>
      <c r="FO6" t="s">
        <v>348</v>
      </c>
      <c r="FP6">
        <v>73.34</v>
      </c>
      <c r="FS6" t="s">
        <v>348</v>
      </c>
      <c r="FT6">
        <f>63*FP6/100</f>
        <v>46.2042</v>
      </c>
      <c r="FW6">
        <v>119.078</v>
      </c>
      <c r="FX6" s="8">
        <v>18.6111</v>
      </c>
      <c r="FY6">
        <v>103.35299999999999</v>
      </c>
      <c r="FZ6">
        <v>31.6691</v>
      </c>
      <c r="GB6">
        <v>28.086500000000001</v>
      </c>
      <c r="GC6" s="8">
        <v>28.5702</v>
      </c>
      <c r="GF6">
        <v>26.777699999999999</v>
      </c>
      <c r="GH6" t="s">
        <v>346</v>
      </c>
      <c r="GJ6">
        <v>80.069999999999993</v>
      </c>
      <c r="GL6" t="s">
        <v>346</v>
      </c>
      <c r="GN6">
        <f t="shared" si="3"/>
        <v>50.444099999999999</v>
      </c>
      <c r="GQ6">
        <v>62.377600000000001</v>
      </c>
      <c r="GR6">
        <v>51.6145</v>
      </c>
      <c r="GS6">
        <v>67.805899999999994</v>
      </c>
      <c r="GT6">
        <v>56.9527</v>
      </c>
      <c r="GZ6" t="s">
        <v>350</v>
      </c>
      <c r="HA6">
        <v>58.68</v>
      </c>
      <c r="HD6" t="s">
        <v>350</v>
      </c>
      <c r="HE6">
        <f>63*Supplementary_Fig7!HA6/100</f>
        <v>36.968400000000003</v>
      </c>
      <c r="HJ6">
        <v>74.510999999999996</v>
      </c>
      <c r="HK6">
        <v>123.982</v>
      </c>
      <c r="HL6">
        <v>49.572699999999998</v>
      </c>
      <c r="HM6">
        <v>54.206800000000001</v>
      </c>
      <c r="HN6">
        <v>94.774299999999997</v>
      </c>
      <c r="HO6">
        <v>102.378</v>
      </c>
      <c r="HV6" t="s">
        <v>348</v>
      </c>
      <c r="HW6">
        <v>85.82</v>
      </c>
      <c r="IA6">
        <v>80.299400000000006</v>
      </c>
      <c r="IB6">
        <v>83.413700000000006</v>
      </c>
      <c r="IC6">
        <v>84.281899999999993</v>
      </c>
      <c r="ID6">
        <v>77.488699999999994</v>
      </c>
      <c r="IE6">
        <v>83.198499999999996</v>
      </c>
      <c r="IF6">
        <v>65.248099999999994</v>
      </c>
      <c r="IG6">
        <v>108.879</v>
      </c>
      <c r="IH6">
        <v>102.03100000000001</v>
      </c>
      <c r="II6">
        <v>83.216899999999995</v>
      </c>
      <c r="IJ6">
        <v>90.092500000000001</v>
      </c>
      <c r="IK6">
        <v>101.80200000000001</v>
      </c>
      <c r="IX6" t="s">
        <v>346</v>
      </c>
      <c r="IY6">
        <v>99.02</v>
      </c>
      <c r="JC6">
        <v>102.803</v>
      </c>
      <c r="JD6">
        <v>90.518199999999993</v>
      </c>
      <c r="JE6">
        <v>99.276700000000005</v>
      </c>
      <c r="JF6">
        <v>102.988</v>
      </c>
      <c r="JG6">
        <v>101.086</v>
      </c>
      <c r="JH6">
        <v>103.95699999999999</v>
      </c>
      <c r="JI6">
        <v>88.842799999999997</v>
      </c>
      <c r="JJ6">
        <v>122.842</v>
      </c>
      <c r="JK6">
        <v>92.456100000000006</v>
      </c>
      <c r="JL6">
        <v>121.718</v>
      </c>
      <c r="JM6">
        <v>105.637</v>
      </c>
      <c r="JN6">
        <v>91.603099999999998</v>
      </c>
      <c r="JV6" t="s">
        <v>350</v>
      </c>
      <c r="JW6">
        <v>69.58</v>
      </c>
      <c r="JZ6">
        <v>117.589</v>
      </c>
      <c r="KA6">
        <v>123.776</v>
      </c>
      <c r="KB6">
        <v>69.447299999999998</v>
      </c>
      <c r="KC6">
        <v>94.575500000000005</v>
      </c>
      <c r="KD6">
        <v>93.742400000000004</v>
      </c>
      <c r="KE6">
        <v>123.563</v>
      </c>
      <c r="KF6">
        <v>110.13200000000001</v>
      </c>
      <c r="KG6">
        <v>79.692099999999996</v>
      </c>
      <c r="KH6">
        <v>96.086100000000002</v>
      </c>
      <c r="KI6">
        <v>54.8309</v>
      </c>
      <c r="KJ6">
        <v>117.119</v>
      </c>
      <c r="KK6">
        <v>99.542199999999994</v>
      </c>
      <c r="KL6">
        <v>119.006</v>
      </c>
      <c r="KM6">
        <v>114.574</v>
      </c>
      <c r="KT6" t="s">
        <v>348</v>
      </c>
      <c r="KU6">
        <v>1.68</v>
      </c>
      <c r="KY6">
        <v>1.73871</v>
      </c>
      <c r="KZ6">
        <v>2.4561700000000002</v>
      </c>
      <c r="LA6">
        <v>1.69275</v>
      </c>
      <c r="LB6">
        <v>2.1911800000000001</v>
      </c>
      <c r="LC6">
        <v>1.9763299999999999</v>
      </c>
      <c r="LD6">
        <v>1.95696</v>
      </c>
      <c r="LE6">
        <v>2.4775100000000001</v>
      </c>
      <c r="LF6">
        <v>2.0777700000000001</v>
      </c>
      <c r="LG6">
        <v>2.7964500000000001</v>
      </c>
      <c r="LH6">
        <v>4.1990499999999997</v>
      </c>
      <c r="LI6">
        <v>1.8357699999999999</v>
      </c>
      <c r="LJ6">
        <v>3.0901200000000002</v>
      </c>
      <c r="LK6">
        <v>2.0644</v>
      </c>
      <c r="LL6">
        <f>AVERAGE(Supplementary_Fig7!LL2:LL5)</f>
        <v>4.4298850000000005</v>
      </c>
      <c r="LN6">
        <v>2.65537</v>
      </c>
      <c r="LW6" t="s">
        <v>346</v>
      </c>
      <c r="LX6">
        <v>1.609</v>
      </c>
      <c r="MB6">
        <v>1.37578</v>
      </c>
      <c r="MC6">
        <v>1.8415699999999999</v>
      </c>
      <c r="MD6">
        <v>1.60334</v>
      </c>
      <c r="ME6">
        <v>1.56941</v>
      </c>
      <c r="MF6">
        <v>1.58961</v>
      </c>
      <c r="MG6">
        <v>1.5697300000000001</v>
      </c>
      <c r="MH6">
        <v>1.91072</v>
      </c>
      <c r="MI6">
        <v>1.44608</v>
      </c>
      <c r="MJ6">
        <v>1.5879799999999999</v>
      </c>
      <c r="ML6">
        <v>1.4942500000000001</v>
      </c>
      <c r="MM6">
        <v>1.30555</v>
      </c>
      <c r="MN6">
        <v>1.6420300000000001</v>
      </c>
      <c r="MO6">
        <v>1.9441200000000001</v>
      </c>
      <c r="MP6">
        <v>1.9441200000000001</v>
      </c>
      <c r="MQ6">
        <v>1.7391099999999999</v>
      </c>
      <c r="MR6">
        <v>1.2304900000000001</v>
      </c>
      <c r="MS6">
        <v>2.4739599999999999</v>
      </c>
      <c r="MT6">
        <v>1.9491799999999999</v>
      </c>
      <c r="MU6">
        <v>1.8775299999999999</v>
      </c>
      <c r="MZ6" t="s">
        <v>350</v>
      </c>
      <c r="NA6">
        <v>1.41</v>
      </c>
      <c r="ND6">
        <v>1.31626</v>
      </c>
      <c r="NE6">
        <v>1.4883299999999999</v>
      </c>
      <c r="NF6">
        <v>1.4081699999999999</v>
      </c>
      <c r="NG6">
        <v>1.1388</v>
      </c>
      <c r="NH6">
        <v>1.48736</v>
      </c>
      <c r="NI6">
        <v>1.40726</v>
      </c>
      <c r="NJ6">
        <v>1.41415</v>
      </c>
      <c r="NK6">
        <v>1.4663600000000001</v>
      </c>
      <c r="NL6">
        <v>1.8063400000000001</v>
      </c>
      <c r="NM6">
        <v>2.0551599999999999</v>
      </c>
      <c r="NN6">
        <v>1.3586100000000001</v>
      </c>
      <c r="NO6">
        <v>1.3685700000000001</v>
      </c>
      <c r="NP6">
        <v>1.3909100000000001</v>
      </c>
      <c r="NQ6">
        <v>1.3124199999999999</v>
      </c>
      <c r="NR6">
        <v>1.2686999999999999</v>
      </c>
      <c r="NS6">
        <v>1.22841</v>
      </c>
      <c r="NT6">
        <v>1.05694</v>
      </c>
      <c r="NU6">
        <v>1.1970000000000001</v>
      </c>
      <c r="NZ6" t="s">
        <v>348</v>
      </c>
      <c r="OA6">
        <v>218.98699999999999</v>
      </c>
      <c r="OC6" t="s">
        <v>346</v>
      </c>
      <c r="OD6">
        <v>305.55599999999998</v>
      </c>
      <c r="OF6" t="s">
        <v>350</v>
      </c>
      <c r="OG6">
        <v>197.31399999999999</v>
      </c>
      <c r="OI6">
        <v>11221</v>
      </c>
      <c r="OJ6">
        <v>6</v>
      </c>
      <c r="OK6">
        <v>0</v>
      </c>
      <c r="OL6">
        <v>5.56</v>
      </c>
      <c r="OM6">
        <v>-86.56</v>
      </c>
      <c r="ON6">
        <v>7.13</v>
      </c>
      <c r="OO6">
        <v>-93.37</v>
      </c>
      <c r="OP6">
        <v>7.33</v>
      </c>
      <c r="OQ6">
        <v>-99.14</v>
      </c>
      <c r="OT6">
        <v>6.32</v>
      </c>
      <c r="OU6">
        <v>-91.64</v>
      </c>
      <c r="PD6">
        <v>-84.27</v>
      </c>
      <c r="PE6">
        <v>3.41</v>
      </c>
      <c r="PH6">
        <v>260722</v>
      </c>
      <c r="PI6">
        <v>7</v>
      </c>
      <c r="PJ6">
        <v>1</v>
      </c>
      <c r="PK6">
        <v>4.26</v>
      </c>
      <c r="PL6">
        <v>-90.46</v>
      </c>
      <c r="PM6">
        <v>4.17</v>
      </c>
      <c r="PN6">
        <v>-92.44</v>
      </c>
      <c r="PQ6">
        <v>3.31</v>
      </c>
      <c r="PR6">
        <v>-100</v>
      </c>
      <c r="PU6">
        <v>4.13</v>
      </c>
      <c r="PV6">
        <v>-99.13</v>
      </c>
      <c r="PW6">
        <v>4.3</v>
      </c>
      <c r="PX6">
        <v>-95.55</v>
      </c>
      <c r="PY6">
        <v>3.54</v>
      </c>
      <c r="PZ6">
        <v>-97.1</v>
      </c>
      <c r="QC6">
        <v>-81.13</v>
      </c>
      <c r="QD6">
        <v>1.38</v>
      </c>
      <c r="QF6">
        <v>30322</v>
      </c>
      <c r="QG6">
        <v>4</v>
      </c>
      <c r="QH6">
        <v>0</v>
      </c>
      <c r="RA6">
        <v>-75.98</v>
      </c>
      <c r="RB6">
        <v>2.0499999999999998</v>
      </c>
    </row>
    <row r="7" spans="1:470" ht="13.15" x14ac:dyDescent="0.4">
      <c r="A7">
        <v>250</v>
      </c>
      <c r="B7">
        <v>6.5</v>
      </c>
      <c r="C7">
        <v>1.5</v>
      </c>
      <c r="D7">
        <v>14</v>
      </c>
      <c r="E7">
        <v>20.5</v>
      </c>
      <c r="F7">
        <v>22.5</v>
      </c>
      <c r="G7">
        <v>12.5</v>
      </c>
      <c r="H7">
        <v>6</v>
      </c>
      <c r="I7">
        <v>28</v>
      </c>
      <c r="J7">
        <v>26</v>
      </c>
      <c r="K7">
        <v>21.5</v>
      </c>
      <c r="L7">
        <v>4.5</v>
      </c>
      <c r="M7">
        <v>12</v>
      </c>
      <c r="N7">
        <v>11.5</v>
      </c>
      <c r="O7">
        <v>23</v>
      </c>
      <c r="P7">
        <v>10</v>
      </c>
      <c r="Q7">
        <v>15</v>
      </c>
      <c r="R7">
        <v>5.5</v>
      </c>
      <c r="S7">
        <v>20</v>
      </c>
      <c r="T7">
        <v>24.5</v>
      </c>
      <c r="U7">
        <v>17.5</v>
      </c>
      <c r="V7">
        <v>2.5</v>
      </c>
      <c r="W7">
        <v>23.5</v>
      </c>
      <c r="X7">
        <v>5</v>
      </c>
      <c r="Y7">
        <v>18</v>
      </c>
      <c r="Z7">
        <v>2.5</v>
      </c>
      <c r="AA7">
        <v>12</v>
      </c>
      <c r="AB7">
        <v>21</v>
      </c>
      <c r="AC7">
        <v>7.5</v>
      </c>
      <c r="AD7">
        <v>25</v>
      </c>
      <c r="AE7">
        <v>8.5</v>
      </c>
      <c r="AF7">
        <v>10</v>
      </c>
      <c r="AG7">
        <v>20</v>
      </c>
      <c r="AH7">
        <v>12.5</v>
      </c>
      <c r="AI7">
        <f>19/2</f>
        <v>9.5</v>
      </c>
      <c r="AJ7">
        <v>9.5</v>
      </c>
      <c r="AK7">
        <v>12.5</v>
      </c>
      <c r="AL7">
        <v>15</v>
      </c>
      <c r="AM7">
        <v>10</v>
      </c>
      <c r="AN7">
        <v>17.5</v>
      </c>
      <c r="AO7">
        <v>13</v>
      </c>
      <c r="AP7">
        <v>21.5</v>
      </c>
      <c r="AQ7">
        <v>9.5</v>
      </c>
      <c r="AR7">
        <v>2</v>
      </c>
      <c r="AS7">
        <v>5</v>
      </c>
      <c r="AT7">
        <v>8.5</v>
      </c>
      <c r="AU7">
        <v>16.5</v>
      </c>
      <c r="AV7">
        <v>8.5</v>
      </c>
      <c r="AW7">
        <v>5</v>
      </c>
      <c r="AX7">
        <v>19.5</v>
      </c>
      <c r="AY7">
        <v>24</v>
      </c>
      <c r="AZ7">
        <v>9.5</v>
      </c>
      <c r="BA7">
        <v>6.5</v>
      </c>
      <c r="BB7">
        <v>15.5</v>
      </c>
      <c r="BC7">
        <v>13</v>
      </c>
      <c r="BD7">
        <v>3.5</v>
      </c>
      <c r="BE7">
        <v>16</v>
      </c>
      <c r="BF7">
        <v>21</v>
      </c>
      <c r="BG7">
        <v>12</v>
      </c>
      <c r="BH7">
        <v>6.5</v>
      </c>
      <c r="BI7">
        <v>12</v>
      </c>
      <c r="BJ7">
        <v>14.5</v>
      </c>
      <c r="BK7">
        <v>3.5</v>
      </c>
      <c r="BL7">
        <v>10.5</v>
      </c>
      <c r="BM7">
        <v>13</v>
      </c>
      <c r="BN7">
        <v>8.5</v>
      </c>
      <c r="BO7">
        <v>9</v>
      </c>
      <c r="BP7">
        <v>5</v>
      </c>
      <c r="BQ7">
        <v>13.5</v>
      </c>
      <c r="BR7">
        <v>5.5</v>
      </c>
      <c r="BS7">
        <v>3.5</v>
      </c>
      <c r="BT7">
        <v>14</v>
      </c>
      <c r="BU7">
        <v>16.5</v>
      </c>
      <c r="BV7">
        <v>8</v>
      </c>
      <c r="BW7">
        <v>32.5</v>
      </c>
      <c r="BX7">
        <v>10</v>
      </c>
      <c r="BY7">
        <v>21.5</v>
      </c>
      <c r="BZ7">
        <v>19</v>
      </c>
      <c r="CA7">
        <v>2</v>
      </c>
      <c r="CB7">
        <v>35</v>
      </c>
      <c r="CC7">
        <v>23</v>
      </c>
      <c r="CD7">
        <v>34</v>
      </c>
      <c r="CE7">
        <v>8</v>
      </c>
      <c r="CF7">
        <v>26</v>
      </c>
      <c r="CG7">
        <v>20.5</v>
      </c>
      <c r="CH7">
        <v>28.5</v>
      </c>
      <c r="CI7">
        <v>14.5</v>
      </c>
      <c r="CJ7">
        <v>50</v>
      </c>
      <c r="CK7">
        <v>8.5</v>
      </c>
      <c r="CL7">
        <v>25.5</v>
      </c>
      <c r="CM7">
        <v>38</v>
      </c>
      <c r="CN7">
        <v>9.5</v>
      </c>
      <c r="CO7">
        <v>19</v>
      </c>
      <c r="CP7">
        <v>20</v>
      </c>
      <c r="CQ7">
        <v>14</v>
      </c>
      <c r="CR7">
        <v>30</v>
      </c>
      <c r="CS7">
        <v>13</v>
      </c>
      <c r="CT7">
        <v>27</v>
      </c>
      <c r="CU7">
        <v>23</v>
      </c>
      <c r="CV7">
        <v>20.5</v>
      </c>
      <c r="CW7">
        <v>31.5</v>
      </c>
      <c r="CX7">
        <v>32</v>
      </c>
      <c r="CY7">
        <v>15</v>
      </c>
      <c r="CZ7">
        <v>22.5</v>
      </c>
      <c r="DA7">
        <v>14</v>
      </c>
      <c r="DB7">
        <v>3</v>
      </c>
      <c r="DC7">
        <v>15.5</v>
      </c>
      <c r="DD7">
        <v>13</v>
      </c>
      <c r="DE7">
        <v>27</v>
      </c>
      <c r="DF7">
        <v>16.5</v>
      </c>
      <c r="DG7">
        <v>7.5</v>
      </c>
      <c r="DH7">
        <v>16.5</v>
      </c>
      <c r="DI7">
        <v>7</v>
      </c>
      <c r="DJ7">
        <v>13</v>
      </c>
      <c r="DK7">
        <v>24.5</v>
      </c>
      <c r="DL7">
        <v>9.5</v>
      </c>
      <c r="DM7">
        <v>11.5</v>
      </c>
      <c r="DN7">
        <v>25.5</v>
      </c>
      <c r="DO7">
        <v>17</v>
      </c>
      <c r="DP7">
        <v>10</v>
      </c>
      <c r="DQ7">
        <v>15</v>
      </c>
      <c r="DR7">
        <v>6</v>
      </c>
      <c r="DS7" s="1">
        <f>AVERAGE(Supplementary_Fig7!B7:DR7)</f>
        <v>15.235537190082646</v>
      </c>
      <c r="DT7" s="1">
        <f t="shared" si="0"/>
        <v>0.80009629198739107</v>
      </c>
      <c r="DZ7">
        <v>21221</v>
      </c>
      <c r="EA7">
        <v>7</v>
      </c>
      <c r="EB7">
        <v>0</v>
      </c>
      <c r="EF7">
        <v>1</v>
      </c>
      <c r="EG7">
        <v>1</v>
      </c>
      <c r="EH7">
        <v>1</v>
      </c>
      <c r="EJ7">
        <v>1</v>
      </c>
      <c r="EK7">
        <f t="shared" si="1"/>
        <v>4</v>
      </c>
      <c r="EM7">
        <v>2607222</v>
      </c>
      <c r="EN7">
        <v>8</v>
      </c>
      <c r="EO7">
        <v>0</v>
      </c>
      <c r="EX7">
        <f t="shared" si="2"/>
        <v>0</v>
      </c>
      <c r="FA7">
        <v>80322</v>
      </c>
      <c r="FB7">
        <v>8</v>
      </c>
      <c r="FC7">
        <v>0</v>
      </c>
      <c r="FL7">
        <f>SUM(Supplementary_Fig7!FD7:FK7)</f>
        <v>0</v>
      </c>
      <c r="FO7" t="s">
        <v>351</v>
      </c>
      <c r="FP7">
        <v>36.17</v>
      </c>
      <c r="FS7" t="s">
        <v>351</v>
      </c>
      <c r="FT7">
        <f>63*FP7/100</f>
        <v>22.787099999999999</v>
      </c>
      <c r="FW7" s="1">
        <f>AVERAGE(Supplementary_Fig7!FW3:FW6)</f>
        <v>83.218600000000009</v>
      </c>
      <c r="FX7" s="1">
        <f>AVERAGE(FX3:FX6)</f>
        <v>28.682875000000003</v>
      </c>
      <c r="FY7" s="1">
        <f>AVERAGE(Supplementary_Fig7!FY3:FY6)</f>
        <v>73.349149999999995</v>
      </c>
      <c r="FZ7" s="1">
        <f>AVERAGE(Supplementary_Fig7!FZ3:FZ6)</f>
        <v>36.174149999999997</v>
      </c>
      <c r="GA7" s="1">
        <f>AVERAGE(Supplementary_Fig7!GA3:GA6)</f>
        <v>57.171300000000002</v>
      </c>
      <c r="GB7" s="1">
        <f>AVERAGE(Supplementary_Fig7!GB3:GB6)</f>
        <v>47.013950000000001</v>
      </c>
      <c r="GC7" s="1">
        <f>AVERAGE(GC3:GC6)</f>
        <v>33.968474999999998</v>
      </c>
      <c r="GD7" s="1">
        <f>AVERAGE(Supplementary_Fig7!GD3:GD6)</f>
        <v>66.283699999999996</v>
      </c>
      <c r="GE7" s="1">
        <f>AVERAGE(Supplementary_Fig7!GE3:GE6)</f>
        <v>47.760300000000001</v>
      </c>
      <c r="GF7" s="1">
        <f>AVERAGE(Supplementary_Fig7!GF3:GF6)</f>
        <v>28.843450000000001</v>
      </c>
      <c r="GH7" t="s">
        <v>349</v>
      </c>
      <c r="GJ7">
        <v>77.010000000000005</v>
      </c>
      <c r="GL7" t="s">
        <v>349</v>
      </c>
      <c r="GN7">
        <f t="shared" si="3"/>
        <v>48.516300000000001</v>
      </c>
      <c r="GQ7">
        <v>100.925</v>
      </c>
      <c r="GR7">
        <v>67.927899999999994</v>
      </c>
      <c r="GS7">
        <v>99.892700000000005</v>
      </c>
      <c r="GT7">
        <v>76.698099999999997</v>
      </c>
      <c r="GZ7" t="s">
        <v>353</v>
      </c>
      <c r="HB7">
        <v>71.3</v>
      </c>
      <c r="HD7" t="s">
        <v>353</v>
      </c>
      <c r="HF7">
        <f>63*Supplementary_Fig7!HB7/100</f>
        <v>44.918999999999997</v>
      </c>
      <c r="HJ7">
        <v>72.796400000000006</v>
      </c>
      <c r="HK7">
        <v>133.41800000000001</v>
      </c>
      <c r="HL7">
        <v>72.178700000000006</v>
      </c>
      <c r="HM7">
        <v>97.272800000000004</v>
      </c>
      <c r="HN7">
        <v>59.231299999999997</v>
      </c>
      <c r="HO7">
        <v>59.851999999999997</v>
      </c>
      <c r="HV7" t="s">
        <v>351</v>
      </c>
      <c r="HW7">
        <v>75.75</v>
      </c>
      <c r="IA7">
        <v>80.992099999999994</v>
      </c>
      <c r="IB7">
        <v>82.7744</v>
      </c>
      <c r="IC7">
        <v>81.565899999999999</v>
      </c>
      <c r="ID7">
        <v>98.179599999999994</v>
      </c>
      <c r="IE7">
        <v>86.898799999999994</v>
      </c>
      <c r="IF7">
        <v>67.324799999999996</v>
      </c>
      <c r="IG7">
        <v>107.782</v>
      </c>
      <c r="IH7">
        <v>103.76600000000001</v>
      </c>
      <c r="II7">
        <v>80.583200000000005</v>
      </c>
      <c r="IJ7">
        <v>94.094800000000006</v>
      </c>
      <c r="IK7">
        <v>101.048</v>
      </c>
      <c r="IX7" t="s">
        <v>349</v>
      </c>
      <c r="IY7">
        <v>107.75</v>
      </c>
      <c r="JC7">
        <v>104.033</v>
      </c>
      <c r="JD7">
        <v>88.561999999999998</v>
      </c>
      <c r="JE7">
        <v>98.112499999999997</v>
      </c>
      <c r="JF7">
        <v>103.65</v>
      </c>
      <c r="JG7">
        <v>101.34699999999999</v>
      </c>
      <c r="JH7">
        <v>111.986</v>
      </c>
      <c r="JI7">
        <v>90.853899999999996</v>
      </c>
      <c r="JJ7">
        <v>122.762</v>
      </c>
      <c r="JK7">
        <v>92.2791</v>
      </c>
      <c r="JL7">
        <v>121.233</v>
      </c>
      <c r="JM7">
        <v>105.389</v>
      </c>
      <c r="JN7">
        <v>93.420400000000001</v>
      </c>
      <c r="JV7" t="s">
        <v>353</v>
      </c>
      <c r="JW7">
        <v>94.2</v>
      </c>
      <c r="JZ7">
        <v>118.633</v>
      </c>
      <c r="KA7">
        <v>121.336</v>
      </c>
      <c r="KB7">
        <v>70.974699999999999</v>
      </c>
      <c r="KC7">
        <v>94.940200000000004</v>
      </c>
      <c r="KE7">
        <v>93.9041</v>
      </c>
      <c r="KF7">
        <v>110.155</v>
      </c>
      <c r="KG7">
        <v>78.726200000000006</v>
      </c>
      <c r="KH7">
        <v>88.176000000000002</v>
      </c>
      <c r="KI7">
        <v>54.211399999999998</v>
      </c>
      <c r="KJ7">
        <f>AVERAGE(Supplementary_Fig7!KJ4:KJ6)</f>
        <v>117.40733333333333</v>
      </c>
      <c r="KK7">
        <v>117.31699999999999</v>
      </c>
      <c r="KL7">
        <v>122.19199999999999</v>
      </c>
      <c r="KM7">
        <v>114.893</v>
      </c>
      <c r="KT7" t="s">
        <v>351</v>
      </c>
      <c r="KU7">
        <v>2.23</v>
      </c>
      <c r="KY7">
        <v>1.7567699999999999</v>
      </c>
      <c r="KZ7">
        <v>2.4633799999999999</v>
      </c>
      <c r="LA7">
        <v>1.6785699999999999</v>
      </c>
      <c r="LB7">
        <v>2.1795100000000001</v>
      </c>
      <c r="LC7">
        <v>1.98899</v>
      </c>
      <c r="LD7">
        <v>1.9477</v>
      </c>
      <c r="LE7">
        <v>2.34537</v>
      </c>
      <c r="LF7">
        <v>2.06046</v>
      </c>
      <c r="LG7">
        <v>2.9650699999999999</v>
      </c>
      <c r="LH7">
        <v>3.4844599999999999</v>
      </c>
      <c r="LI7">
        <v>1.7816399999999999</v>
      </c>
      <c r="LJ7">
        <v>4.0808400000000002</v>
      </c>
      <c r="LK7">
        <v>2.0052300000000001</v>
      </c>
      <c r="LM7">
        <v>1.76047</v>
      </c>
      <c r="LN7">
        <v>2.1869000000000001</v>
      </c>
      <c r="LW7" t="s">
        <v>349</v>
      </c>
      <c r="LX7">
        <v>1.613</v>
      </c>
      <c r="MB7">
        <v>1.3800300000000001</v>
      </c>
      <c r="MC7">
        <v>1.8188899999999999</v>
      </c>
      <c r="MD7">
        <v>1.58955</v>
      </c>
      <c r="ME7">
        <v>1.6555299999999999</v>
      </c>
      <c r="MF7">
        <v>1.5556399999999999</v>
      </c>
      <c r="MG7">
        <v>1.60164</v>
      </c>
      <c r="MH7">
        <v>1.93964</v>
      </c>
      <c r="MI7">
        <v>1.49438</v>
      </c>
      <c r="MJ7">
        <v>1.6312800000000001</v>
      </c>
      <c r="MK7">
        <v>1.6014699999999999</v>
      </c>
      <c r="ML7">
        <v>1.49576</v>
      </c>
      <c r="MM7">
        <v>1.41415</v>
      </c>
      <c r="MN7">
        <v>1.6572199999999999</v>
      </c>
      <c r="MO7">
        <v>1.9549300000000001</v>
      </c>
      <c r="MP7">
        <v>1.9549300000000001</v>
      </c>
      <c r="MQ7">
        <v>1.7137</v>
      </c>
      <c r="MR7">
        <v>1.2951900000000001</v>
      </c>
      <c r="MS7">
        <v>2.52101</v>
      </c>
      <c r="MT7">
        <v>1.9621299999999999</v>
      </c>
      <c r="MU7">
        <v>1.9266700000000001</v>
      </c>
      <c r="MZ7" t="s">
        <v>353</v>
      </c>
      <c r="NA7">
        <v>1.17</v>
      </c>
      <c r="ND7">
        <v>1.3372900000000001</v>
      </c>
      <c r="NE7">
        <v>1.4850000000000001</v>
      </c>
      <c r="NF7">
        <v>1.4031800000000001</v>
      </c>
      <c r="NG7">
        <v>1.1693899999999999</v>
      </c>
      <c r="NH7">
        <v>1.4634799999999999</v>
      </c>
      <c r="NI7">
        <v>1.41248</v>
      </c>
      <c r="NJ7">
        <v>1.4220299999999999</v>
      </c>
      <c r="NK7">
        <v>1.4844299999999999</v>
      </c>
      <c r="NL7">
        <v>1.9874700000000001</v>
      </c>
      <c r="NM7">
        <v>1.98576</v>
      </c>
      <c r="NN7">
        <f>AVERAGE(Supplementary_Fig7!NN4:NN6)</f>
        <v>1.2827633333333333</v>
      </c>
      <c r="NO7">
        <v>1.38331</v>
      </c>
      <c r="NP7">
        <v>1.4311700000000001</v>
      </c>
      <c r="NQ7">
        <v>1.3792500000000001</v>
      </c>
      <c r="NR7">
        <v>1.30494</v>
      </c>
      <c r="NS7">
        <v>1.24335</v>
      </c>
      <c r="NT7">
        <v>1.07986</v>
      </c>
      <c r="NU7">
        <v>1.19391</v>
      </c>
      <c r="NZ7" t="s">
        <v>351</v>
      </c>
      <c r="OA7">
        <v>126.541</v>
      </c>
      <c r="OC7" t="s">
        <v>349</v>
      </c>
      <c r="OD7">
        <v>332.459</v>
      </c>
      <c r="OF7" t="s">
        <v>353</v>
      </c>
      <c r="OG7">
        <v>379.24299999999999</v>
      </c>
      <c r="OI7">
        <v>21221</v>
      </c>
      <c r="OJ7">
        <v>7</v>
      </c>
      <c r="OK7">
        <v>0</v>
      </c>
      <c r="OP7">
        <v>5</v>
      </c>
      <c r="OQ7">
        <v>-85.46</v>
      </c>
      <c r="OT7">
        <v>3.48</v>
      </c>
      <c r="OU7">
        <v>-85.77</v>
      </c>
      <c r="OZ7">
        <v>8.34</v>
      </c>
      <c r="PA7">
        <v>-98.67</v>
      </c>
      <c r="PD7">
        <v>-84.44</v>
      </c>
      <c r="PE7">
        <v>1.8</v>
      </c>
      <c r="PH7">
        <v>2607222</v>
      </c>
      <c r="PI7">
        <v>8</v>
      </c>
      <c r="PJ7">
        <v>0</v>
      </c>
      <c r="PK7">
        <v>6.34</v>
      </c>
      <c r="PL7">
        <v>-98.95</v>
      </c>
      <c r="PM7">
        <v>2.67</v>
      </c>
      <c r="PN7">
        <v>-95.78</v>
      </c>
      <c r="PO7">
        <v>1.61</v>
      </c>
      <c r="PP7">
        <v>-83.65</v>
      </c>
      <c r="PS7">
        <v>3.93</v>
      </c>
      <c r="PT7">
        <v>-94.15</v>
      </c>
      <c r="PU7">
        <v>3.53</v>
      </c>
      <c r="PV7">
        <v>-98.59</v>
      </c>
      <c r="PY7">
        <v>5.55</v>
      </c>
      <c r="PZ7">
        <v>-98.07</v>
      </c>
      <c r="QC7">
        <v>-83.65</v>
      </c>
      <c r="QD7">
        <v>1.61</v>
      </c>
      <c r="QF7">
        <v>80322</v>
      </c>
      <c r="QG7">
        <v>8</v>
      </c>
      <c r="QH7">
        <v>0</v>
      </c>
      <c r="QI7">
        <v>2.06</v>
      </c>
      <c r="QJ7">
        <v>-84.1</v>
      </c>
      <c r="QK7">
        <v>2.37</v>
      </c>
      <c r="QL7">
        <v>-83.79</v>
      </c>
      <c r="QN7" t="s">
        <v>1054</v>
      </c>
      <c r="QP7" t="s">
        <v>1054</v>
      </c>
      <c r="QQ7">
        <v>2.36</v>
      </c>
      <c r="QR7">
        <v>-83.07</v>
      </c>
      <c r="QS7">
        <v>5.32</v>
      </c>
      <c r="QT7">
        <v>-94.08</v>
      </c>
      <c r="QU7">
        <v>3.92</v>
      </c>
      <c r="QV7">
        <v>-88.39</v>
      </c>
      <c r="QW7">
        <v>2.8</v>
      </c>
      <c r="QX7">
        <v>-79.209999999999994</v>
      </c>
      <c r="RA7">
        <v>-76</v>
      </c>
      <c r="RB7">
        <v>2.37</v>
      </c>
    </row>
    <row r="8" spans="1:470" ht="13.15" x14ac:dyDescent="0.4">
      <c r="A8">
        <v>300</v>
      </c>
      <c r="B8">
        <v>8</v>
      </c>
      <c r="C8">
        <v>2</v>
      </c>
      <c r="D8">
        <v>17</v>
      </c>
      <c r="E8">
        <v>10.5</v>
      </c>
      <c r="F8">
        <v>23</v>
      </c>
      <c r="G8">
        <v>16</v>
      </c>
      <c r="H8">
        <v>3</v>
      </c>
      <c r="I8">
        <v>27</v>
      </c>
      <c r="J8">
        <v>11</v>
      </c>
      <c r="K8">
        <v>23</v>
      </c>
      <c r="L8">
        <v>5.5</v>
      </c>
      <c r="M8">
        <v>14.5</v>
      </c>
      <c r="N8">
        <v>12</v>
      </c>
      <c r="O8">
        <v>24.5</v>
      </c>
      <c r="P8">
        <v>11</v>
      </c>
      <c r="Q8">
        <v>15</v>
      </c>
      <c r="R8">
        <v>6.5</v>
      </c>
      <c r="S8">
        <v>23.5</v>
      </c>
      <c r="T8">
        <v>15.5</v>
      </c>
      <c r="U8">
        <v>19.5</v>
      </c>
      <c r="V8">
        <v>2</v>
      </c>
      <c r="W8">
        <v>20</v>
      </c>
      <c r="X8">
        <v>6</v>
      </c>
      <c r="Y8">
        <v>22</v>
      </c>
      <c r="Z8">
        <v>2</v>
      </c>
      <c r="AA8">
        <v>13.5</v>
      </c>
      <c r="AB8">
        <v>17.5</v>
      </c>
      <c r="AC8">
        <v>8.5</v>
      </c>
      <c r="AD8">
        <v>26.5</v>
      </c>
      <c r="AE8">
        <v>4.5</v>
      </c>
      <c r="AF8">
        <v>10.5</v>
      </c>
      <c r="AG8">
        <v>20.5</v>
      </c>
      <c r="AH8">
        <v>15</v>
      </c>
      <c r="AI8">
        <v>13</v>
      </c>
      <c r="AJ8">
        <v>11</v>
      </c>
      <c r="AK8">
        <v>13.5</v>
      </c>
      <c r="AL8">
        <v>7.5</v>
      </c>
      <c r="AM8">
        <v>12</v>
      </c>
      <c r="AN8">
        <v>21</v>
      </c>
      <c r="AO8">
        <v>11.5</v>
      </c>
      <c r="AP8">
        <v>12.5</v>
      </c>
      <c r="AQ8">
        <v>12.5</v>
      </c>
      <c r="AR8">
        <v>2</v>
      </c>
      <c r="AS8">
        <v>6</v>
      </c>
      <c r="AT8">
        <v>11</v>
      </c>
      <c r="AU8">
        <v>17</v>
      </c>
      <c r="AV8">
        <v>11</v>
      </c>
      <c r="AW8">
        <v>5.5</v>
      </c>
      <c r="AX8">
        <v>22.5</v>
      </c>
      <c r="AY8">
        <v>14.5</v>
      </c>
      <c r="AZ8">
        <v>8.5</v>
      </c>
      <c r="BA8">
        <v>8</v>
      </c>
      <c r="BB8">
        <v>11</v>
      </c>
      <c r="BC8">
        <v>6.5</v>
      </c>
      <c r="BD8">
        <v>4</v>
      </c>
      <c r="BE8">
        <v>6</v>
      </c>
      <c r="BF8">
        <v>23</v>
      </c>
      <c r="BG8">
        <v>13.5</v>
      </c>
      <c r="BH8">
        <v>7.5</v>
      </c>
      <c r="BI8">
        <v>13</v>
      </c>
      <c r="BJ8">
        <v>11.5</v>
      </c>
      <c r="BK8">
        <v>4</v>
      </c>
      <c r="BL8">
        <v>11.5</v>
      </c>
      <c r="BM8">
        <v>9</v>
      </c>
      <c r="BN8">
        <v>10</v>
      </c>
      <c r="BO8">
        <v>10</v>
      </c>
      <c r="BP8">
        <v>5.5</v>
      </c>
      <c r="BQ8">
        <v>14.5</v>
      </c>
      <c r="BR8">
        <v>6.5</v>
      </c>
      <c r="BS8">
        <v>3</v>
      </c>
      <c r="BT8">
        <v>17</v>
      </c>
      <c r="BU8">
        <v>18.5</v>
      </c>
      <c r="BV8">
        <v>5</v>
      </c>
      <c r="BW8">
        <v>32.5</v>
      </c>
      <c r="BX8">
        <v>11.5</v>
      </c>
      <c r="BY8">
        <v>20.5</v>
      </c>
      <c r="BZ8">
        <v>5</v>
      </c>
      <c r="CA8">
        <v>2.5</v>
      </c>
      <c r="CB8">
        <v>37.5</v>
      </c>
      <c r="CC8">
        <v>10.5</v>
      </c>
      <c r="CD8">
        <v>17</v>
      </c>
      <c r="CE8">
        <v>9.5</v>
      </c>
      <c r="CF8">
        <v>28.5</v>
      </c>
      <c r="CG8">
        <v>24</v>
      </c>
      <c r="CH8">
        <v>33.5</v>
      </c>
      <c r="CI8">
        <v>4.5</v>
      </c>
      <c r="CJ8">
        <v>53</v>
      </c>
      <c r="CK8">
        <v>8.5</v>
      </c>
      <c r="CL8">
        <v>26</v>
      </c>
      <c r="CM8">
        <v>35</v>
      </c>
      <c r="CN8">
        <v>11</v>
      </c>
      <c r="CO8">
        <v>23</v>
      </c>
      <c r="CP8">
        <v>23.5</v>
      </c>
      <c r="CQ8">
        <v>16.5</v>
      </c>
      <c r="CR8">
        <v>17.5</v>
      </c>
      <c r="CS8">
        <v>8</v>
      </c>
      <c r="CT8">
        <v>30</v>
      </c>
      <c r="CU8">
        <v>30</v>
      </c>
      <c r="CV8">
        <v>22.5</v>
      </c>
      <c r="CW8">
        <v>35.5</v>
      </c>
      <c r="CX8">
        <v>35</v>
      </c>
      <c r="CY8">
        <v>16</v>
      </c>
      <c r="CZ8">
        <v>24.5</v>
      </c>
      <c r="DA8">
        <v>16</v>
      </c>
      <c r="DB8">
        <v>2.5</v>
      </c>
      <c r="DC8">
        <v>16</v>
      </c>
      <c r="DD8">
        <v>13.5</v>
      </c>
      <c r="DE8">
        <v>29.5</v>
      </c>
      <c r="DF8">
        <v>19.5</v>
      </c>
      <c r="DG8">
        <v>9.5</v>
      </c>
      <c r="DH8">
        <v>18.5</v>
      </c>
      <c r="DI8">
        <v>8.5</v>
      </c>
      <c r="DJ8">
        <v>10.5</v>
      </c>
      <c r="DK8">
        <v>26.5</v>
      </c>
      <c r="DL8">
        <v>12</v>
      </c>
      <c r="DM8">
        <v>16</v>
      </c>
      <c r="DN8">
        <v>29</v>
      </c>
      <c r="DO8">
        <v>17</v>
      </c>
      <c r="DP8">
        <v>11.5</v>
      </c>
      <c r="DQ8">
        <v>16</v>
      </c>
      <c r="DR8">
        <v>3</v>
      </c>
      <c r="DS8" s="1">
        <f>AVERAGE(Supplementary_Fig7!B8:DR8)</f>
        <v>15</v>
      </c>
      <c r="DT8" s="1">
        <f t="shared" si="0"/>
        <v>0.83558923305125499</v>
      </c>
      <c r="DZ8">
        <v>212212</v>
      </c>
      <c r="EA8">
        <v>3</v>
      </c>
      <c r="EB8">
        <v>1</v>
      </c>
      <c r="EK8">
        <f t="shared" si="1"/>
        <v>0</v>
      </c>
      <c r="EM8">
        <v>270722</v>
      </c>
      <c r="EN8">
        <v>8</v>
      </c>
      <c r="EO8">
        <v>0</v>
      </c>
      <c r="EX8">
        <f t="shared" si="2"/>
        <v>0</v>
      </c>
      <c r="FA8">
        <v>803222</v>
      </c>
      <c r="FB8">
        <v>6</v>
      </c>
      <c r="FC8">
        <v>0</v>
      </c>
      <c r="FL8">
        <f>SUM(Supplementary_Fig7!FD8:FK8)</f>
        <v>0</v>
      </c>
      <c r="FO8" t="s">
        <v>354</v>
      </c>
      <c r="FQ8">
        <v>57.17</v>
      </c>
      <c r="FS8" t="s">
        <v>354</v>
      </c>
      <c r="FU8">
        <f t="shared" ref="FU8:FU19" si="4">63*FQ8/100</f>
        <v>36.017099999999999</v>
      </c>
      <c r="GH8" t="s">
        <v>352</v>
      </c>
      <c r="GJ8">
        <v>99.43</v>
      </c>
      <c r="GL8" t="s">
        <v>352</v>
      </c>
      <c r="GN8">
        <f t="shared" si="3"/>
        <v>62.640900000000002</v>
      </c>
      <c r="GQ8" s="1">
        <f>AVERAGE(GQ4:GQ7)</f>
        <v>93.225775000000013</v>
      </c>
      <c r="GR8" s="1">
        <f>AVERAGE(GR4:GR7)</f>
        <v>53.887524999999997</v>
      </c>
      <c r="GS8" s="1">
        <f>AVERAGE(GS4:GS7)</f>
        <v>80.079324999999997</v>
      </c>
      <c r="GT8" s="1">
        <f>AVERAGE(GT4:GT7)</f>
        <v>77.011074999999991</v>
      </c>
      <c r="GU8" s="1">
        <f>AVERAGE(GU4:GU7)</f>
        <v>99.435149999999993</v>
      </c>
      <c r="GZ8" t="s">
        <v>356</v>
      </c>
      <c r="HB8">
        <v>72.7</v>
      </c>
      <c r="HD8" t="s">
        <v>356</v>
      </c>
      <c r="HF8">
        <f>63*Supplementary_Fig7!HB8/100</f>
        <v>45.801000000000002</v>
      </c>
      <c r="HJ8">
        <v>83.719300000000004</v>
      </c>
      <c r="HK8">
        <v>74.973299999999995</v>
      </c>
      <c r="HL8">
        <v>53.396299999999997</v>
      </c>
      <c r="HM8">
        <v>45.018799999999999</v>
      </c>
      <c r="HN8">
        <v>77.552300000000002</v>
      </c>
      <c r="HO8">
        <v>70.248400000000004</v>
      </c>
      <c r="HV8" t="s">
        <v>354</v>
      </c>
      <c r="HW8">
        <v>86.78</v>
      </c>
      <c r="IA8">
        <v>79.731800000000007</v>
      </c>
      <c r="IB8">
        <v>98.034700000000001</v>
      </c>
      <c r="IC8">
        <v>83.007800000000003</v>
      </c>
      <c r="ID8">
        <v>100.279</v>
      </c>
      <c r="IE8">
        <v>88.958699999999993</v>
      </c>
      <c r="IF8">
        <v>66.828900000000004</v>
      </c>
      <c r="IG8">
        <v>109.45699999999999</v>
      </c>
      <c r="IH8">
        <v>105.812</v>
      </c>
      <c r="II8">
        <v>82.359300000000005</v>
      </c>
      <c r="IJ8">
        <v>99.739099999999993</v>
      </c>
      <c r="IK8">
        <v>100.105</v>
      </c>
      <c r="IX8" t="s">
        <v>352</v>
      </c>
      <c r="IY8">
        <v>100.16</v>
      </c>
      <c r="JC8">
        <v>103.012</v>
      </c>
      <c r="JD8">
        <v>86.892700000000005</v>
      </c>
      <c r="JE8">
        <v>100.063</v>
      </c>
      <c r="JF8">
        <v>103.41800000000001</v>
      </c>
      <c r="JG8">
        <v>101.584</v>
      </c>
      <c r="JH8">
        <v>112.215</v>
      </c>
      <c r="JI8">
        <v>91.334500000000006</v>
      </c>
      <c r="JJ8">
        <v>121.982</v>
      </c>
      <c r="JK8">
        <v>91.751099999999994</v>
      </c>
      <c r="JL8">
        <v>122.205</v>
      </c>
      <c r="JM8">
        <v>105.386</v>
      </c>
      <c r="JN8">
        <v>93.441800000000001</v>
      </c>
      <c r="JV8" t="s">
        <v>356</v>
      </c>
      <c r="JW8">
        <v>93.74</v>
      </c>
      <c r="JZ8">
        <v>118.81</v>
      </c>
      <c r="KA8">
        <v>121.458</v>
      </c>
      <c r="KB8">
        <v>70.469700000000003</v>
      </c>
      <c r="KC8">
        <v>91.711399999999998</v>
      </c>
      <c r="KD8">
        <v>94.256600000000006</v>
      </c>
      <c r="KE8">
        <v>124.907</v>
      </c>
      <c r="KF8">
        <v>110.468</v>
      </c>
      <c r="KG8">
        <v>77.160600000000002</v>
      </c>
      <c r="KH8">
        <v>85.307299999999998</v>
      </c>
      <c r="KI8">
        <v>52.456699999999998</v>
      </c>
      <c r="KK8">
        <v>117.331</v>
      </c>
      <c r="KL8">
        <v>121.87</v>
      </c>
      <c r="KM8">
        <v>114.40300000000001</v>
      </c>
      <c r="KT8" t="s">
        <v>354</v>
      </c>
      <c r="KU8">
        <v>2.08</v>
      </c>
      <c r="KY8">
        <v>1.71854</v>
      </c>
      <c r="KZ8">
        <v>2.4638</v>
      </c>
      <c r="LA8">
        <v>1.65045</v>
      </c>
      <c r="LB8">
        <v>2.1960199999999999</v>
      </c>
      <c r="LC8">
        <v>2.01661</v>
      </c>
      <c r="LD8">
        <v>1.9488799999999999</v>
      </c>
      <c r="LE8">
        <v>2.6743299999999999</v>
      </c>
      <c r="LF8">
        <v>2.0487799999999998</v>
      </c>
      <c r="LG8">
        <v>3.109</v>
      </c>
      <c r="LH8">
        <v>3.49152</v>
      </c>
      <c r="LI8">
        <v>1.7909900000000001</v>
      </c>
      <c r="LJ8">
        <v>4.6419899999999998</v>
      </c>
      <c r="LK8">
        <v>1.9199600000000001</v>
      </c>
      <c r="LM8">
        <v>1.74638</v>
      </c>
      <c r="LN8">
        <v>2.08832</v>
      </c>
      <c r="LW8" t="s">
        <v>352</v>
      </c>
      <c r="LX8">
        <v>1.6140000000000001</v>
      </c>
      <c r="MB8">
        <v>1.3833</v>
      </c>
      <c r="MC8">
        <v>1.8113999999999999</v>
      </c>
      <c r="MD8">
        <v>1.62724</v>
      </c>
      <c r="ME8">
        <v>1.65605</v>
      </c>
      <c r="MF8">
        <v>1.6028500000000001</v>
      </c>
      <c r="MG8">
        <v>1.5592900000000001</v>
      </c>
      <c r="MH8">
        <v>1.9601999999999999</v>
      </c>
      <c r="MI8">
        <v>1.5139</v>
      </c>
      <c r="MJ8">
        <v>1.6044099999999999</v>
      </c>
      <c r="MK8">
        <v>1.60161</v>
      </c>
      <c r="ML8">
        <v>1.49441</v>
      </c>
      <c r="MM8">
        <v>1.32829</v>
      </c>
      <c r="MN8">
        <v>1.6640699999999999</v>
      </c>
      <c r="MO8">
        <v>1.9739</v>
      </c>
      <c r="MP8">
        <v>1.9739</v>
      </c>
      <c r="MQ8">
        <v>1.7818400000000001</v>
      </c>
      <c r="MR8">
        <v>1.3140799999999999</v>
      </c>
      <c r="MS8">
        <v>2.5216799999999999</v>
      </c>
      <c r="MT8">
        <v>1.9173899999999999</v>
      </c>
      <c r="MU8">
        <v>1.8782300000000001</v>
      </c>
      <c r="MZ8" t="s">
        <v>356</v>
      </c>
      <c r="NA8">
        <v>1.49</v>
      </c>
      <c r="ND8">
        <v>1.33609</v>
      </c>
      <c r="NE8">
        <v>1.48611</v>
      </c>
      <c r="NF8">
        <v>1.3795500000000001</v>
      </c>
      <c r="NG8">
        <v>1.2034499999999999</v>
      </c>
      <c r="NH8">
        <v>1.49953</v>
      </c>
      <c r="NI8">
        <v>1.4129</v>
      </c>
      <c r="NJ8">
        <v>1.44042</v>
      </c>
      <c r="NK8">
        <v>1.5248200000000001</v>
      </c>
      <c r="NL8">
        <v>2.2012100000000001</v>
      </c>
      <c r="NM8">
        <v>2.0175399999999999</v>
      </c>
      <c r="NO8">
        <v>1.3565</v>
      </c>
      <c r="NP8">
        <v>1.4756499999999999</v>
      </c>
      <c r="NQ8">
        <v>1.3475900000000001</v>
      </c>
      <c r="NR8">
        <v>1.3079799999999999</v>
      </c>
      <c r="NS8">
        <v>1.2388600000000001</v>
      </c>
      <c r="NT8">
        <v>1.0665800000000001</v>
      </c>
      <c r="NU8">
        <v>1.1990700000000001</v>
      </c>
      <c r="NZ8" t="s">
        <v>354</v>
      </c>
      <c r="OA8">
        <v>180.03700000000001</v>
      </c>
      <c r="OC8" t="s">
        <v>352</v>
      </c>
      <c r="OD8">
        <v>344.322</v>
      </c>
      <c r="OF8" t="s">
        <v>356</v>
      </c>
      <c r="OG8">
        <v>313.37</v>
      </c>
      <c r="OI8">
        <v>212212</v>
      </c>
      <c r="OJ8">
        <v>3</v>
      </c>
      <c r="OK8">
        <v>1</v>
      </c>
      <c r="PD8">
        <v>-84.91</v>
      </c>
      <c r="PE8">
        <v>5.27</v>
      </c>
      <c r="PH8">
        <v>270722</v>
      </c>
      <c r="PI8">
        <v>8</v>
      </c>
      <c r="PJ8">
        <v>0</v>
      </c>
      <c r="PM8">
        <v>3.64</v>
      </c>
      <c r="PN8">
        <v>-96.67</v>
      </c>
      <c r="PQ8">
        <v>2.48</v>
      </c>
      <c r="PR8">
        <v>-96.53</v>
      </c>
      <c r="PS8">
        <v>5.32</v>
      </c>
      <c r="PT8">
        <v>-99.83</v>
      </c>
      <c r="PU8">
        <v>2.21</v>
      </c>
      <c r="PV8">
        <v>-100</v>
      </c>
      <c r="PW8">
        <v>2.99</v>
      </c>
      <c r="PX8">
        <v>-89.78</v>
      </c>
      <c r="PY8">
        <v>7.21</v>
      </c>
      <c r="PZ8">
        <v>-90.12</v>
      </c>
      <c r="QC8">
        <v>-84.6</v>
      </c>
      <c r="QD8">
        <v>3.28</v>
      </c>
      <c r="QF8">
        <v>803222</v>
      </c>
      <c r="QG8">
        <v>6</v>
      </c>
      <c r="QH8">
        <v>0</v>
      </c>
      <c r="QI8">
        <v>3.63</v>
      </c>
      <c r="QJ8">
        <v>-81.25</v>
      </c>
      <c r="QP8" t="s">
        <v>1054</v>
      </c>
      <c r="QQ8">
        <v>3.26</v>
      </c>
      <c r="QR8">
        <v>-83.96</v>
      </c>
      <c r="QT8" t="s">
        <v>1054</v>
      </c>
      <c r="QV8" t="s">
        <v>1054</v>
      </c>
      <c r="QX8" t="s">
        <v>1054</v>
      </c>
      <c r="RA8">
        <v>-76.12</v>
      </c>
      <c r="RB8">
        <v>1.19</v>
      </c>
    </row>
    <row r="9" spans="1:470" ht="13.15" x14ac:dyDescent="0.4">
      <c r="A9">
        <v>350</v>
      </c>
      <c r="B9">
        <v>9.5</v>
      </c>
      <c r="C9">
        <v>2</v>
      </c>
      <c r="D9">
        <v>18.5</v>
      </c>
      <c r="E9">
        <v>3</v>
      </c>
      <c r="F9">
        <v>23</v>
      </c>
      <c r="G9">
        <v>18.5</v>
      </c>
      <c r="H9">
        <v>2.5</v>
      </c>
      <c r="I9">
        <v>2.5</v>
      </c>
      <c r="J9">
        <v>2.5</v>
      </c>
      <c r="K9">
        <v>11</v>
      </c>
      <c r="L9">
        <v>6.5</v>
      </c>
      <c r="M9">
        <v>10.5</v>
      </c>
      <c r="N9">
        <v>10</v>
      </c>
      <c r="O9">
        <v>25.5</v>
      </c>
      <c r="P9">
        <v>13</v>
      </c>
      <c r="Q9">
        <v>15.5</v>
      </c>
      <c r="R9">
        <v>7.5</v>
      </c>
      <c r="S9">
        <v>25</v>
      </c>
      <c r="T9">
        <v>11</v>
      </c>
      <c r="U9">
        <v>21</v>
      </c>
      <c r="V9">
        <v>1.5</v>
      </c>
      <c r="W9">
        <v>8</v>
      </c>
      <c r="X9">
        <v>7</v>
      </c>
      <c r="Y9">
        <v>23.5</v>
      </c>
      <c r="Z9">
        <v>1.5</v>
      </c>
      <c r="AA9">
        <v>15.5</v>
      </c>
      <c r="AB9">
        <v>3</v>
      </c>
      <c r="AC9">
        <v>9.5</v>
      </c>
      <c r="AD9">
        <f>57/2</f>
        <v>28.5</v>
      </c>
      <c r="AE9">
        <v>3</v>
      </c>
      <c r="AF9">
        <v>12</v>
      </c>
      <c r="AG9">
        <v>14</v>
      </c>
      <c r="AH9">
        <v>16.5</v>
      </c>
      <c r="AI9">
        <v>16</v>
      </c>
      <c r="AJ9">
        <v>13</v>
      </c>
      <c r="AK9">
        <v>16</v>
      </c>
      <c r="AL9">
        <v>4.5</v>
      </c>
      <c r="AM9">
        <v>13</v>
      </c>
      <c r="AN9">
        <v>21.5</v>
      </c>
      <c r="AO9">
        <v>11.5</v>
      </c>
      <c r="AP9">
        <v>9</v>
      </c>
      <c r="AQ9">
        <v>14.5</v>
      </c>
      <c r="AR9">
        <v>2</v>
      </c>
      <c r="AS9">
        <v>7.5</v>
      </c>
      <c r="AT9">
        <v>13</v>
      </c>
      <c r="AU9">
        <v>10</v>
      </c>
      <c r="AV9">
        <v>13.5</v>
      </c>
      <c r="AW9">
        <v>7.5</v>
      </c>
      <c r="AX9">
        <v>26.5</v>
      </c>
      <c r="AY9">
        <v>3.5</v>
      </c>
      <c r="AZ9">
        <v>6.5</v>
      </c>
      <c r="BA9">
        <v>7</v>
      </c>
      <c r="BB9">
        <v>2</v>
      </c>
      <c r="BC9">
        <v>3</v>
      </c>
      <c r="BD9">
        <v>4</v>
      </c>
      <c r="BE9">
        <v>6</v>
      </c>
      <c r="BF9">
        <v>17</v>
      </c>
      <c r="BG9">
        <v>14.5</v>
      </c>
      <c r="BH9">
        <v>9</v>
      </c>
      <c r="BI9">
        <v>15</v>
      </c>
      <c r="BJ9">
        <v>4.5</v>
      </c>
      <c r="BK9">
        <v>5</v>
      </c>
      <c r="BL9">
        <v>13</v>
      </c>
      <c r="BM9">
        <v>5.5</v>
      </c>
      <c r="BN9">
        <v>11</v>
      </c>
      <c r="BO9">
        <v>11.5</v>
      </c>
      <c r="BP9">
        <v>5</v>
      </c>
      <c r="BQ9">
        <v>13.5</v>
      </c>
      <c r="BR9">
        <v>8</v>
      </c>
      <c r="BS9">
        <v>2</v>
      </c>
      <c r="BT9">
        <v>14.5</v>
      </c>
      <c r="BU9">
        <v>20</v>
      </c>
      <c r="BV9">
        <v>4.5</v>
      </c>
      <c r="BW9">
        <v>33</v>
      </c>
      <c r="BX9">
        <v>14.5</v>
      </c>
      <c r="BY9">
        <v>21</v>
      </c>
      <c r="BZ9">
        <v>3.5</v>
      </c>
      <c r="CA9">
        <v>2</v>
      </c>
      <c r="CB9">
        <v>38.5</v>
      </c>
      <c r="CC9">
        <v>3.5</v>
      </c>
      <c r="CD9">
        <v>5</v>
      </c>
      <c r="CE9">
        <v>10.5</v>
      </c>
      <c r="CF9">
        <v>30</v>
      </c>
      <c r="CG9">
        <v>25</v>
      </c>
      <c r="CH9">
        <v>35.5</v>
      </c>
      <c r="CI9">
        <v>3</v>
      </c>
      <c r="CJ9">
        <v>44</v>
      </c>
      <c r="CK9">
        <v>10</v>
      </c>
      <c r="CL9">
        <v>21</v>
      </c>
      <c r="CM9">
        <v>36.5</v>
      </c>
      <c r="CN9">
        <v>13</v>
      </c>
      <c r="CO9">
        <v>23</v>
      </c>
      <c r="CP9">
        <v>26.5</v>
      </c>
      <c r="CQ9">
        <v>20.5</v>
      </c>
      <c r="CR9">
        <v>10.5</v>
      </c>
      <c r="CS9">
        <v>3.5</v>
      </c>
      <c r="CT9">
        <v>32</v>
      </c>
      <c r="CU9">
        <v>30</v>
      </c>
      <c r="CV9">
        <v>24.5</v>
      </c>
      <c r="CW9">
        <v>31</v>
      </c>
      <c r="CX9">
        <v>36.5</v>
      </c>
      <c r="CY9">
        <v>16</v>
      </c>
      <c r="CZ9">
        <v>25.5</v>
      </c>
      <c r="DA9">
        <v>18</v>
      </c>
      <c r="DB9">
        <v>2</v>
      </c>
      <c r="DC9">
        <v>19</v>
      </c>
      <c r="DD9">
        <v>15</v>
      </c>
      <c r="DE9">
        <v>21</v>
      </c>
      <c r="DF9">
        <v>17</v>
      </c>
      <c r="DG9">
        <v>11</v>
      </c>
      <c r="DH9">
        <v>21</v>
      </c>
      <c r="DI9">
        <v>9.5</v>
      </c>
      <c r="DJ9">
        <v>18</v>
      </c>
      <c r="DK9">
        <v>27.5</v>
      </c>
      <c r="DL9">
        <v>12.5</v>
      </c>
      <c r="DM9">
        <v>17.5</v>
      </c>
      <c r="DN9">
        <v>32.5</v>
      </c>
      <c r="DO9">
        <v>12</v>
      </c>
      <c r="DP9">
        <v>13.5</v>
      </c>
      <c r="DQ9">
        <v>19</v>
      </c>
      <c r="DR9">
        <v>2.5</v>
      </c>
      <c r="DS9" s="1">
        <f>AVERAGE(Supplementary_Fig7!B9:DR9)</f>
        <v>14.082644628099173</v>
      </c>
      <c r="DT9" s="1">
        <f t="shared" si="0"/>
        <v>0.87457874762271703</v>
      </c>
      <c r="DZ9">
        <v>61221</v>
      </c>
      <c r="EA9">
        <v>5</v>
      </c>
      <c r="EB9">
        <v>0</v>
      </c>
      <c r="ED9">
        <v>1</v>
      </c>
      <c r="EK9">
        <f t="shared" si="1"/>
        <v>1</v>
      </c>
      <c r="EM9">
        <v>2707222</v>
      </c>
      <c r="EN9">
        <v>7</v>
      </c>
      <c r="EO9">
        <v>1</v>
      </c>
      <c r="EX9">
        <f t="shared" si="2"/>
        <v>0</v>
      </c>
      <c r="FA9">
        <v>100322</v>
      </c>
      <c r="FB9">
        <v>8</v>
      </c>
      <c r="FC9">
        <v>0</v>
      </c>
      <c r="FL9">
        <f>SUM(Supplementary_Fig7!FD9:FK9)</f>
        <v>0</v>
      </c>
      <c r="FO9" t="s">
        <v>358</v>
      </c>
      <c r="FQ9">
        <v>47.01</v>
      </c>
      <c r="FS9" t="s">
        <v>358</v>
      </c>
      <c r="FU9">
        <f t="shared" si="4"/>
        <v>29.616299999999995</v>
      </c>
      <c r="FW9" t="s">
        <v>378</v>
      </c>
      <c r="FX9" t="s">
        <v>382</v>
      </c>
      <c r="FY9" t="s">
        <v>385</v>
      </c>
      <c r="FZ9" t="s">
        <v>388</v>
      </c>
      <c r="GA9" t="s">
        <v>391</v>
      </c>
      <c r="GB9" t="s">
        <v>394</v>
      </c>
      <c r="GC9" t="s">
        <v>398</v>
      </c>
      <c r="GD9" t="s">
        <v>401</v>
      </c>
      <c r="GE9" t="s">
        <v>404</v>
      </c>
      <c r="GF9" t="s">
        <v>407</v>
      </c>
      <c r="GH9" t="s">
        <v>355</v>
      </c>
      <c r="GJ9">
        <v>66.400000000000006</v>
      </c>
      <c r="GL9" t="s">
        <v>355</v>
      </c>
      <c r="GN9">
        <f t="shared" si="3"/>
        <v>41.832000000000008</v>
      </c>
      <c r="GZ9" t="s">
        <v>360</v>
      </c>
      <c r="HB9">
        <v>72.78</v>
      </c>
      <c r="HD9" t="s">
        <v>360</v>
      </c>
      <c r="HF9">
        <f>63*Supplementary_Fig7!HB9/100</f>
        <v>45.851400000000005</v>
      </c>
      <c r="HJ9" s="1">
        <f>AVERAGE(Supplementary_Fig7!HJ5:HJ8)</f>
        <v>76.177525000000003</v>
      </c>
      <c r="HK9" s="1">
        <f>AVERAGE(Supplementary_Fig7!HK5:HK8)</f>
        <v>103.1006</v>
      </c>
      <c r="HL9" s="1">
        <f>AVERAGE(Supplementary_Fig7!HL5:HL8)</f>
        <v>58.684525000000001</v>
      </c>
      <c r="HM9" s="1">
        <f>AVERAGE(Supplementary_Fig7!HM5:HM8)</f>
        <v>71.300825000000003</v>
      </c>
      <c r="HN9" s="1">
        <f>AVERAGE(Supplementary_Fig7!HN5:HN8)</f>
        <v>72.708725000000001</v>
      </c>
      <c r="HO9" s="1">
        <f>AVERAGE(Supplementary_Fig7!HO5:HO8)</f>
        <v>72.789600000000007</v>
      </c>
      <c r="HV9" t="s">
        <v>358</v>
      </c>
      <c r="HW9">
        <v>90.92</v>
      </c>
      <c r="IA9">
        <v>110.84699999999999</v>
      </c>
      <c r="IB9">
        <v>99.418599999999998</v>
      </c>
      <c r="IC9">
        <v>82.865899999999996</v>
      </c>
      <c r="ID9">
        <v>100.964</v>
      </c>
      <c r="IE9">
        <v>92.691000000000003</v>
      </c>
      <c r="IF9">
        <v>65.239000000000004</v>
      </c>
      <c r="IG9">
        <v>107.127</v>
      </c>
      <c r="IH9">
        <v>109.474</v>
      </c>
      <c r="II9">
        <v>81.602500000000006</v>
      </c>
      <c r="IJ9">
        <v>104.102</v>
      </c>
      <c r="IK9">
        <v>100.261</v>
      </c>
      <c r="IX9" t="s">
        <v>355</v>
      </c>
      <c r="IY9">
        <v>109.71</v>
      </c>
      <c r="JC9">
        <v>103.18</v>
      </c>
      <c r="JD9">
        <v>89.1708</v>
      </c>
      <c r="JE9">
        <v>99.662800000000004</v>
      </c>
      <c r="JF9">
        <v>125.595</v>
      </c>
      <c r="JG9">
        <v>100.873</v>
      </c>
      <c r="JH9">
        <v>113.863</v>
      </c>
      <c r="JI9">
        <v>94.020099999999999</v>
      </c>
      <c r="JJ9">
        <v>122.121</v>
      </c>
      <c r="JK9">
        <v>90.994299999999996</v>
      </c>
      <c r="JL9">
        <v>123.54600000000001</v>
      </c>
      <c r="JM9">
        <v>104.715</v>
      </c>
      <c r="JN9">
        <v>93.316699999999997</v>
      </c>
      <c r="JV9" t="s">
        <v>360</v>
      </c>
      <c r="JW9">
        <v>114.82</v>
      </c>
      <c r="JZ9">
        <v>118.59699999999999</v>
      </c>
      <c r="KA9">
        <v>123.146</v>
      </c>
      <c r="KB9">
        <v>69.923400000000001</v>
      </c>
      <c r="KC9">
        <v>91.104100000000003</v>
      </c>
      <c r="KD9">
        <v>92.706299999999999</v>
      </c>
      <c r="KE9">
        <v>127.72499999999999</v>
      </c>
      <c r="KF9">
        <v>111.169</v>
      </c>
      <c r="KG9">
        <v>78.668199999999999</v>
      </c>
      <c r="KH9">
        <v>85.223399999999998</v>
      </c>
      <c r="KI9">
        <v>74.578900000000004</v>
      </c>
      <c r="KK9">
        <v>112.274</v>
      </c>
      <c r="KL9">
        <v>122.51300000000001</v>
      </c>
      <c r="KM9">
        <v>113.884</v>
      </c>
      <c r="KT9" t="s">
        <v>358</v>
      </c>
      <c r="KU9">
        <v>1.93</v>
      </c>
      <c r="KY9">
        <v>1.7155100000000001</v>
      </c>
      <c r="KZ9">
        <v>2.5149599999999999</v>
      </c>
      <c r="LA9">
        <v>1.6686000000000001</v>
      </c>
      <c r="LB9">
        <v>2.2109299999999998</v>
      </c>
      <c r="LC9">
        <v>2.0164800000000001</v>
      </c>
      <c r="LD9">
        <v>1.9536</v>
      </c>
      <c r="LE9">
        <v>2.4908899999999998</v>
      </c>
      <c r="LF9">
        <v>2.1332399999999998</v>
      </c>
      <c r="LG9">
        <v>3.3174100000000002</v>
      </c>
      <c r="LH9">
        <v>3.6758500000000001</v>
      </c>
      <c r="LI9">
        <v>2.13924</v>
      </c>
      <c r="LJ9">
        <v>5.22424</v>
      </c>
      <c r="LK9">
        <v>1.9886699999999999</v>
      </c>
      <c r="LM9">
        <v>1.7716400000000001</v>
      </c>
      <c r="LN9">
        <v>2.04569</v>
      </c>
      <c r="LW9" t="s">
        <v>355</v>
      </c>
      <c r="LX9">
        <v>1.56</v>
      </c>
      <c r="MB9">
        <v>1.3868400000000001</v>
      </c>
      <c r="MC9">
        <v>1.8106</v>
      </c>
      <c r="MD9">
        <v>1.6888700000000001</v>
      </c>
      <c r="ME9">
        <v>1.62425</v>
      </c>
      <c r="MF9">
        <v>1.7106399999999999</v>
      </c>
      <c r="MG9">
        <v>1.5636000000000001</v>
      </c>
      <c r="MH9">
        <v>1.9871099999999999</v>
      </c>
      <c r="MI9">
        <v>1.5017499999999999</v>
      </c>
      <c r="MJ9">
        <v>1.5886899999999999</v>
      </c>
      <c r="MK9">
        <v>1.57629</v>
      </c>
      <c r="ML9">
        <v>1.5118799999999999</v>
      </c>
      <c r="MM9">
        <v>1.34921</v>
      </c>
      <c r="MN9">
        <v>1.73424</v>
      </c>
      <c r="MO9">
        <v>1.9307799999999999</v>
      </c>
      <c r="MP9">
        <v>1.9307799999999999</v>
      </c>
      <c r="MQ9">
        <v>1.6838200000000001</v>
      </c>
      <c r="MR9">
        <v>1.2882400000000001</v>
      </c>
      <c r="MS9">
        <v>2.8918699999999999</v>
      </c>
      <c r="MT9">
        <v>1.9148799999999999</v>
      </c>
      <c r="MU9">
        <v>1.86761</v>
      </c>
      <c r="MZ9" t="s">
        <v>360</v>
      </c>
      <c r="NA9">
        <v>1.41</v>
      </c>
      <c r="ND9">
        <v>1.3475900000000001</v>
      </c>
      <c r="NE9">
        <v>1.49671</v>
      </c>
      <c r="NF9">
        <v>1.38629</v>
      </c>
      <c r="NG9">
        <v>1.19086</v>
      </c>
      <c r="NH9">
        <f>AVERAGE(Supplementary_Fig7!NH4:NH8)</f>
        <v>1.49281</v>
      </c>
      <c r="NI9">
        <v>1.43899</v>
      </c>
      <c r="NJ9">
        <v>1.4416</v>
      </c>
      <c r="NK9">
        <v>1.5073000000000001</v>
      </c>
      <c r="NL9">
        <v>1.75861</v>
      </c>
      <c r="NM9">
        <v>1.99187</v>
      </c>
      <c r="NO9">
        <v>1.31802</v>
      </c>
      <c r="NP9">
        <v>1.40025</v>
      </c>
      <c r="NQ9">
        <v>1.3397600000000001</v>
      </c>
      <c r="NR9">
        <v>1.30274</v>
      </c>
      <c r="NS9">
        <v>1.2299800000000001</v>
      </c>
      <c r="NT9">
        <v>1.0541700000000001</v>
      </c>
      <c r="NU9">
        <v>1.20719</v>
      </c>
      <c r="NZ9" t="s">
        <v>358</v>
      </c>
      <c r="OA9">
        <v>209.15799999999999</v>
      </c>
      <c r="OC9" t="s">
        <v>355</v>
      </c>
      <c r="OD9">
        <v>302.83800000000002</v>
      </c>
      <c r="OF9" t="s">
        <v>360</v>
      </c>
      <c r="OG9">
        <v>343.89499999999998</v>
      </c>
      <c r="OI9">
        <v>61221</v>
      </c>
      <c r="OJ9">
        <v>5</v>
      </c>
      <c r="OK9">
        <v>0</v>
      </c>
      <c r="PD9">
        <v>-85.04</v>
      </c>
      <c r="PE9">
        <v>4.84</v>
      </c>
      <c r="PH9">
        <v>2707222</v>
      </c>
      <c r="PI9">
        <v>7</v>
      </c>
      <c r="PJ9">
        <v>1</v>
      </c>
      <c r="PK9">
        <v>4.12</v>
      </c>
      <c r="PL9">
        <v>-93.45</v>
      </c>
      <c r="PM9">
        <v>7.83</v>
      </c>
      <c r="PN9">
        <v>-99.96</v>
      </c>
      <c r="PO9">
        <v>4.8600000000000003</v>
      </c>
      <c r="PP9">
        <v>-94.64</v>
      </c>
      <c r="PQ9">
        <v>7.52</v>
      </c>
      <c r="PR9">
        <v>-97.27</v>
      </c>
      <c r="PS9">
        <v>5.92</v>
      </c>
      <c r="PT9">
        <v>-95.81</v>
      </c>
      <c r="PU9">
        <v>5.4</v>
      </c>
      <c r="PV9">
        <v>-99.59</v>
      </c>
      <c r="PY9">
        <v>3.76</v>
      </c>
      <c r="PZ9">
        <v>-90.83</v>
      </c>
      <c r="QC9">
        <v>-84.61</v>
      </c>
      <c r="QD9">
        <v>1.9</v>
      </c>
      <c r="QF9">
        <v>100322</v>
      </c>
      <c r="QG9">
        <v>8</v>
      </c>
      <c r="QH9">
        <v>0</v>
      </c>
      <c r="QJ9" t="s">
        <v>1054</v>
      </c>
      <c r="QK9" t="s">
        <v>1055</v>
      </c>
      <c r="QN9" t="s">
        <v>1054</v>
      </c>
      <c r="QP9" t="s">
        <v>1054</v>
      </c>
      <c r="QQ9">
        <v>1.56</v>
      </c>
      <c r="QR9">
        <v>-86.11</v>
      </c>
      <c r="QS9">
        <v>2.91</v>
      </c>
      <c r="QT9">
        <v>-88.6</v>
      </c>
      <c r="QU9">
        <v>2.5299999999999998</v>
      </c>
      <c r="QV9">
        <v>-84.76</v>
      </c>
      <c r="QW9">
        <v>6.83</v>
      </c>
      <c r="QX9">
        <v>-97.81</v>
      </c>
      <c r="RA9">
        <v>-76.760000000000005</v>
      </c>
      <c r="RB9">
        <v>1.77</v>
      </c>
    </row>
    <row r="10" spans="1:470" ht="13.15" x14ac:dyDescent="0.4">
      <c r="A10">
        <v>400</v>
      </c>
      <c r="B10">
        <v>12</v>
      </c>
      <c r="C10">
        <v>2</v>
      </c>
      <c r="D10">
        <v>21</v>
      </c>
      <c r="E10">
        <v>3</v>
      </c>
      <c r="F10">
        <v>22</v>
      </c>
      <c r="G10">
        <v>19</v>
      </c>
      <c r="H10">
        <v>2</v>
      </c>
      <c r="I10">
        <v>3</v>
      </c>
      <c r="J10">
        <v>3</v>
      </c>
      <c r="K10">
        <v>2.5</v>
      </c>
      <c r="L10">
        <v>7</v>
      </c>
      <c r="M10">
        <v>17.5</v>
      </c>
      <c r="N10">
        <v>8</v>
      </c>
      <c r="O10">
        <v>24.5</v>
      </c>
      <c r="P10">
        <v>16</v>
      </c>
      <c r="Q10">
        <v>14</v>
      </c>
      <c r="R10">
        <v>8</v>
      </c>
      <c r="S10">
        <v>23</v>
      </c>
      <c r="T10">
        <v>5.5</v>
      </c>
      <c r="U10">
        <v>21</v>
      </c>
      <c r="V10">
        <v>1</v>
      </c>
      <c r="W10">
        <v>4.5</v>
      </c>
      <c r="X10">
        <v>7</v>
      </c>
      <c r="Y10">
        <v>25</v>
      </c>
      <c r="Z10">
        <v>1</v>
      </c>
      <c r="AA10">
        <v>17</v>
      </c>
      <c r="AB10">
        <v>3</v>
      </c>
      <c r="AC10">
        <v>12</v>
      </c>
      <c r="AD10">
        <v>31</v>
      </c>
      <c r="AE10">
        <v>3</v>
      </c>
      <c r="AF10">
        <v>13</v>
      </c>
      <c r="AG10">
        <v>25.5</v>
      </c>
      <c r="AH10">
        <f>37/2</f>
        <v>18.5</v>
      </c>
      <c r="AI10">
        <v>18</v>
      </c>
      <c r="AJ10">
        <v>14</v>
      </c>
      <c r="AK10">
        <v>16.5</v>
      </c>
      <c r="AL10">
        <v>4.5</v>
      </c>
      <c r="AM10">
        <v>13.5</v>
      </c>
      <c r="AN10">
        <v>23.5</v>
      </c>
      <c r="AO10">
        <v>8</v>
      </c>
      <c r="AP10">
        <v>6</v>
      </c>
      <c r="AQ10">
        <v>15.5</v>
      </c>
      <c r="AR10">
        <v>2.5</v>
      </c>
      <c r="AS10">
        <v>9</v>
      </c>
      <c r="AT10">
        <v>14</v>
      </c>
      <c r="AU10">
        <v>4.5</v>
      </c>
      <c r="AV10">
        <v>14.5</v>
      </c>
      <c r="AW10">
        <v>8.5</v>
      </c>
      <c r="AX10">
        <v>28.5</v>
      </c>
      <c r="AY10">
        <v>3</v>
      </c>
      <c r="AZ10">
        <v>2</v>
      </c>
      <c r="BA10">
        <v>10.5</v>
      </c>
      <c r="BB10">
        <v>2.5</v>
      </c>
      <c r="BC10">
        <v>3</v>
      </c>
      <c r="BD10">
        <v>5</v>
      </c>
      <c r="BE10">
        <v>2</v>
      </c>
      <c r="BF10">
        <v>8</v>
      </c>
      <c r="BG10">
        <v>14</v>
      </c>
      <c r="BH10">
        <v>11</v>
      </c>
      <c r="BI10">
        <v>16.5</v>
      </c>
      <c r="BJ10">
        <v>3.5</v>
      </c>
      <c r="BK10">
        <v>5.5</v>
      </c>
      <c r="BL10">
        <v>13</v>
      </c>
      <c r="BM10">
        <v>2</v>
      </c>
      <c r="BN10">
        <v>12.5</v>
      </c>
      <c r="BO10">
        <v>13</v>
      </c>
      <c r="BP10">
        <v>5.5</v>
      </c>
      <c r="BQ10">
        <v>10.5</v>
      </c>
      <c r="BR10">
        <v>8.5</v>
      </c>
      <c r="BS10">
        <v>2.5</v>
      </c>
      <c r="BT10">
        <v>13</v>
      </c>
      <c r="BU10">
        <v>18</v>
      </c>
      <c r="BV10">
        <v>4</v>
      </c>
      <c r="BW10">
        <v>33</v>
      </c>
      <c r="BX10">
        <v>13.5</v>
      </c>
      <c r="BY10">
        <v>20.5</v>
      </c>
      <c r="BZ10">
        <v>2.5</v>
      </c>
      <c r="CA10">
        <v>2.5</v>
      </c>
      <c r="CB10">
        <v>39</v>
      </c>
      <c r="CC10">
        <v>3</v>
      </c>
      <c r="CD10">
        <v>4</v>
      </c>
      <c r="CE10">
        <v>11</v>
      </c>
      <c r="CF10">
        <v>29</v>
      </c>
      <c r="CG10">
        <v>26.5</v>
      </c>
      <c r="CH10">
        <v>34.5</v>
      </c>
      <c r="CI10">
        <v>2.5</v>
      </c>
      <c r="CJ10">
        <v>27.5</v>
      </c>
      <c r="CK10">
        <v>11.5</v>
      </c>
      <c r="CL10">
        <v>20</v>
      </c>
      <c r="CM10">
        <f>76/2</f>
        <v>38</v>
      </c>
      <c r="CN10">
        <v>13.5</v>
      </c>
      <c r="CO10">
        <v>26</v>
      </c>
      <c r="CP10">
        <v>25.5</v>
      </c>
      <c r="CQ10">
        <v>23</v>
      </c>
      <c r="CR10">
        <v>5</v>
      </c>
      <c r="CS10">
        <v>3</v>
      </c>
      <c r="CT10">
        <v>20.5</v>
      </c>
      <c r="CU10">
        <v>32</v>
      </c>
      <c r="CV10">
        <v>26.5</v>
      </c>
      <c r="CW10">
        <v>17</v>
      </c>
      <c r="CX10">
        <v>39</v>
      </c>
      <c r="CY10">
        <v>18</v>
      </c>
      <c r="CZ10">
        <v>9.5</v>
      </c>
      <c r="DA10">
        <v>19</v>
      </c>
      <c r="DB10">
        <v>2</v>
      </c>
      <c r="DC10">
        <v>18.5</v>
      </c>
      <c r="DD10">
        <v>15.5</v>
      </c>
      <c r="DE10">
        <v>32</v>
      </c>
      <c r="DF10">
        <v>11</v>
      </c>
      <c r="DG10">
        <v>12</v>
      </c>
      <c r="DH10">
        <v>22</v>
      </c>
      <c r="DI10">
        <v>11</v>
      </c>
      <c r="DJ10">
        <v>21</v>
      </c>
      <c r="DK10">
        <v>25.5</v>
      </c>
      <c r="DL10">
        <v>14.5</v>
      </c>
      <c r="DM10">
        <v>21</v>
      </c>
      <c r="DN10">
        <v>35</v>
      </c>
      <c r="DO10">
        <v>9.5</v>
      </c>
      <c r="DP10">
        <v>14.5</v>
      </c>
      <c r="DQ10">
        <v>19.5</v>
      </c>
      <c r="DR10">
        <v>2.5</v>
      </c>
      <c r="DS10" s="1">
        <f>AVERAGE(Supplementary_Fig7!B10:DR10)</f>
        <v>13.789256198347108</v>
      </c>
      <c r="DT10" s="1">
        <f t="shared" si="0"/>
        <v>0.88707725868876386</v>
      </c>
      <c r="DZ10">
        <v>612212</v>
      </c>
      <c r="EA10">
        <v>8</v>
      </c>
      <c r="EB10">
        <v>0</v>
      </c>
      <c r="ED10">
        <v>1</v>
      </c>
      <c r="EE10">
        <v>1</v>
      </c>
      <c r="EG10">
        <v>1</v>
      </c>
      <c r="EJ10">
        <v>1</v>
      </c>
      <c r="EK10">
        <f t="shared" si="1"/>
        <v>4</v>
      </c>
      <c r="EM10">
        <v>280722</v>
      </c>
      <c r="EN10">
        <v>6</v>
      </c>
      <c r="EO10">
        <v>0</v>
      </c>
      <c r="EX10">
        <f t="shared" si="2"/>
        <v>0</v>
      </c>
      <c r="FA10">
        <v>140322</v>
      </c>
      <c r="FB10">
        <v>6</v>
      </c>
      <c r="FC10">
        <v>0</v>
      </c>
      <c r="FG10">
        <v>1</v>
      </c>
      <c r="FL10">
        <f>SUM(Supplementary_Fig7!FD10:FK10)</f>
        <v>1</v>
      </c>
      <c r="FO10" t="s">
        <v>362</v>
      </c>
      <c r="FQ10">
        <v>33.96</v>
      </c>
      <c r="FS10" t="s">
        <v>362</v>
      </c>
      <c r="FU10">
        <f t="shared" si="4"/>
        <v>21.3948</v>
      </c>
      <c r="FW10">
        <v>72.150599999999997</v>
      </c>
      <c r="FX10">
        <v>87.254800000000003</v>
      </c>
      <c r="FY10">
        <v>29.241599999999998</v>
      </c>
      <c r="FZ10">
        <v>71.501999999999995</v>
      </c>
      <c r="GA10">
        <v>93.427000000000007</v>
      </c>
      <c r="GB10">
        <v>55.848100000000002</v>
      </c>
      <c r="GC10">
        <v>18.2332</v>
      </c>
      <c r="GD10">
        <v>46.007399999999997</v>
      </c>
      <c r="GE10">
        <v>55.815300000000001</v>
      </c>
      <c r="GF10">
        <v>47.996499999999997</v>
      </c>
      <c r="GH10" t="s">
        <v>359</v>
      </c>
      <c r="GJ10">
        <v>54.03</v>
      </c>
      <c r="GL10" t="s">
        <v>359</v>
      </c>
      <c r="GN10">
        <f t="shared" si="3"/>
        <v>34.038899999999998</v>
      </c>
      <c r="GQ10" t="s">
        <v>355</v>
      </c>
      <c r="GR10" t="s">
        <v>359</v>
      </c>
      <c r="GS10" t="s">
        <v>363</v>
      </c>
      <c r="GT10" t="s">
        <v>367</v>
      </c>
      <c r="GU10" t="s">
        <v>371</v>
      </c>
      <c r="GV10" t="s">
        <v>375</v>
      </c>
      <c r="GW10" t="s">
        <v>1024</v>
      </c>
      <c r="GX10" t="s">
        <v>1051</v>
      </c>
      <c r="GZ10" t="s">
        <v>364</v>
      </c>
      <c r="HB10">
        <v>69.25</v>
      </c>
      <c r="HD10" t="s">
        <v>364</v>
      </c>
      <c r="HF10">
        <f>63*Supplementary_Fig7!HB10/100</f>
        <v>43.627499999999998</v>
      </c>
      <c r="HV10" t="s">
        <v>362</v>
      </c>
      <c r="HW10">
        <v>75.52</v>
      </c>
      <c r="IA10">
        <v>80.537400000000005</v>
      </c>
      <c r="IB10">
        <v>81.686400000000006</v>
      </c>
      <c r="IC10">
        <v>82.9315</v>
      </c>
      <c r="ID10">
        <v>99.263000000000005</v>
      </c>
      <c r="IE10">
        <v>95.260599999999997</v>
      </c>
      <c r="IF10">
        <v>66.384900000000002</v>
      </c>
      <c r="IG10">
        <v>81.2744</v>
      </c>
      <c r="IH10">
        <v>111.577</v>
      </c>
      <c r="II10">
        <v>82.698099999999997</v>
      </c>
      <c r="IJ10">
        <v>111.74</v>
      </c>
      <c r="IK10">
        <v>88.278199999999998</v>
      </c>
      <c r="IX10" t="s">
        <v>359</v>
      </c>
      <c r="IY10">
        <v>89.08</v>
      </c>
      <c r="JC10">
        <v>103.41500000000001</v>
      </c>
      <c r="JD10">
        <v>88.668800000000005</v>
      </c>
      <c r="JE10">
        <v>98.820499999999996</v>
      </c>
      <c r="JF10">
        <v>123.875</v>
      </c>
      <c r="JG10">
        <v>101.675</v>
      </c>
      <c r="JH10">
        <v>111.36799999999999</v>
      </c>
      <c r="JI10">
        <v>96.092200000000005</v>
      </c>
      <c r="JJ10">
        <v>125.742</v>
      </c>
      <c r="JK10">
        <v>90.550200000000004</v>
      </c>
      <c r="JL10">
        <v>121.58199999999999</v>
      </c>
      <c r="JM10">
        <v>105.095</v>
      </c>
      <c r="JN10">
        <v>95.179699999999997</v>
      </c>
      <c r="JV10" t="s">
        <v>364</v>
      </c>
      <c r="JW10">
        <v>108.55</v>
      </c>
      <c r="JZ10">
        <f>AVERAGE(Supplementary_Fig7!JZ4:JZ9)</f>
        <v>118.15383333333334</v>
      </c>
      <c r="KA10">
        <v>121.172</v>
      </c>
      <c r="KB10">
        <v>68.7851</v>
      </c>
      <c r="KC10">
        <v>95.085099999999997</v>
      </c>
      <c r="KD10">
        <f>AVERAGE(Supplementary_Fig7!KD4:KD9)</f>
        <v>93.746340000000004</v>
      </c>
      <c r="KE10">
        <f>AVERAGE(Supplementary_Fig7!KE4:KE9)</f>
        <v>114.82321666666667</v>
      </c>
      <c r="KF10">
        <v>111.336</v>
      </c>
      <c r="KG10">
        <f>AVERAGE(Supplementary_Fig7!KG4:KG9)</f>
        <v>79.111983333333328</v>
      </c>
      <c r="KH10">
        <v>91.859399999999994</v>
      </c>
      <c r="KI10">
        <v>53.904699999999998</v>
      </c>
      <c r="KK10">
        <v>95.898399999999995</v>
      </c>
      <c r="KL10">
        <v>120.94</v>
      </c>
      <c r="KM10">
        <v>99.100999999999999</v>
      </c>
      <c r="KT10" t="s">
        <v>362</v>
      </c>
      <c r="KU10">
        <v>2.5499999999999998</v>
      </c>
      <c r="KY10">
        <v>2.0263200000000001</v>
      </c>
      <c r="KZ10">
        <v>2.4650799999999999</v>
      </c>
      <c r="LA10">
        <v>1.72532</v>
      </c>
      <c r="LB10">
        <v>2.3773</v>
      </c>
      <c r="LC10">
        <v>2.1262400000000001</v>
      </c>
      <c r="LD10">
        <v>2.02467</v>
      </c>
      <c r="LE10">
        <v>2.9792299999999998</v>
      </c>
      <c r="LF10">
        <v>2.3140900000000002</v>
      </c>
      <c r="LG10">
        <v>2.6464500000000002</v>
      </c>
      <c r="LH10">
        <v>4.0422900000000004</v>
      </c>
      <c r="LI10">
        <v>1.96983</v>
      </c>
      <c r="LJ10">
        <f>AVERAGE(Supplementary_Fig7!LJ2:LJ9)</f>
        <v>4.4002687500000004</v>
      </c>
      <c r="LK10">
        <v>1.9573700000000001</v>
      </c>
      <c r="LM10">
        <v>1.86121</v>
      </c>
      <c r="LN10">
        <v>2.5995499999999998</v>
      </c>
      <c r="LW10" t="s">
        <v>359</v>
      </c>
      <c r="LX10">
        <v>1.91</v>
      </c>
      <c r="MB10">
        <v>1.38975</v>
      </c>
      <c r="MC10">
        <v>1.7276899999999999</v>
      </c>
      <c r="MD10">
        <v>1.6130500000000001</v>
      </c>
      <c r="ME10">
        <v>1.61469</v>
      </c>
      <c r="MF10">
        <v>1.6938899999999999</v>
      </c>
      <c r="MG10">
        <v>1.6022700000000001</v>
      </c>
      <c r="MH10">
        <v>1.90815</v>
      </c>
      <c r="MI10">
        <v>1.5067999999999999</v>
      </c>
      <c r="MJ10">
        <v>1.6019099999999999</v>
      </c>
      <c r="MK10">
        <v>1.5209299999999999</v>
      </c>
      <c r="ML10">
        <v>1.49518</v>
      </c>
      <c r="MM10">
        <v>1.3483700000000001</v>
      </c>
      <c r="MN10">
        <v>1.7599199999999999</v>
      </c>
      <c r="MO10">
        <v>1.93367</v>
      </c>
      <c r="MP10">
        <v>1.93367</v>
      </c>
      <c r="MQ10">
        <v>1.6731100000000001</v>
      </c>
      <c r="MR10">
        <v>1.2865599999999999</v>
      </c>
      <c r="MS10">
        <v>3.1715200000000001</v>
      </c>
      <c r="MT10">
        <v>1.92797</v>
      </c>
      <c r="MU10">
        <v>1.9137500000000001</v>
      </c>
      <c r="MZ10" t="s">
        <v>364</v>
      </c>
      <c r="NA10">
        <v>1.43</v>
      </c>
      <c r="ND10">
        <f>AVERAGE(Supplementary_Fig7!ND4:ND9)</f>
        <v>1.3334183333333334</v>
      </c>
      <c r="NE10">
        <v>1.45604</v>
      </c>
      <c r="NF10">
        <v>1.43834</v>
      </c>
      <c r="NG10">
        <v>1.1698999999999999</v>
      </c>
      <c r="NI10">
        <f>AVERAGE(Supplementary_Fig7!NI4:NI9)</f>
        <v>1.4140116666666669</v>
      </c>
      <c r="NJ10">
        <v>1.4371700000000001</v>
      </c>
      <c r="NK10">
        <f>AVERAGE(Supplementary_Fig7!NK4:NK9)</f>
        <v>1.4825866666666665</v>
      </c>
      <c r="NL10">
        <v>1.2578400000000001</v>
      </c>
      <c r="NM10">
        <v>1.9980800000000001</v>
      </c>
      <c r="NO10">
        <v>1.3369599999999999</v>
      </c>
      <c r="NP10">
        <v>1.4497</v>
      </c>
      <c r="NQ10">
        <v>1.29227</v>
      </c>
      <c r="NR10">
        <v>1.3458000000000001</v>
      </c>
      <c r="NS10">
        <v>1.3046599999999999</v>
      </c>
      <c r="NT10">
        <v>1.05328</v>
      </c>
      <c r="NU10">
        <v>1.20496</v>
      </c>
      <c r="NZ10" t="s">
        <v>362</v>
      </c>
      <c r="OA10">
        <v>110.128</v>
      </c>
      <c r="OC10" t="s">
        <v>359</v>
      </c>
      <c r="OD10">
        <v>168.761</v>
      </c>
      <c r="OF10" t="s">
        <v>364</v>
      </c>
      <c r="OG10">
        <v>304.51499999999999</v>
      </c>
      <c r="OI10">
        <v>612212</v>
      </c>
      <c r="OJ10">
        <v>8</v>
      </c>
      <c r="OK10">
        <v>0</v>
      </c>
      <c r="OL10">
        <v>6.75</v>
      </c>
      <c r="OM10">
        <v>-86.57</v>
      </c>
      <c r="ON10">
        <v>5.38</v>
      </c>
      <c r="OO10">
        <v>-95.91</v>
      </c>
      <c r="OR10">
        <v>5.16</v>
      </c>
      <c r="OS10">
        <v>-93.78</v>
      </c>
      <c r="OT10">
        <v>5.7</v>
      </c>
      <c r="OU10">
        <v>-100</v>
      </c>
      <c r="OV10">
        <v>6.33</v>
      </c>
      <c r="OW10">
        <v>-93.25</v>
      </c>
      <c r="PD10">
        <v>-85.46</v>
      </c>
      <c r="PE10">
        <v>5</v>
      </c>
      <c r="PH10">
        <v>280722</v>
      </c>
      <c r="PI10">
        <v>6</v>
      </c>
      <c r="PJ10">
        <v>0</v>
      </c>
      <c r="PK10">
        <v>2.62</v>
      </c>
      <c r="PL10">
        <v>-94.6</v>
      </c>
      <c r="PO10">
        <v>2.0299999999999998</v>
      </c>
      <c r="PP10">
        <v>-100</v>
      </c>
      <c r="PS10">
        <v>3.85</v>
      </c>
      <c r="PT10">
        <v>-95.9</v>
      </c>
      <c r="PU10">
        <v>4.29</v>
      </c>
      <c r="PV10">
        <v>-96.93</v>
      </c>
      <c r="PW10">
        <v>2.1800000000000002</v>
      </c>
      <c r="PX10">
        <v>-90.46</v>
      </c>
      <c r="PY10">
        <v>4.7</v>
      </c>
      <c r="PZ10">
        <v>-100</v>
      </c>
      <c r="QC10">
        <v>-85.17</v>
      </c>
      <c r="QD10">
        <v>2.2200000000000002</v>
      </c>
      <c r="QF10">
        <v>140322</v>
      </c>
      <c r="QG10">
        <v>6</v>
      </c>
      <c r="QH10">
        <v>0</v>
      </c>
      <c r="QK10">
        <v>1.1399999999999999</v>
      </c>
      <c r="QL10">
        <v>-81.77</v>
      </c>
      <c r="QO10" t="s">
        <v>1053</v>
      </c>
      <c r="QQ10">
        <v>1.77</v>
      </c>
      <c r="QR10">
        <v>-76.760000000000005</v>
      </c>
      <c r="QS10">
        <v>2.06</v>
      </c>
      <c r="QT10">
        <v>-88.26</v>
      </c>
      <c r="QU10">
        <v>4.1100000000000003</v>
      </c>
      <c r="QV10">
        <v>-86.03</v>
      </c>
      <c r="QW10">
        <v>1.37</v>
      </c>
      <c r="QX10">
        <v>-80.92</v>
      </c>
      <c r="RA10">
        <v>-76.900000000000006</v>
      </c>
      <c r="RB10">
        <v>1.4</v>
      </c>
    </row>
    <row r="11" spans="1:470" x14ac:dyDescent="0.35">
      <c r="DZ11">
        <v>712212</v>
      </c>
      <c r="EA11">
        <v>5</v>
      </c>
      <c r="EB11">
        <v>0</v>
      </c>
      <c r="EG11">
        <v>1</v>
      </c>
      <c r="EK11">
        <f t="shared" si="1"/>
        <v>1</v>
      </c>
      <c r="EM11">
        <v>290722</v>
      </c>
      <c r="EN11">
        <v>7</v>
      </c>
      <c r="EO11">
        <v>0</v>
      </c>
      <c r="EX11">
        <f t="shared" si="2"/>
        <v>0</v>
      </c>
      <c r="FA11">
        <v>150322</v>
      </c>
      <c r="FB11">
        <v>7</v>
      </c>
      <c r="FC11">
        <v>0</v>
      </c>
      <c r="FL11">
        <f>SUM(Supplementary_Fig7!FD11:FK11)</f>
        <v>0</v>
      </c>
      <c r="FO11" t="s">
        <v>366</v>
      </c>
      <c r="FQ11">
        <v>66.28</v>
      </c>
      <c r="FS11" t="s">
        <v>366</v>
      </c>
      <c r="FU11">
        <f t="shared" si="4"/>
        <v>41.756400000000006</v>
      </c>
      <c r="FW11">
        <v>81.355400000000003</v>
      </c>
      <c r="FX11">
        <v>65.233099999999993</v>
      </c>
      <c r="FY11">
        <v>35.394500000000001</v>
      </c>
      <c r="FZ11">
        <v>79.682400000000001</v>
      </c>
      <c r="GA11">
        <v>78.968199999999996</v>
      </c>
      <c r="GB11">
        <v>75.621799999999993</v>
      </c>
      <c r="GC11">
        <v>16.541499999999999</v>
      </c>
      <c r="GD11">
        <v>32.287399999999998</v>
      </c>
      <c r="GE11">
        <v>44.831200000000003</v>
      </c>
      <c r="GF11">
        <v>35.799599999999998</v>
      </c>
      <c r="GH11" t="s">
        <v>363</v>
      </c>
      <c r="GJ11">
        <v>78.38</v>
      </c>
      <c r="GL11" t="s">
        <v>363</v>
      </c>
      <c r="GN11">
        <f t="shared" si="3"/>
        <v>49.379399999999997</v>
      </c>
      <c r="GQ11">
        <v>62.288800000000002</v>
      </c>
      <c r="GR11">
        <v>69.809399999999997</v>
      </c>
      <c r="GS11">
        <v>66.537599999999998</v>
      </c>
      <c r="GT11">
        <v>78.485299999999995</v>
      </c>
      <c r="GU11">
        <v>54.578800000000001</v>
      </c>
      <c r="GV11">
        <v>51.363799999999998</v>
      </c>
      <c r="GW11">
        <v>45.249099999999999</v>
      </c>
      <c r="GZ11" t="s">
        <v>368</v>
      </c>
      <c r="HB11">
        <v>59.27</v>
      </c>
      <c r="HD11" t="s">
        <v>368</v>
      </c>
      <c r="HF11">
        <f>63*Supplementary_Fig7!HB11/100</f>
        <v>37.3401</v>
      </c>
      <c r="HJ11" t="s">
        <v>364</v>
      </c>
      <c r="HK11" t="s">
        <v>368</v>
      </c>
      <c r="HL11" t="s">
        <v>372</v>
      </c>
      <c r="HM11" t="s">
        <v>376</v>
      </c>
      <c r="HN11" t="s">
        <v>380</v>
      </c>
      <c r="HO11" t="s">
        <v>384</v>
      </c>
      <c r="HP11" t="s">
        <v>387</v>
      </c>
      <c r="HQ11" t="s">
        <v>390</v>
      </c>
      <c r="HV11" t="s">
        <v>366</v>
      </c>
      <c r="HW11">
        <v>88.01</v>
      </c>
      <c r="IA11">
        <v>80.355800000000002</v>
      </c>
      <c r="IB11">
        <v>84.986900000000006</v>
      </c>
      <c r="IC11">
        <v>59.472700000000003</v>
      </c>
      <c r="ID11">
        <v>75.979600000000005</v>
      </c>
      <c r="IE11">
        <v>54.835500000000003</v>
      </c>
      <c r="IF11">
        <v>45.504800000000003</v>
      </c>
      <c r="IG11">
        <v>79.953000000000003</v>
      </c>
      <c r="IH11">
        <v>65.799000000000007</v>
      </c>
      <c r="II11">
        <v>82.399000000000001</v>
      </c>
      <c r="IJ11">
        <v>46.9818</v>
      </c>
      <c r="IK11">
        <v>84.452799999999996</v>
      </c>
      <c r="IX11" t="s">
        <v>363</v>
      </c>
      <c r="IY11">
        <v>123.07</v>
      </c>
      <c r="JC11">
        <v>103.39400000000001</v>
      </c>
      <c r="JD11">
        <v>91.433700000000002</v>
      </c>
      <c r="JE11">
        <v>96.301299999999998</v>
      </c>
      <c r="JF11">
        <v>102.884</v>
      </c>
      <c r="JG11">
        <v>100.72499999999999</v>
      </c>
      <c r="JH11">
        <v>111.35599999999999</v>
      </c>
      <c r="JI11">
        <v>97.132900000000006</v>
      </c>
      <c r="JJ11">
        <v>124.05500000000001</v>
      </c>
      <c r="JK11">
        <v>93.161000000000001</v>
      </c>
      <c r="JL11">
        <v>122.76600000000001</v>
      </c>
      <c r="JM11">
        <v>115.521</v>
      </c>
      <c r="JN11">
        <v>93.220500000000001</v>
      </c>
      <c r="JV11" t="s">
        <v>368</v>
      </c>
      <c r="JW11">
        <v>79.11</v>
      </c>
      <c r="KA11">
        <f>AVERAGE(Supplementary_Fig7!KA4:KA10)</f>
        <v>122.09157142857143</v>
      </c>
      <c r="KB11">
        <v>70.1096</v>
      </c>
      <c r="KC11">
        <v>94.598399999999998</v>
      </c>
      <c r="KF11">
        <v>111.301</v>
      </c>
      <c r="KH11">
        <v>92.419399999999996</v>
      </c>
      <c r="KI11">
        <v>53.900100000000002</v>
      </c>
      <c r="KK11">
        <v>94.773899999999998</v>
      </c>
      <c r="KL11">
        <v>121.60899999999999</v>
      </c>
      <c r="KM11">
        <v>99.614000000000004</v>
      </c>
      <c r="KT11" t="s">
        <v>366</v>
      </c>
      <c r="KU11">
        <v>2.14</v>
      </c>
      <c r="KY11">
        <v>2.0194100000000001</v>
      </c>
      <c r="KZ11">
        <v>2.4411900000000002</v>
      </c>
      <c r="LA11">
        <v>1.6756200000000001</v>
      </c>
      <c r="LB11">
        <v>2.2553100000000001</v>
      </c>
      <c r="LC11">
        <v>2.0595400000000001</v>
      </c>
      <c r="LD11">
        <v>1.9196599999999999</v>
      </c>
      <c r="LE11">
        <v>2.9431799999999999</v>
      </c>
      <c r="LF11">
        <v>2.27067</v>
      </c>
      <c r="LG11">
        <v>2.5430000000000001</v>
      </c>
      <c r="LH11">
        <v>4.0183099999999996</v>
      </c>
      <c r="LI11">
        <v>1.8196099999999999</v>
      </c>
      <c r="LK11">
        <v>2.0497399999999999</v>
      </c>
      <c r="LM11">
        <v>1.7306699999999999</v>
      </c>
      <c r="LN11">
        <f>AVERAGE(Supplementary_Fig7!LN2:LN10)</f>
        <v>2.3207255555555557</v>
      </c>
      <c r="LW11" t="s">
        <v>363</v>
      </c>
      <c r="LX11">
        <v>1.49</v>
      </c>
      <c r="MB11">
        <v>1.3917999999999999</v>
      </c>
      <c r="MC11">
        <v>1.75196</v>
      </c>
      <c r="MD11">
        <v>1.5877399999999999</v>
      </c>
      <c r="ME11">
        <v>1.57653</v>
      </c>
      <c r="MF11">
        <v>1.6212</v>
      </c>
      <c r="MG11">
        <v>1.5439499999999999</v>
      </c>
      <c r="MH11">
        <v>1.83358</v>
      </c>
      <c r="MI11">
        <v>1.4724600000000001</v>
      </c>
      <c r="MJ11">
        <v>1.60653</v>
      </c>
      <c r="MK11">
        <f>AVERAGE(MK2:MK10)</f>
        <v>1.5655225000000002</v>
      </c>
      <c r="ML11">
        <v>1.4795400000000001</v>
      </c>
      <c r="MM11">
        <v>1.38411</v>
      </c>
      <c r="MN11">
        <v>1.69699</v>
      </c>
      <c r="MO11">
        <v>1.94693</v>
      </c>
      <c r="MP11">
        <v>1.94693</v>
      </c>
      <c r="MQ11">
        <v>1.6889700000000001</v>
      </c>
      <c r="MR11">
        <v>1.2887200000000001</v>
      </c>
      <c r="MS11">
        <v>3.4434200000000001</v>
      </c>
      <c r="MT11">
        <v>1.9550700000000001</v>
      </c>
      <c r="MU11">
        <v>1.9473800000000001</v>
      </c>
      <c r="MZ11" t="s">
        <v>368</v>
      </c>
      <c r="NA11">
        <v>1.48</v>
      </c>
      <c r="NE11">
        <f>AVERAGE(Supplementary_Fig7!NE4:NE10)</f>
        <v>1.4742842857142855</v>
      </c>
      <c r="NF11">
        <v>1.42757</v>
      </c>
      <c r="NG11">
        <v>1.20408</v>
      </c>
      <c r="NJ11">
        <v>1.44272</v>
      </c>
      <c r="NL11">
        <v>1.24732</v>
      </c>
      <c r="NM11">
        <v>2.01037</v>
      </c>
      <c r="NO11">
        <v>1.3191200000000001</v>
      </c>
      <c r="NP11">
        <v>1.45085</v>
      </c>
      <c r="NQ11">
        <v>1.2760800000000001</v>
      </c>
      <c r="NR11">
        <v>1.2990299999999999</v>
      </c>
      <c r="NS11">
        <v>1.30765</v>
      </c>
      <c r="NT11">
        <v>1.0657000000000001</v>
      </c>
      <c r="NU11">
        <v>1.19828</v>
      </c>
      <c r="NZ11" t="s">
        <v>366</v>
      </c>
      <c r="OA11">
        <v>158.20599999999999</v>
      </c>
      <c r="OC11" t="s">
        <v>363</v>
      </c>
      <c r="OD11">
        <v>396.524</v>
      </c>
      <c r="OF11" t="s">
        <v>368</v>
      </c>
      <c r="OG11">
        <v>296.15600000000001</v>
      </c>
      <c r="OI11">
        <v>712212</v>
      </c>
      <c r="OJ11">
        <v>5</v>
      </c>
      <c r="OK11">
        <v>0</v>
      </c>
      <c r="OL11">
        <v>8.92</v>
      </c>
      <c r="OM11">
        <v>-96.16</v>
      </c>
      <c r="OP11">
        <v>6.7</v>
      </c>
      <c r="OQ11">
        <v>-91.17</v>
      </c>
      <c r="OX11">
        <v>6.98</v>
      </c>
      <c r="OY11">
        <v>-87.77</v>
      </c>
      <c r="OZ11">
        <v>7.42</v>
      </c>
      <c r="PA11">
        <v>-96.05</v>
      </c>
      <c r="PD11">
        <v>-85.67</v>
      </c>
      <c r="PE11">
        <v>2.8</v>
      </c>
      <c r="PH11">
        <v>290722</v>
      </c>
      <c r="PI11">
        <v>7</v>
      </c>
      <c r="PJ11">
        <v>0</v>
      </c>
      <c r="PK11">
        <v>5.74</v>
      </c>
      <c r="PL11">
        <v>-87.26</v>
      </c>
      <c r="PM11">
        <v>5.26</v>
      </c>
      <c r="PN11">
        <v>-96.89</v>
      </c>
      <c r="PS11">
        <v>2</v>
      </c>
      <c r="PT11">
        <v>-91.29</v>
      </c>
      <c r="PU11">
        <v>4.4000000000000004</v>
      </c>
      <c r="PV11">
        <v>-97.93</v>
      </c>
      <c r="PW11">
        <v>3.61</v>
      </c>
      <c r="PX11">
        <v>-95.43</v>
      </c>
      <c r="PY11">
        <v>7.22</v>
      </c>
      <c r="PZ11">
        <v>-95.28</v>
      </c>
      <c r="QC11">
        <v>-85.26</v>
      </c>
      <c r="QD11">
        <v>5.33</v>
      </c>
      <c r="QF11">
        <v>150322</v>
      </c>
      <c r="QG11">
        <v>7</v>
      </c>
      <c r="QH11">
        <v>0</v>
      </c>
      <c r="QJ11" t="s">
        <v>1054</v>
      </c>
      <c r="QK11">
        <v>3.11</v>
      </c>
      <c r="QL11">
        <v>-79.739999999999995</v>
      </c>
      <c r="QN11" t="s">
        <v>1054</v>
      </c>
      <c r="QO11">
        <v>1.19</v>
      </c>
      <c r="QP11">
        <v>-76.12</v>
      </c>
      <c r="QQ11">
        <v>3.97</v>
      </c>
      <c r="QR11">
        <v>82.65</v>
      </c>
      <c r="QS11">
        <v>2.2799999999999998</v>
      </c>
      <c r="QT11">
        <v>89.72</v>
      </c>
      <c r="QW11">
        <v>3.97</v>
      </c>
      <c r="QX11">
        <v>-90.23</v>
      </c>
      <c r="RA11">
        <v>-77.52</v>
      </c>
      <c r="RB11">
        <v>4.1500000000000004</v>
      </c>
    </row>
    <row r="12" spans="1:470" ht="13.15" x14ac:dyDescent="0.4">
      <c r="A12" s="35" t="s">
        <v>1056</v>
      </c>
      <c r="DZ12">
        <v>91221</v>
      </c>
      <c r="EA12">
        <v>5</v>
      </c>
      <c r="EB12">
        <v>1</v>
      </c>
      <c r="EC12">
        <v>1</v>
      </c>
      <c r="EG12">
        <v>1</v>
      </c>
      <c r="EK12">
        <f t="shared" si="1"/>
        <v>2</v>
      </c>
      <c r="EM12">
        <v>10822</v>
      </c>
      <c r="EN12">
        <v>6</v>
      </c>
      <c r="EO12">
        <v>0</v>
      </c>
      <c r="EX12">
        <f t="shared" si="2"/>
        <v>0</v>
      </c>
      <c r="FA12">
        <v>1503222</v>
      </c>
      <c r="FB12">
        <v>7</v>
      </c>
      <c r="FC12">
        <v>1</v>
      </c>
      <c r="FK12">
        <v>1</v>
      </c>
      <c r="FL12">
        <f>SUM(Supplementary_Fig7!FD12:FK12)</f>
        <v>1</v>
      </c>
      <c r="FO12" t="s">
        <v>370</v>
      </c>
      <c r="FQ12">
        <v>47.76</v>
      </c>
      <c r="FS12" t="s">
        <v>370</v>
      </c>
      <c r="FU12">
        <f t="shared" si="4"/>
        <v>30.088799999999996</v>
      </c>
      <c r="FY12">
        <v>25.8536</v>
      </c>
      <c r="GB12">
        <v>72.5047</v>
      </c>
      <c r="GC12">
        <v>32.559100000000001</v>
      </c>
      <c r="GD12">
        <v>59.34</v>
      </c>
      <c r="GE12">
        <v>53.598100000000002</v>
      </c>
      <c r="GF12">
        <v>38.931899999999999</v>
      </c>
      <c r="GH12" t="s">
        <v>367</v>
      </c>
      <c r="GJ12">
        <v>85.27</v>
      </c>
      <c r="GL12" t="s">
        <v>367</v>
      </c>
      <c r="GN12">
        <f t="shared" si="3"/>
        <v>53.720099999999995</v>
      </c>
      <c r="GQ12">
        <v>75.823599999999999</v>
      </c>
      <c r="GR12">
        <v>41.8127</v>
      </c>
      <c r="GS12">
        <v>85.686199999999999</v>
      </c>
      <c r="GT12">
        <v>86.972200000000001</v>
      </c>
      <c r="GU12">
        <v>79.173900000000003</v>
      </c>
      <c r="GV12">
        <v>74.843699999999998</v>
      </c>
      <c r="GW12">
        <v>39.683799999999998</v>
      </c>
      <c r="GZ12" t="s">
        <v>372</v>
      </c>
      <c r="HD12" t="s">
        <v>372</v>
      </c>
      <c r="HJ12">
        <v>75.487899999999996</v>
      </c>
      <c r="HK12">
        <v>55.5246</v>
      </c>
      <c r="HM12">
        <v>26.320699999999999</v>
      </c>
      <c r="HN12">
        <v>62.029600000000002</v>
      </c>
      <c r="HO12">
        <v>61.7806</v>
      </c>
      <c r="HP12">
        <v>55.381300000000003</v>
      </c>
      <c r="HQ12">
        <v>59.341299999999997</v>
      </c>
      <c r="HV12" t="s">
        <v>370</v>
      </c>
      <c r="HW12">
        <v>79.55</v>
      </c>
      <c r="IA12">
        <v>79.194599999999994</v>
      </c>
      <c r="IB12">
        <v>83.241299999999995</v>
      </c>
      <c r="IC12">
        <v>61.222799999999999</v>
      </c>
      <c r="ID12">
        <v>76.338200000000001</v>
      </c>
      <c r="IE12">
        <v>54.908799999999999</v>
      </c>
      <c r="IF12">
        <v>44.726599999999998</v>
      </c>
      <c r="IG12">
        <v>109.276</v>
      </c>
      <c r="IH12">
        <v>62.5565</v>
      </c>
      <c r="II12">
        <v>84.072900000000004</v>
      </c>
      <c r="IJ12">
        <v>44.459499999999998</v>
      </c>
      <c r="IK12">
        <v>82.490499999999997</v>
      </c>
      <c r="IX12" t="s">
        <v>367</v>
      </c>
      <c r="IY12">
        <v>90.72</v>
      </c>
      <c r="JC12">
        <v>102.46299999999999</v>
      </c>
      <c r="JD12">
        <v>91.073599999999999</v>
      </c>
      <c r="JE12">
        <v>98.028599999999997</v>
      </c>
      <c r="JF12">
        <v>101.80200000000001</v>
      </c>
      <c r="JG12">
        <v>99.054000000000002</v>
      </c>
      <c r="JH12">
        <v>105.39700000000001</v>
      </c>
      <c r="JI12">
        <v>75.439499999999995</v>
      </c>
      <c r="JJ12">
        <v>119.495</v>
      </c>
      <c r="JK12">
        <v>89.747600000000006</v>
      </c>
      <c r="JL12">
        <f>AVERAGE(JL4:JL11)</f>
        <v>122.7235</v>
      </c>
      <c r="JM12">
        <v>104.723</v>
      </c>
      <c r="JN12">
        <v>93.158000000000001</v>
      </c>
      <c r="JV12" t="s">
        <v>372</v>
      </c>
      <c r="JW12">
        <v>94.28</v>
      </c>
      <c r="KB12">
        <v>69.438199999999995</v>
      </c>
      <c r="KC12">
        <v>95.507800000000003</v>
      </c>
      <c r="KF12">
        <v>111.06699999999999</v>
      </c>
      <c r="KH12">
        <v>93.621799999999993</v>
      </c>
      <c r="KI12">
        <v>54.644799999999996</v>
      </c>
      <c r="KK12">
        <v>115.672</v>
      </c>
      <c r="KL12">
        <v>122.42400000000001</v>
      </c>
      <c r="KM12">
        <v>100.47499999999999</v>
      </c>
      <c r="KT12" t="s">
        <v>370</v>
      </c>
      <c r="KU12">
        <v>2.74</v>
      </c>
      <c r="KY12">
        <v>1.9121600000000001</v>
      </c>
      <c r="KZ12">
        <v>2.4417</v>
      </c>
      <c r="LA12">
        <v>1.68801</v>
      </c>
      <c r="LB12">
        <v>2.1459299999999999</v>
      </c>
      <c r="LC12">
        <v>2.0567700000000002</v>
      </c>
      <c r="LD12">
        <v>1.92506</v>
      </c>
      <c r="LE12">
        <v>2.71441</v>
      </c>
      <c r="LF12">
        <v>2.1745299999999999</v>
      </c>
      <c r="LG12">
        <v>2.6449199999999999</v>
      </c>
      <c r="LH12">
        <f>AVERAGE(Supplementary_Fig7!LH2:LH11)</f>
        <v>3.6149709999999997</v>
      </c>
      <c r="LI12">
        <v>1.8276300000000001</v>
      </c>
      <c r="LK12">
        <v>1.97176</v>
      </c>
      <c r="LM12">
        <v>1.7650999999999999</v>
      </c>
      <c r="LW12" t="s">
        <v>367</v>
      </c>
      <c r="LX12">
        <v>1.58</v>
      </c>
      <c r="MB12">
        <v>1.3968799999999999</v>
      </c>
      <c r="MC12">
        <v>1.7741100000000001</v>
      </c>
      <c r="MD12">
        <v>1.62418</v>
      </c>
      <c r="ME12">
        <v>1.6371</v>
      </c>
      <c r="MF12">
        <v>1.5994600000000001</v>
      </c>
      <c r="MG12">
        <v>1.5575699999999999</v>
      </c>
      <c r="MH12">
        <v>1.86856</v>
      </c>
      <c r="MI12">
        <f>AVERAGE(MI2:MI11)</f>
        <v>1.491987</v>
      </c>
      <c r="MJ12">
        <v>1.6171</v>
      </c>
      <c r="ML12">
        <v>1.4924999999999999</v>
      </c>
      <c r="MM12">
        <v>1.3377399999999999</v>
      </c>
      <c r="MN12">
        <v>1.6955199999999999</v>
      </c>
      <c r="MO12">
        <v>1.9514499999999999</v>
      </c>
      <c r="MP12">
        <v>1.9514499999999999</v>
      </c>
      <c r="MQ12">
        <v>1.69232</v>
      </c>
      <c r="MR12">
        <v>1.28589</v>
      </c>
      <c r="MS12">
        <v>2.38409</v>
      </c>
      <c r="MT12">
        <v>1.9622200000000001</v>
      </c>
      <c r="MU12">
        <v>1.9458299999999999</v>
      </c>
      <c r="MZ12" t="s">
        <v>372</v>
      </c>
      <c r="NA12">
        <v>1.61</v>
      </c>
      <c r="NF12">
        <v>1.4188700000000001</v>
      </c>
      <c r="NG12">
        <v>1.1804399999999999</v>
      </c>
      <c r="NJ12">
        <v>1.4540599999999999</v>
      </c>
      <c r="NL12">
        <v>1.24458</v>
      </c>
      <c r="NM12">
        <v>1.9961</v>
      </c>
      <c r="NO12">
        <v>1.3631599999999999</v>
      </c>
      <c r="NP12">
        <v>1.4375599999999999</v>
      </c>
      <c r="NQ12">
        <v>1.32287</v>
      </c>
      <c r="NR12">
        <v>1.3194999999999999</v>
      </c>
      <c r="NS12">
        <v>1.3099400000000001</v>
      </c>
      <c r="NT12">
        <v>1.0749</v>
      </c>
      <c r="NU12">
        <v>1.20085</v>
      </c>
      <c r="NZ12" t="s">
        <v>370</v>
      </c>
      <c r="OA12">
        <v>84.065899999999999</v>
      </c>
      <c r="OC12" t="s">
        <v>367</v>
      </c>
      <c r="OD12">
        <v>264.10300000000001</v>
      </c>
      <c r="OF12" t="s">
        <v>372</v>
      </c>
      <c r="OG12">
        <v>379.74400000000003</v>
      </c>
      <c r="OI12">
        <v>91221</v>
      </c>
      <c r="OJ12">
        <v>5</v>
      </c>
      <c r="OK12">
        <v>1</v>
      </c>
      <c r="PD12">
        <v>-85.77</v>
      </c>
      <c r="PE12">
        <v>3.48</v>
      </c>
      <c r="PH12">
        <v>10822</v>
      </c>
      <c r="PI12">
        <v>6</v>
      </c>
      <c r="PJ12">
        <v>0</v>
      </c>
      <c r="PK12">
        <v>4.2699999999999996</v>
      </c>
      <c r="PL12">
        <v>-100</v>
      </c>
      <c r="PM12">
        <v>4.99</v>
      </c>
      <c r="PN12">
        <v>-98.81</v>
      </c>
      <c r="PS12">
        <v>1.27</v>
      </c>
      <c r="PT12">
        <v>-74.45</v>
      </c>
      <c r="PY12">
        <v>5.42</v>
      </c>
      <c r="PZ12">
        <v>-98.6</v>
      </c>
      <c r="QC12">
        <v>-86.02</v>
      </c>
      <c r="QD12">
        <v>2.2799999999999998</v>
      </c>
      <c r="QF12">
        <v>1503222</v>
      </c>
      <c r="QG12">
        <v>7</v>
      </c>
      <c r="QH12">
        <v>1</v>
      </c>
      <c r="QI12">
        <v>4.1500000000000004</v>
      </c>
      <c r="QJ12">
        <v>-77.52</v>
      </c>
      <c r="QM12">
        <v>5.1100000000000003</v>
      </c>
      <c r="QN12">
        <v>-83.53</v>
      </c>
      <c r="QO12">
        <v>4.28</v>
      </c>
      <c r="QP12">
        <v>-81.540000000000006</v>
      </c>
      <c r="QQ12">
        <v>5.59</v>
      </c>
      <c r="QR12">
        <v>-82.67</v>
      </c>
      <c r="QS12">
        <v>2.96</v>
      </c>
      <c r="QT12">
        <v>-86.03</v>
      </c>
      <c r="QU12" t="s">
        <v>1055</v>
      </c>
      <c r="QW12">
        <v>3.64</v>
      </c>
      <c r="QX12">
        <v>-79.83</v>
      </c>
      <c r="RA12">
        <v>-78.319999999999993</v>
      </c>
      <c r="RB12">
        <v>2.16</v>
      </c>
    </row>
    <row r="13" spans="1:470" x14ac:dyDescent="0.35">
      <c r="DZ13">
        <v>912212</v>
      </c>
      <c r="EA13">
        <v>7</v>
      </c>
      <c r="EB13">
        <v>1</v>
      </c>
      <c r="ED13">
        <v>1</v>
      </c>
      <c r="EH13">
        <v>1</v>
      </c>
      <c r="EI13">
        <v>1</v>
      </c>
      <c r="EJ13">
        <v>1</v>
      </c>
      <c r="EK13">
        <f t="shared" si="1"/>
        <v>4</v>
      </c>
      <c r="EM13">
        <v>20822</v>
      </c>
      <c r="EN13">
        <v>8</v>
      </c>
      <c r="EO13">
        <v>0</v>
      </c>
      <c r="EX13">
        <f t="shared" si="2"/>
        <v>0</v>
      </c>
      <c r="FA13">
        <v>220322</v>
      </c>
      <c r="FB13">
        <v>8</v>
      </c>
      <c r="FC13">
        <v>0</v>
      </c>
      <c r="FL13">
        <f>SUM(Supplementary_Fig7!FD13:FK13)</f>
        <v>0</v>
      </c>
      <c r="FO13" t="s">
        <v>374</v>
      </c>
      <c r="FQ13">
        <v>28.84</v>
      </c>
      <c r="FS13" t="s">
        <v>374</v>
      </c>
      <c r="FU13">
        <f t="shared" si="4"/>
        <v>18.1692</v>
      </c>
      <c r="FY13" s="8">
        <v>27.154599999999999</v>
      </c>
      <c r="GC13">
        <v>14.402799999999999</v>
      </c>
      <c r="GD13">
        <v>52.520099999999999</v>
      </c>
      <c r="GE13" s="8">
        <v>37.850200000000001</v>
      </c>
      <c r="GF13">
        <v>27.134</v>
      </c>
      <c r="GH13" t="s">
        <v>371</v>
      </c>
      <c r="GJ13">
        <v>61.64</v>
      </c>
      <c r="GL13" t="s">
        <v>371</v>
      </c>
      <c r="GN13">
        <f t="shared" si="3"/>
        <v>38.833200000000005</v>
      </c>
      <c r="GQ13">
        <v>55.736699999999999</v>
      </c>
      <c r="GR13">
        <v>64.332700000000003</v>
      </c>
      <c r="GS13">
        <v>64.495199999999997</v>
      </c>
      <c r="GT13">
        <v>73.176000000000002</v>
      </c>
      <c r="GU13">
        <v>47.4373</v>
      </c>
      <c r="GV13">
        <v>58.432499999999997</v>
      </c>
      <c r="GW13">
        <v>49.611499999999999</v>
      </c>
      <c r="GZ13" t="s">
        <v>376</v>
      </c>
      <c r="HA13">
        <v>30.04</v>
      </c>
      <c r="HD13" t="s">
        <v>376</v>
      </c>
      <c r="HE13">
        <f>63*Supplementary_Fig7!HA13/100</f>
        <v>18.9252</v>
      </c>
      <c r="HJ13">
        <v>69.724100000000007</v>
      </c>
      <c r="HK13">
        <v>60.192100000000003</v>
      </c>
      <c r="HM13">
        <v>17.888300000000001</v>
      </c>
      <c r="HN13">
        <v>50.956699999999998</v>
      </c>
      <c r="HO13">
        <v>86.713499999999996</v>
      </c>
      <c r="HP13">
        <v>58.837699999999998</v>
      </c>
      <c r="HQ13">
        <v>62.019100000000002</v>
      </c>
      <c r="HV13" t="s">
        <v>374</v>
      </c>
      <c r="HW13">
        <v>57.56</v>
      </c>
      <c r="IA13">
        <v>77.780199999999994</v>
      </c>
      <c r="IB13">
        <v>82.8232</v>
      </c>
      <c r="IC13">
        <v>62.974499999999999</v>
      </c>
      <c r="ID13">
        <v>76.796000000000006</v>
      </c>
      <c r="IE13">
        <v>77.603099999999998</v>
      </c>
      <c r="IF13">
        <v>44.561799999999998</v>
      </c>
      <c r="IG13">
        <v>109.761</v>
      </c>
      <c r="IH13">
        <v>104.43</v>
      </c>
      <c r="II13">
        <v>84.703100000000006</v>
      </c>
      <c r="IJ13">
        <v>89.657600000000002</v>
      </c>
      <c r="IK13">
        <v>82.418800000000005</v>
      </c>
      <c r="IX13" t="s">
        <v>371</v>
      </c>
      <c r="IY13">
        <v>122.72</v>
      </c>
      <c r="JC13">
        <v>102.64700000000001</v>
      </c>
      <c r="JD13">
        <v>91.316199999999995</v>
      </c>
      <c r="JE13">
        <v>98.432900000000004</v>
      </c>
      <c r="JF13">
        <v>100.571</v>
      </c>
      <c r="JG13">
        <v>97.477699999999999</v>
      </c>
      <c r="JH13">
        <v>105.95099999999999</v>
      </c>
      <c r="JI13">
        <v>78.071600000000004</v>
      </c>
      <c r="JJ13">
        <v>122.896</v>
      </c>
      <c r="JK13">
        <v>90.183999999999997</v>
      </c>
      <c r="JM13">
        <v>100.42700000000001</v>
      </c>
      <c r="JN13">
        <v>95.596299999999999</v>
      </c>
      <c r="JV13" t="s">
        <v>376</v>
      </c>
      <c r="JW13">
        <v>57.69</v>
      </c>
      <c r="KB13">
        <f>AVERAGE(Supplementary_Fig7!KB4:KB12)</f>
        <v>69.586188888888884</v>
      </c>
      <c r="KC13">
        <f>AVERAGE(Supplementary_Fig7!KC4:KC12)</f>
        <v>94.205044444444454</v>
      </c>
      <c r="KF13">
        <v>113.14700000000001</v>
      </c>
      <c r="KH13">
        <v>93.959000000000003</v>
      </c>
      <c r="KI13">
        <v>51.814300000000003</v>
      </c>
      <c r="KK13">
        <v>118.959</v>
      </c>
      <c r="KL13">
        <v>121.834</v>
      </c>
      <c r="KM13">
        <v>95.819100000000006</v>
      </c>
      <c r="KT13" t="s">
        <v>374</v>
      </c>
      <c r="KU13">
        <v>3.61</v>
      </c>
      <c r="KY13">
        <v>1.7604200000000001</v>
      </c>
      <c r="KZ13">
        <v>2.47126</v>
      </c>
      <c r="LA13">
        <v>1.6742999999999999</v>
      </c>
      <c r="LB13">
        <v>2.1013099999999998</v>
      </c>
      <c r="LC13">
        <v>2.0110299999999999</v>
      </c>
      <c r="LD13">
        <v>1.9255899999999999</v>
      </c>
      <c r="LE13">
        <v>2.5384799999999998</v>
      </c>
      <c r="LF13">
        <v>2.0502600000000002</v>
      </c>
      <c r="LG13">
        <v>2.7589000000000001</v>
      </c>
      <c r="LI13">
        <v>1.82541</v>
      </c>
      <c r="LK13">
        <v>1.9468399999999999</v>
      </c>
      <c r="LM13">
        <v>1.7784500000000001</v>
      </c>
      <c r="LW13" t="s">
        <v>371</v>
      </c>
      <c r="LX13">
        <v>1.56</v>
      </c>
      <c r="MB13">
        <v>1.3774500000000001</v>
      </c>
      <c r="MC13">
        <v>1.62554</v>
      </c>
      <c r="MD13">
        <v>1.60808</v>
      </c>
      <c r="ME13">
        <v>1.63669</v>
      </c>
      <c r="MF13">
        <v>1.59918</v>
      </c>
      <c r="MG13">
        <v>1.57226</v>
      </c>
      <c r="MH13">
        <v>1.89636</v>
      </c>
      <c r="MJ13">
        <v>1.5975900000000001</v>
      </c>
      <c r="ML13">
        <v>1.4698899999999999</v>
      </c>
      <c r="MM13">
        <v>1.3745700000000001</v>
      </c>
      <c r="MN13">
        <v>1.7025300000000001</v>
      </c>
      <c r="MO13">
        <v>1.9783999999999999</v>
      </c>
      <c r="MP13">
        <v>1.9783999999999999</v>
      </c>
      <c r="MQ13">
        <v>1.6567000000000001</v>
      </c>
      <c r="MR13">
        <v>1.2897099999999999</v>
      </c>
      <c r="MS13">
        <f>AVERAGE(MS2:MS12)</f>
        <v>2.6631727272727272</v>
      </c>
      <c r="MT13">
        <v>1.8728400000000001</v>
      </c>
      <c r="MU13">
        <v>1.78287</v>
      </c>
      <c r="MZ13" t="s">
        <v>376</v>
      </c>
      <c r="NA13">
        <v>2.0099999999999998</v>
      </c>
      <c r="NF13">
        <f>AVERAGE(Supplementary_Fig7!NF4:NF12)</f>
        <v>1.4153100000000001</v>
      </c>
      <c r="NG13">
        <f>AVERAGE(Supplementary_Fig7!NG4:NG12)</f>
        <v>1.1716777777777776</v>
      </c>
      <c r="NJ13">
        <v>1.46411</v>
      </c>
      <c r="NL13">
        <v>1.5067699999999999</v>
      </c>
      <c r="NM13">
        <v>2.0371299999999999</v>
      </c>
      <c r="NO13">
        <v>1.3692800000000001</v>
      </c>
      <c r="NP13">
        <v>1.4072499999999999</v>
      </c>
      <c r="NQ13">
        <v>1.36311</v>
      </c>
      <c r="NR13">
        <v>1.2988599999999999</v>
      </c>
      <c r="NS13">
        <v>1.2807200000000001</v>
      </c>
      <c r="NT13">
        <f>AVERAGE(Supplementary_Fig7!NT4:NT12)</f>
        <v>1.0652155555555556</v>
      </c>
      <c r="NU13">
        <v>1.20475</v>
      </c>
      <c r="NZ13" t="s">
        <v>374</v>
      </c>
      <c r="OA13">
        <v>74.496600000000001</v>
      </c>
      <c r="OC13" t="s">
        <v>371</v>
      </c>
      <c r="OD13">
        <v>335.59199999999998</v>
      </c>
      <c r="OF13" t="s">
        <v>376</v>
      </c>
      <c r="OG13">
        <v>94.993899999999996</v>
      </c>
      <c r="OI13">
        <v>912212</v>
      </c>
      <c r="OJ13">
        <v>7</v>
      </c>
      <c r="OK13">
        <v>1</v>
      </c>
      <c r="OL13">
        <v>5</v>
      </c>
      <c r="OM13">
        <v>-97.76</v>
      </c>
      <c r="ON13">
        <v>5.27</v>
      </c>
      <c r="OO13">
        <v>-84.91</v>
      </c>
      <c r="OR13">
        <v>7.14</v>
      </c>
      <c r="OS13">
        <v>-98.55</v>
      </c>
      <c r="OT13">
        <v>8.64</v>
      </c>
      <c r="OU13">
        <v>-89.77</v>
      </c>
      <c r="OV13">
        <v>14.9</v>
      </c>
      <c r="OW13">
        <v>-100</v>
      </c>
      <c r="OX13">
        <v>9.6300000000000008</v>
      </c>
      <c r="OY13">
        <v>90.49</v>
      </c>
      <c r="OZ13">
        <v>6.73</v>
      </c>
      <c r="PA13">
        <v>-100</v>
      </c>
      <c r="PD13">
        <v>-86.23</v>
      </c>
      <c r="PE13">
        <v>3.67</v>
      </c>
      <c r="PH13">
        <v>20822</v>
      </c>
      <c r="PI13">
        <v>8</v>
      </c>
      <c r="PJ13">
        <v>0</v>
      </c>
      <c r="PM13">
        <v>2.59</v>
      </c>
      <c r="PN13">
        <v>-92.99</v>
      </c>
      <c r="PO13">
        <v>6.16</v>
      </c>
      <c r="PP13">
        <v>-99.67</v>
      </c>
      <c r="PQ13">
        <v>3.28</v>
      </c>
      <c r="PR13">
        <v>-92.57</v>
      </c>
      <c r="PS13">
        <v>3.05</v>
      </c>
      <c r="PT13">
        <v>-88.69</v>
      </c>
      <c r="PU13">
        <v>1.84</v>
      </c>
      <c r="PV13">
        <v>-99.17</v>
      </c>
      <c r="PW13">
        <v>5.05</v>
      </c>
      <c r="PX13">
        <v>-100</v>
      </c>
      <c r="PY13">
        <v>2.5</v>
      </c>
      <c r="PZ13">
        <v>-98.85</v>
      </c>
      <c r="QC13">
        <v>-87.09</v>
      </c>
      <c r="QD13">
        <v>3.44</v>
      </c>
      <c r="QF13">
        <v>220322</v>
      </c>
      <c r="QG13">
        <v>8</v>
      </c>
      <c r="QH13">
        <v>0</v>
      </c>
      <c r="QI13">
        <v>5.47</v>
      </c>
      <c r="QJ13">
        <v>-79.239999999999995</v>
      </c>
      <c r="QK13">
        <v>3.48</v>
      </c>
      <c r="QL13">
        <v>-86.63</v>
      </c>
      <c r="QN13" t="s">
        <v>1054</v>
      </c>
      <c r="QO13">
        <v>2.15</v>
      </c>
      <c r="QP13">
        <v>-82.33</v>
      </c>
      <c r="QQ13">
        <v>2.16</v>
      </c>
      <c r="QR13">
        <v>-78.319999999999993</v>
      </c>
      <c r="QT13" t="s">
        <v>1054</v>
      </c>
      <c r="QU13" t="s">
        <v>1055</v>
      </c>
      <c r="RA13">
        <v>-78.37</v>
      </c>
      <c r="RB13">
        <v>2.48</v>
      </c>
    </row>
    <row r="14" spans="1:470" ht="13.15" x14ac:dyDescent="0.4">
      <c r="DZ14">
        <v>131221</v>
      </c>
      <c r="EA14">
        <v>6</v>
      </c>
      <c r="EB14">
        <v>0</v>
      </c>
      <c r="ED14">
        <v>1</v>
      </c>
      <c r="EF14">
        <v>1</v>
      </c>
      <c r="EK14">
        <f t="shared" si="1"/>
        <v>2</v>
      </c>
      <c r="EM14">
        <v>208222</v>
      </c>
      <c r="EN14">
        <v>6</v>
      </c>
      <c r="EO14">
        <v>0</v>
      </c>
      <c r="EX14">
        <f t="shared" si="2"/>
        <v>0</v>
      </c>
      <c r="FA14">
        <v>230322</v>
      </c>
      <c r="FB14">
        <v>6</v>
      </c>
      <c r="FC14">
        <v>0</v>
      </c>
      <c r="FL14">
        <f>SUM(Supplementary_Fig7!FD14:FK14)</f>
        <v>0</v>
      </c>
      <c r="FO14" t="s">
        <v>378</v>
      </c>
      <c r="FQ14">
        <v>76.75</v>
      </c>
      <c r="FS14" t="s">
        <v>378</v>
      </c>
      <c r="FU14">
        <f t="shared" si="4"/>
        <v>48.352499999999999</v>
      </c>
      <c r="FW14" s="1">
        <f>AVERAGE(Supplementary_Fig7!FW10:FW13)</f>
        <v>76.753</v>
      </c>
      <c r="FX14" s="1">
        <f>AVERAGE(Supplementary_Fig7!FX10:FX13)</f>
        <v>76.243949999999998</v>
      </c>
      <c r="FY14" s="1">
        <f>AVERAGE(Supplementary_Fig7!FY10:FY13)</f>
        <v>29.411075</v>
      </c>
      <c r="FZ14" s="1">
        <f>AVERAGE(Supplementary_Fig7!FZ10:FZ13)</f>
        <v>75.592199999999991</v>
      </c>
      <c r="GA14" s="1">
        <f>AVERAGE(Supplementary_Fig7!GA10:GA13)</f>
        <v>86.197599999999994</v>
      </c>
      <c r="GB14" s="1">
        <f>AVERAGE(Supplementary_Fig7!GB10:GB13)</f>
        <v>67.991533333333336</v>
      </c>
      <c r="GC14" s="1">
        <f>AVERAGE(Supplementary_Fig7!GC10:GC13)</f>
        <v>20.434149999999999</v>
      </c>
      <c r="GD14" s="1">
        <f>AVERAGE(Supplementary_Fig7!GD10:GD13)</f>
        <v>47.538724999999999</v>
      </c>
      <c r="GE14" s="1">
        <f>AVERAGE(Supplementary_Fig7!GE10:GE13)</f>
        <v>48.023699999999998</v>
      </c>
      <c r="GF14" s="1">
        <f>AVERAGE(Supplementary_Fig7!GF10:GF13)</f>
        <v>37.465499999999999</v>
      </c>
      <c r="GH14" t="s">
        <v>375</v>
      </c>
      <c r="GJ14">
        <v>64.02</v>
      </c>
      <c r="GL14" t="s">
        <v>375</v>
      </c>
      <c r="GN14">
        <f t="shared" si="3"/>
        <v>40.332599999999999</v>
      </c>
      <c r="GQ14">
        <v>71.777199999999993</v>
      </c>
      <c r="GR14" s="8">
        <v>40.169400000000003</v>
      </c>
      <c r="GS14">
        <v>96.839500000000001</v>
      </c>
      <c r="GT14">
        <v>102.45399999999999</v>
      </c>
      <c r="GU14">
        <v>65.391000000000005</v>
      </c>
      <c r="GV14">
        <v>71.456999999999994</v>
      </c>
      <c r="GW14" s="8">
        <v>69.025499999999994</v>
      </c>
      <c r="GZ14" t="s">
        <v>380</v>
      </c>
      <c r="HA14">
        <v>59.91</v>
      </c>
      <c r="HD14" t="s">
        <v>380</v>
      </c>
      <c r="HE14">
        <f>63*Supplementary_Fig7!HA14/100</f>
        <v>37.743299999999998</v>
      </c>
      <c r="HJ14">
        <v>71.411000000000001</v>
      </c>
      <c r="HK14">
        <v>53.103999999999999</v>
      </c>
      <c r="HL14" s="1" t="e">
        <f>AVERAGE(Supplementary_Fig7!HL12:HL13)</f>
        <v>#DIV/0!</v>
      </c>
      <c r="HM14">
        <v>40.201500000000003</v>
      </c>
      <c r="HN14">
        <v>82.569000000000003</v>
      </c>
      <c r="HO14">
        <v>74.715699999999998</v>
      </c>
      <c r="HP14">
        <v>43.457299999999996</v>
      </c>
      <c r="HQ14">
        <v>47.191299999999998</v>
      </c>
      <c r="HV14" t="s">
        <v>378</v>
      </c>
      <c r="HW14">
        <v>101.35</v>
      </c>
      <c r="IA14">
        <v>77.737399999999994</v>
      </c>
      <c r="IB14">
        <v>100.56</v>
      </c>
      <c r="IC14">
        <v>78.236400000000003</v>
      </c>
      <c r="ID14">
        <v>76.078800000000001</v>
      </c>
      <c r="IE14">
        <v>83.042900000000003</v>
      </c>
      <c r="IF14">
        <v>43.125900000000001</v>
      </c>
      <c r="IG14">
        <v>111.014</v>
      </c>
      <c r="IH14">
        <v>105.083</v>
      </c>
      <c r="II14">
        <v>84.762600000000006</v>
      </c>
      <c r="IJ14">
        <v>99.418599999999998</v>
      </c>
      <c r="IK14">
        <v>105.70099999999999</v>
      </c>
      <c r="IX14" t="s">
        <v>375</v>
      </c>
      <c r="IY14">
        <v>106.63</v>
      </c>
      <c r="JC14">
        <v>101.328</v>
      </c>
      <c r="JD14">
        <v>88.929699999999997</v>
      </c>
      <c r="JE14">
        <v>99.336200000000005</v>
      </c>
      <c r="JF14">
        <v>102.57599999999999</v>
      </c>
      <c r="JG14">
        <v>97.514300000000006</v>
      </c>
      <c r="JH14">
        <v>105.26</v>
      </c>
      <c r="JI14">
        <v>89.482100000000003</v>
      </c>
      <c r="JJ14">
        <v>122.31399999999999</v>
      </c>
      <c r="JK14">
        <v>89.0976</v>
      </c>
      <c r="JM14">
        <v>104.465</v>
      </c>
      <c r="JN14">
        <v>96.191400000000002</v>
      </c>
      <c r="JV14" t="s">
        <v>380</v>
      </c>
      <c r="JW14">
        <v>117.4</v>
      </c>
      <c r="KF14">
        <v>112.286</v>
      </c>
      <c r="KH14">
        <v>95.043899999999994</v>
      </c>
      <c r="KI14">
        <v>78.347800000000007</v>
      </c>
      <c r="KK14">
        <v>113.655</v>
      </c>
      <c r="KL14">
        <f>AVERAGE(Supplementary_Fig7!KL4:KL13)</f>
        <v>121.20140000000001</v>
      </c>
      <c r="KM14">
        <v>96.366900000000001</v>
      </c>
      <c r="KT14" t="s">
        <v>378</v>
      </c>
      <c r="KU14">
        <v>1.85</v>
      </c>
      <c r="KY14">
        <v>1.77163</v>
      </c>
      <c r="KZ14">
        <v>2.4744299999999999</v>
      </c>
      <c r="LA14">
        <v>1.6597999999999999</v>
      </c>
      <c r="LB14">
        <v>2.15272</v>
      </c>
      <c r="LC14">
        <v>2.01464</v>
      </c>
      <c r="LD14">
        <v>1.9116899999999999</v>
      </c>
      <c r="LE14">
        <v>2.4845299999999999</v>
      </c>
      <c r="LF14">
        <v>2.1802100000000002</v>
      </c>
      <c r="LG14">
        <f>AVERAGE(Supplementary_Fig7!LG2:LG13)</f>
        <v>2.7488250000000001</v>
      </c>
      <c r="LI14">
        <v>1.79745</v>
      </c>
      <c r="LK14">
        <f>AVERAGE(Supplementary_Fig7!LK2:LK13)</f>
        <v>1.9659950000000002</v>
      </c>
      <c r="LM14">
        <v>1.73491</v>
      </c>
      <c r="LW14" t="s">
        <v>375</v>
      </c>
      <c r="LX14">
        <v>1.49</v>
      </c>
      <c r="MB14">
        <v>1.36528</v>
      </c>
      <c r="MC14">
        <v>1.66387</v>
      </c>
      <c r="MD14">
        <v>1.62273</v>
      </c>
      <c r="ME14">
        <v>1.6487000000000001</v>
      </c>
      <c r="MF14">
        <v>1.63086</v>
      </c>
      <c r="MG14">
        <v>1.5574699999999999</v>
      </c>
      <c r="MH14">
        <v>1.93797</v>
      </c>
      <c r="MJ14">
        <f>AVERAGE(MJ2:MJ13)</f>
        <v>1.5888599999999997</v>
      </c>
      <c r="ML14">
        <v>1.46177</v>
      </c>
      <c r="MM14">
        <v>1.3375999999999999</v>
      </c>
      <c r="MN14">
        <v>1.7110799999999999</v>
      </c>
      <c r="MO14">
        <v>1.9758800000000001</v>
      </c>
      <c r="MP14">
        <v>1.9758800000000001</v>
      </c>
      <c r="MQ14">
        <v>1.6490400000000001</v>
      </c>
      <c r="MR14">
        <v>1.30762</v>
      </c>
      <c r="MT14">
        <f>AVERAGE(MT2:MT13)</f>
        <v>1.9157274999999998</v>
      </c>
      <c r="MU14">
        <v>1.7942199999999999</v>
      </c>
      <c r="MZ14" t="s">
        <v>380</v>
      </c>
      <c r="NA14">
        <v>1.28</v>
      </c>
      <c r="NJ14">
        <v>1.46936</v>
      </c>
      <c r="NL14">
        <v>1.42248</v>
      </c>
      <c r="NM14">
        <v>2.0381499999999999</v>
      </c>
      <c r="NO14">
        <v>1.3497399999999999</v>
      </c>
      <c r="NP14">
        <f>AVERAGE(Supplementary_Fig7!NP4:NP13)</f>
        <v>1.421208</v>
      </c>
      <c r="NQ14">
        <v>1.31708</v>
      </c>
      <c r="NR14">
        <f>AVERAGE(Supplementary_Fig7!NR4:NR13)</f>
        <v>1.3158069999999999</v>
      </c>
      <c r="NS14">
        <v>1.25485</v>
      </c>
      <c r="NU14">
        <v>1.2043999999999999</v>
      </c>
      <c r="NZ14" t="s">
        <v>378</v>
      </c>
      <c r="OA14">
        <v>210.928</v>
      </c>
      <c r="OC14" t="s">
        <v>375</v>
      </c>
      <c r="OD14">
        <v>332.459</v>
      </c>
      <c r="OF14" t="s">
        <v>380</v>
      </c>
      <c r="OG14">
        <v>401.70800000000003</v>
      </c>
      <c r="OI14">
        <v>131221</v>
      </c>
      <c r="OJ14">
        <v>6</v>
      </c>
      <c r="OK14">
        <v>0</v>
      </c>
      <c r="PD14">
        <v>-86.45</v>
      </c>
      <c r="PE14">
        <v>4.1500000000000004</v>
      </c>
      <c r="PH14">
        <v>208222</v>
      </c>
      <c r="PI14">
        <v>6</v>
      </c>
      <c r="PJ14">
        <v>0</v>
      </c>
      <c r="PK14">
        <v>3.6</v>
      </c>
      <c r="PL14">
        <v>-99.65</v>
      </c>
      <c r="PO14">
        <v>3.84</v>
      </c>
      <c r="PP14">
        <v>-93.78</v>
      </c>
      <c r="PQ14">
        <v>3.44</v>
      </c>
      <c r="PR14">
        <v>-87.09</v>
      </c>
      <c r="PS14">
        <v>2.76</v>
      </c>
      <c r="PT14">
        <v>-89.08</v>
      </c>
      <c r="QC14">
        <v>-87.26</v>
      </c>
      <c r="QD14">
        <v>5.74</v>
      </c>
      <c r="QF14">
        <v>230322</v>
      </c>
      <c r="QG14">
        <v>6</v>
      </c>
      <c r="QH14">
        <v>0</v>
      </c>
      <c r="QI14">
        <v>1.34</v>
      </c>
      <c r="QJ14">
        <v>-83.04</v>
      </c>
      <c r="QO14" t="s">
        <v>1055</v>
      </c>
      <c r="QQ14">
        <v>1.22</v>
      </c>
      <c r="QR14">
        <v>-90.2</v>
      </c>
      <c r="QU14">
        <v>1.39</v>
      </c>
      <c r="QV14">
        <v>-81.599999999999994</v>
      </c>
      <c r="RA14">
        <v>-78.760000000000005</v>
      </c>
      <c r="RB14">
        <v>3.13</v>
      </c>
    </row>
    <row r="15" spans="1:470" ht="13.15" x14ac:dyDescent="0.4">
      <c r="A15" s="40" t="s">
        <v>9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Z15">
        <v>1312212</v>
      </c>
      <c r="EA15">
        <v>7</v>
      </c>
      <c r="EB15">
        <v>0</v>
      </c>
      <c r="EG15">
        <v>1</v>
      </c>
      <c r="EK15">
        <f t="shared" si="1"/>
        <v>1</v>
      </c>
      <c r="EM15">
        <v>30822</v>
      </c>
      <c r="EN15">
        <v>8</v>
      </c>
      <c r="EO15">
        <v>0</v>
      </c>
      <c r="EX15">
        <f t="shared" si="2"/>
        <v>0</v>
      </c>
      <c r="FA15">
        <v>2303222</v>
      </c>
      <c r="FB15">
        <v>4</v>
      </c>
      <c r="FC15">
        <v>0</v>
      </c>
      <c r="FL15">
        <f>SUM(Supplementary_Fig7!FD15:FK15)</f>
        <v>0</v>
      </c>
      <c r="FO15" t="s">
        <v>382</v>
      </c>
      <c r="FQ15">
        <v>76.239999999999995</v>
      </c>
      <c r="FS15" t="s">
        <v>382</v>
      </c>
      <c r="FU15">
        <f t="shared" si="4"/>
        <v>48.031199999999998</v>
      </c>
      <c r="GH15" t="s">
        <v>1024</v>
      </c>
      <c r="GJ15">
        <v>50.89</v>
      </c>
      <c r="GL15" t="s">
        <v>1024</v>
      </c>
      <c r="GN15">
        <f t="shared" si="3"/>
        <v>32.060700000000004</v>
      </c>
      <c r="GQ15" s="1">
        <f t="shared" ref="GQ15:GW15" si="5">AVERAGE(GQ11:GQ14)</f>
        <v>66.406575000000004</v>
      </c>
      <c r="GR15" s="1">
        <f t="shared" si="5"/>
        <v>54.031049999999993</v>
      </c>
      <c r="GS15" s="1">
        <f t="shared" si="5"/>
        <v>78.389624999999995</v>
      </c>
      <c r="GT15" s="1">
        <f t="shared" si="5"/>
        <v>85.271874999999994</v>
      </c>
      <c r="GU15" s="1">
        <f t="shared" si="5"/>
        <v>61.645250000000004</v>
      </c>
      <c r="GV15" s="1">
        <f t="shared" si="5"/>
        <v>64.024249999999995</v>
      </c>
      <c r="GW15" s="1">
        <f t="shared" si="5"/>
        <v>50.892474999999997</v>
      </c>
      <c r="GZ15" t="s">
        <v>384</v>
      </c>
      <c r="HB15">
        <v>74.400000000000006</v>
      </c>
      <c r="HD15" t="s">
        <v>384</v>
      </c>
      <c r="HF15">
        <f>63*Supplementary_Fig7!HB15/100</f>
        <v>46.872000000000007</v>
      </c>
      <c r="HJ15">
        <v>60.398899999999998</v>
      </c>
      <c r="HK15">
        <v>68.291899999999998</v>
      </c>
      <c r="HM15">
        <v>35.767000000000003</v>
      </c>
      <c r="HN15">
        <v>44.115699999999997</v>
      </c>
      <c r="HP15">
        <v>93.367900000000006</v>
      </c>
      <c r="HQ15" s="1">
        <f>AVERAGE(Supplementary_Fig7!HQ12:HQ14)</f>
        <v>56.183899999999994</v>
      </c>
      <c r="HV15" t="s">
        <v>382</v>
      </c>
      <c r="HW15">
        <v>96.4</v>
      </c>
      <c r="IA15">
        <v>79.6875</v>
      </c>
      <c r="IB15">
        <v>100.423</v>
      </c>
      <c r="IC15">
        <v>79.563900000000004</v>
      </c>
      <c r="ID15">
        <v>97.862200000000001</v>
      </c>
      <c r="IE15">
        <v>86.926299999999998</v>
      </c>
      <c r="IF15">
        <v>66.633600000000001</v>
      </c>
      <c r="IG15">
        <v>110.39700000000001</v>
      </c>
      <c r="IH15">
        <v>107.866</v>
      </c>
      <c r="II15">
        <v>84.362799999999993</v>
      </c>
      <c r="IJ15">
        <v>104.26</v>
      </c>
      <c r="IK15">
        <v>105.67</v>
      </c>
      <c r="IX15" t="s">
        <v>1024</v>
      </c>
      <c r="IY15">
        <v>93.26</v>
      </c>
      <c r="JC15">
        <v>102.64</v>
      </c>
      <c r="JD15">
        <v>92.283600000000007</v>
      </c>
      <c r="JE15">
        <v>98.536699999999996</v>
      </c>
      <c r="JF15">
        <v>103.90900000000001</v>
      </c>
      <c r="JG15">
        <v>98.457300000000004</v>
      </c>
      <c r="JH15">
        <v>114.42400000000001</v>
      </c>
      <c r="JI15">
        <v>89.979600000000005</v>
      </c>
      <c r="JJ15">
        <v>122.395</v>
      </c>
      <c r="JK15">
        <v>87.596100000000007</v>
      </c>
      <c r="JM15">
        <v>104.768</v>
      </c>
      <c r="JN15">
        <v>93.386799999999994</v>
      </c>
      <c r="JV15" t="s">
        <v>384</v>
      </c>
      <c r="JW15">
        <v>106.71</v>
      </c>
      <c r="KF15">
        <f>AVERAGE(Supplementary_Fig7!KF4:KF14)</f>
        <v>108.5544</v>
      </c>
      <c r="KH15">
        <v>100.276</v>
      </c>
      <c r="KI15">
        <v>56.246899999999997</v>
      </c>
      <c r="KK15">
        <v>97.86</v>
      </c>
      <c r="KM15">
        <f>AVERAGE(Supplementary_Fig7!KM4:KM14)</f>
        <v>105.70068181818182</v>
      </c>
      <c r="KT15" t="s">
        <v>382</v>
      </c>
      <c r="KU15">
        <v>4.4000000000000004</v>
      </c>
      <c r="KY15">
        <v>1.7218100000000001</v>
      </c>
      <c r="KZ15">
        <v>2.5031400000000001</v>
      </c>
      <c r="LA15">
        <v>1.67435</v>
      </c>
      <c r="LB15">
        <v>2.1934300000000002</v>
      </c>
      <c r="LC15">
        <v>2.0631200000000001</v>
      </c>
      <c r="LD15">
        <v>1.92452</v>
      </c>
      <c r="LE15">
        <v>2.5836000000000001</v>
      </c>
      <c r="LF15">
        <v>2.11354</v>
      </c>
      <c r="LI15">
        <v>1.81518</v>
      </c>
      <c r="LM15">
        <v>1.7586200000000001</v>
      </c>
      <c r="LW15" t="s">
        <v>1024</v>
      </c>
      <c r="LX15">
        <v>1.34</v>
      </c>
      <c r="MB15">
        <v>1.3823099999999999</v>
      </c>
      <c r="MC15">
        <v>1.7014199999999999</v>
      </c>
      <c r="MD15">
        <f>AVERAGE(MD2:MD14)</f>
        <v>1.6095546153846156</v>
      </c>
      <c r="ME15">
        <v>1.5763499999999999</v>
      </c>
      <c r="MF15">
        <f>AVERAGE(MF2:MF14)</f>
        <v>1.6147269230769228</v>
      </c>
      <c r="MG15">
        <v>1.56227</v>
      </c>
      <c r="MH15">
        <v>1.9781200000000001</v>
      </c>
      <c r="ML15">
        <v>1.47681</v>
      </c>
      <c r="MM15">
        <v>1.2974000000000001</v>
      </c>
      <c r="MN15">
        <f>AVERAGE(MN2:MN14)</f>
        <v>1.6861961538461538</v>
      </c>
      <c r="MO15">
        <v>1.8851100000000001</v>
      </c>
      <c r="MP15">
        <v>1.8851100000000001</v>
      </c>
      <c r="MQ15">
        <v>1.79759</v>
      </c>
      <c r="MR15">
        <v>1.3278099999999999</v>
      </c>
      <c r="MU15">
        <v>1.84108</v>
      </c>
      <c r="MZ15" t="s">
        <v>384</v>
      </c>
      <c r="NA15">
        <v>1.34</v>
      </c>
      <c r="NJ15">
        <f>AVERAGE(Supplementary_Fig7!NJ4:NJ14)</f>
        <v>1.4348927272727272</v>
      </c>
      <c r="NL15">
        <v>1.3983399999999999</v>
      </c>
      <c r="NM15">
        <v>2.0440900000000002</v>
      </c>
      <c r="NO15">
        <f>AVERAGE(Supplementary_Fig7!NO4:NO14)</f>
        <v>1.3480127272727274</v>
      </c>
      <c r="NQ15">
        <f>AVERAGE(Supplementary_Fig7!NQ4:NQ14)</f>
        <v>1.3307672727272728</v>
      </c>
      <c r="NS15">
        <v>1.27</v>
      </c>
      <c r="NU15">
        <v>1.2074100000000001</v>
      </c>
      <c r="NZ15" t="s">
        <v>382</v>
      </c>
      <c r="OA15">
        <v>107.322</v>
      </c>
      <c r="OC15" t="s">
        <v>1024</v>
      </c>
      <c r="OF15" t="s">
        <v>384</v>
      </c>
      <c r="OG15">
        <v>313.30900000000003</v>
      </c>
      <c r="OI15">
        <v>1312212</v>
      </c>
      <c r="OJ15">
        <v>7</v>
      </c>
      <c r="OK15">
        <v>0</v>
      </c>
      <c r="OL15">
        <v>4.6900000000000004</v>
      </c>
      <c r="OM15">
        <v>-99.42</v>
      </c>
      <c r="ON15">
        <v>5.29</v>
      </c>
      <c r="OO15">
        <v>-88.49</v>
      </c>
      <c r="OR15">
        <v>6.06</v>
      </c>
      <c r="OS15">
        <v>-94.77</v>
      </c>
      <c r="OT15">
        <v>5.51</v>
      </c>
      <c r="OU15">
        <v>-95.53</v>
      </c>
      <c r="OV15">
        <v>6.08</v>
      </c>
      <c r="OW15">
        <v>-89.33</v>
      </c>
      <c r="OX15">
        <v>6.75</v>
      </c>
      <c r="OY15">
        <v>-97.69</v>
      </c>
      <c r="PD15">
        <v>-86.49</v>
      </c>
      <c r="PE15">
        <v>6.43</v>
      </c>
      <c r="PH15">
        <v>30822</v>
      </c>
      <c r="PI15">
        <v>8</v>
      </c>
      <c r="PJ15">
        <v>0</v>
      </c>
      <c r="PK15">
        <v>2.4900000000000002</v>
      </c>
      <c r="PL15">
        <v>-100</v>
      </c>
      <c r="PM15">
        <v>1.94</v>
      </c>
      <c r="PN15">
        <v>-100</v>
      </c>
      <c r="PO15">
        <v>3.23</v>
      </c>
      <c r="PP15">
        <v>-91.08</v>
      </c>
      <c r="PQ15">
        <v>1.39</v>
      </c>
      <c r="PR15">
        <v>-89.7</v>
      </c>
      <c r="PS15">
        <v>3.74</v>
      </c>
      <c r="PT15">
        <v>-95.17</v>
      </c>
      <c r="PU15">
        <v>4.75</v>
      </c>
      <c r="PV15">
        <v>-98.15</v>
      </c>
      <c r="PW15">
        <v>4.37</v>
      </c>
      <c r="PX15">
        <v>-99.42</v>
      </c>
      <c r="PY15">
        <v>2.88</v>
      </c>
      <c r="PZ15">
        <v>-94.78</v>
      </c>
      <c r="QC15">
        <v>-87.62</v>
      </c>
      <c r="QD15">
        <v>2.81</v>
      </c>
      <c r="QF15">
        <v>2303222</v>
      </c>
      <c r="QG15">
        <v>4</v>
      </c>
      <c r="QH15">
        <v>0</v>
      </c>
      <c r="QK15">
        <v>1.89</v>
      </c>
      <c r="QL15">
        <v>-100</v>
      </c>
      <c r="QW15">
        <v>1.66</v>
      </c>
      <c r="QX15">
        <v>-85.76</v>
      </c>
      <c r="RA15">
        <v>-79.11</v>
      </c>
      <c r="RB15">
        <v>2.21</v>
      </c>
    </row>
    <row r="16" spans="1:470" ht="13.15" x14ac:dyDescent="0.4">
      <c r="A16" t="s">
        <v>887</v>
      </c>
      <c r="B16" t="s">
        <v>343</v>
      </c>
      <c r="C16" t="s">
        <v>908</v>
      </c>
      <c r="D16" t="s">
        <v>346</v>
      </c>
      <c r="E16" t="s">
        <v>349</v>
      </c>
      <c r="F16" t="s">
        <v>352</v>
      </c>
      <c r="G16" t="s">
        <v>355</v>
      </c>
      <c r="H16" t="s">
        <v>359</v>
      </c>
      <c r="I16" t="s">
        <v>363</v>
      </c>
      <c r="J16" t="s">
        <v>367</v>
      </c>
      <c r="K16" t="s">
        <v>371</v>
      </c>
      <c r="L16" t="s">
        <v>375</v>
      </c>
      <c r="M16" t="s">
        <v>379</v>
      </c>
      <c r="N16" t="s">
        <v>383</v>
      </c>
      <c r="O16" t="s">
        <v>386</v>
      </c>
      <c r="P16" t="s">
        <v>389</v>
      </c>
      <c r="Q16" t="s">
        <v>392</v>
      </c>
      <c r="R16" t="s">
        <v>395</v>
      </c>
      <c r="S16" t="s">
        <v>399</v>
      </c>
      <c r="T16" t="s">
        <v>402</v>
      </c>
      <c r="U16" t="s">
        <v>405</v>
      </c>
      <c r="V16" t="s">
        <v>408</v>
      </c>
      <c r="W16" t="s">
        <v>412</v>
      </c>
      <c r="X16" t="s">
        <v>415</v>
      </c>
      <c r="Y16" t="s">
        <v>418</v>
      </c>
      <c r="Z16" t="s">
        <v>422</v>
      </c>
      <c r="AA16" t="s">
        <v>426</v>
      </c>
      <c r="AB16" t="s">
        <v>429</v>
      </c>
      <c r="AC16" t="s">
        <v>432</v>
      </c>
      <c r="AD16" t="s">
        <v>435</v>
      </c>
      <c r="AE16" t="s">
        <v>438</v>
      </c>
      <c r="AF16" t="s">
        <v>441</v>
      </c>
      <c r="AG16" t="s">
        <v>444</v>
      </c>
      <c r="AH16" t="s">
        <v>447</v>
      </c>
      <c r="AI16" t="s">
        <v>450</v>
      </c>
      <c r="AJ16" t="s">
        <v>453</v>
      </c>
      <c r="AK16" t="s">
        <v>456</v>
      </c>
      <c r="AL16" t="s">
        <v>459</v>
      </c>
      <c r="AM16" t="s">
        <v>462</v>
      </c>
      <c r="AN16" t="s">
        <v>465</v>
      </c>
      <c r="AO16" t="s">
        <v>468</v>
      </c>
      <c r="AP16" t="s">
        <v>471</v>
      </c>
      <c r="AQ16" t="s">
        <v>474</v>
      </c>
      <c r="AR16" t="s">
        <v>477</v>
      </c>
      <c r="AS16" t="s">
        <v>480</v>
      </c>
      <c r="AT16" t="s">
        <v>483</v>
      </c>
      <c r="AU16" t="s">
        <v>486</v>
      </c>
      <c r="AV16" t="s">
        <v>489</v>
      </c>
      <c r="AW16" t="s">
        <v>492</v>
      </c>
      <c r="AX16" t="s">
        <v>495</v>
      </c>
      <c r="AY16" t="s">
        <v>498</v>
      </c>
      <c r="AZ16" t="s">
        <v>501</v>
      </c>
      <c r="BA16" t="s">
        <v>504</v>
      </c>
      <c r="BB16" t="s">
        <v>507</v>
      </c>
      <c r="BC16" t="s">
        <v>510</v>
      </c>
      <c r="BD16" t="s">
        <v>513</v>
      </c>
      <c r="BE16" t="s">
        <v>516</v>
      </c>
      <c r="BF16" t="s">
        <v>519</v>
      </c>
      <c r="BG16" t="s">
        <v>522</v>
      </c>
      <c r="BH16" t="s">
        <v>526</v>
      </c>
      <c r="BI16" t="s">
        <v>530</v>
      </c>
      <c r="BJ16" t="s">
        <v>534</v>
      </c>
      <c r="BK16" t="s">
        <v>538</v>
      </c>
      <c r="BL16" t="s">
        <v>542</v>
      </c>
      <c r="BM16" t="s">
        <v>546</v>
      </c>
      <c r="BN16" t="s">
        <v>550</v>
      </c>
      <c r="BO16" t="s">
        <v>554</v>
      </c>
      <c r="BP16" t="s">
        <v>558</v>
      </c>
      <c r="BQ16" t="s">
        <v>562</v>
      </c>
      <c r="BR16" t="s">
        <v>566</v>
      </c>
      <c r="BS16" t="s">
        <v>570</v>
      </c>
      <c r="BT16" t="s">
        <v>574</v>
      </c>
      <c r="BU16" t="s">
        <v>577</v>
      </c>
      <c r="BV16" t="s">
        <v>580</v>
      </c>
      <c r="BW16" t="s">
        <v>583</v>
      </c>
      <c r="BX16" t="s">
        <v>586</v>
      </c>
      <c r="BY16" t="s">
        <v>589</v>
      </c>
      <c r="BZ16" t="s">
        <v>592</v>
      </c>
      <c r="CA16" t="s">
        <v>595</v>
      </c>
      <c r="CB16" t="s">
        <v>598</v>
      </c>
      <c r="CC16" t="s">
        <v>601</v>
      </c>
      <c r="CD16" t="s">
        <v>604</v>
      </c>
      <c r="CE16" t="s">
        <v>607</v>
      </c>
      <c r="CF16" t="s">
        <v>610</v>
      </c>
      <c r="CG16" t="s">
        <v>613</v>
      </c>
      <c r="CH16" t="s">
        <v>616</v>
      </c>
      <c r="CI16" t="s">
        <v>619</v>
      </c>
      <c r="CJ16" t="s">
        <v>622</v>
      </c>
      <c r="CK16" t="s">
        <v>625</v>
      </c>
      <c r="CL16" t="s">
        <v>628</v>
      </c>
      <c r="CM16" t="s">
        <v>631</v>
      </c>
      <c r="CN16" t="s">
        <v>634</v>
      </c>
      <c r="CO16" t="s">
        <v>637</v>
      </c>
      <c r="CP16" t="s">
        <v>640</v>
      </c>
      <c r="CQ16" t="s">
        <v>642</v>
      </c>
      <c r="CR16" t="s">
        <v>644</v>
      </c>
      <c r="CS16" t="s">
        <v>646</v>
      </c>
      <c r="CT16" t="s">
        <v>648</v>
      </c>
      <c r="CU16" t="s">
        <v>650</v>
      </c>
      <c r="CV16" t="s">
        <v>652</v>
      </c>
      <c r="CW16" t="s">
        <v>654</v>
      </c>
      <c r="CX16" t="s">
        <v>656</v>
      </c>
      <c r="CY16" t="s">
        <v>658</v>
      </c>
      <c r="CZ16" t="s">
        <v>660</v>
      </c>
      <c r="DA16" t="s">
        <v>662</v>
      </c>
      <c r="DB16" t="s">
        <v>664</v>
      </c>
      <c r="DC16" t="s">
        <v>666</v>
      </c>
      <c r="DD16" t="s">
        <v>668</v>
      </c>
      <c r="DE16" t="s">
        <v>670</v>
      </c>
      <c r="DF16" t="s">
        <v>672</v>
      </c>
      <c r="DG16" t="s">
        <v>674</v>
      </c>
      <c r="DH16" t="s">
        <v>676</v>
      </c>
      <c r="DI16" t="s">
        <v>678</v>
      </c>
      <c r="DJ16" t="s">
        <v>680</v>
      </c>
      <c r="DK16" t="s">
        <v>682</v>
      </c>
      <c r="DL16" t="s">
        <v>684</v>
      </c>
      <c r="DM16" t="s">
        <v>686</v>
      </c>
      <c r="DN16" t="s">
        <v>688</v>
      </c>
      <c r="DO16" t="s">
        <v>689</v>
      </c>
      <c r="DP16" t="s">
        <v>690</v>
      </c>
      <c r="DQ16" t="s">
        <v>691</v>
      </c>
      <c r="DR16" t="s">
        <v>692</v>
      </c>
      <c r="DS16" t="s">
        <v>693</v>
      </c>
      <c r="DT16" t="s">
        <v>694</v>
      </c>
      <c r="DU16" t="s">
        <v>695</v>
      </c>
      <c r="DV16" s="27" t="s">
        <v>397</v>
      </c>
      <c r="DW16" s="27" t="s">
        <v>284</v>
      </c>
      <c r="DZ16">
        <v>201221</v>
      </c>
      <c r="EA16">
        <v>5</v>
      </c>
      <c r="EB16">
        <v>0</v>
      </c>
      <c r="EE16">
        <v>1</v>
      </c>
      <c r="EG16">
        <v>1</v>
      </c>
      <c r="EI16">
        <v>1</v>
      </c>
      <c r="EJ16">
        <v>1</v>
      </c>
      <c r="EK16">
        <f t="shared" si="1"/>
        <v>4</v>
      </c>
      <c r="EM16">
        <v>308222</v>
      </c>
      <c r="EN16">
        <v>8</v>
      </c>
      <c r="EO16">
        <v>0</v>
      </c>
      <c r="EX16">
        <f t="shared" si="2"/>
        <v>0</v>
      </c>
      <c r="FA16">
        <v>240322</v>
      </c>
      <c r="FB16">
        <v>7</v>
      </c>
      <c r="FC16">
        <v>0</v>
      </c>
      <c r="FJ16">
        <v>1</v>
      </c>
      <c r="FL16">
        <f>SUM(Supplementary_Fig7!FD16:FK16)</f>
        <v>1</v>
      </c>
      <c r="FO16" t="s">
        <v>385</v>
      </c>
      <c r="FQ16">
        <v>29.41</v>
      </c>
      <c r="FS16" t="s">
        <v>385</v>
      </c>
      <c r="FU16">
        <f t="shared" si="4"/>
        <v>18.528299999999998</v>
      </c>
      <c r="GH16" t="s">
        <v>1051</v>
      </c>
      <c r="GL16" t="s">
        <v>1051</v>
      </c>
      <c r="GZ16" t="s">
        <v>387</v>
      </c>
      <c r="HB16">
        <v>62.76</v>
      </c>
      <c r="HD16" t="s">
        <v>387</v>
      </c>
      <c r="HF16">
        <f>63*Supplementary_Fig7!HB16/100</f>
        <v>39.538799999999995</v>
      </c>
      <c r="HJ16" s="1">
        <f>AVERAGE(Supplementary_Fig7!HJ12:HJ15)</f>
        <v>69.25547499999999</v>
      </c>
      <c r="HK16" s="1">
        <f>AVERAGE(Supplementary_Fig7!HK12:HK15)</f>
        <v>59.278149999999997</v>
      </c>
      <c r="HM16" s="1">
        <f>AVERAGE(Supplementary_Fig7!HM12:HM15)</f>
        <v>30.044375000000002</v>
      </c>
      <c r="HN16" s="1">
        <f>AVERAGE(Supplementary_Fig7!HN12:HN15)</f>
        <v>59.917749999999998</v>
      </c>
      <c r="HO16" s="1">
        <f>AVERAGE(Supplementary_Fig7!HO12:HO15)</f>
        <v>74.403266666666667</v>
      </c>
      <c r="HP16" s="1">
        <f>AVERAGE(Supplementary_Fig7!HP12:HP15)</f>
        <v>62.761049999999997</v>
      </c>
      <c r="HV16" t="s">
        <v>385</v>
      </c>
      <c r="HW16">
        <v>83.34</v>
      </c>
      <c r="IA16">
        <v>113.35899999999999</v>
      </c>
      <c r="IB16">
        <v>102.803</v>
      </c>
      <c r="IC16">
        <v>77.711500000000001</v>
      </c>
      <c r="ID16">
        <v>100.679</v>
      </c>
      <c r="IE16">
        <v>90.287800000000004</v>
      </c>
      <c r="IF16">
        <v>66.255200000000002</v>
      </c>
      <c r="IG16">
        <v>110.051</v>
      </c>
      <c r="IH16">
        <v>108.369</v>
      </c>
      <c r="II16">
        <v>83.918800000000005</v>
      </c>
      <c r="IJ16">
        <v>110.446</v>
      </c>
      <c r="IK16">
        <v>107.066</v>
      </c>
      <c r="IX16" t="s">
        <v>1051</v>
      </c>
      <c r="JC16">
        <v>101.961</v>
      </c>
      <c r="JD16">
        <v>90.921000000000006</v>
      </c>
      <c r="JE16">
        <f>AVERAGE(JE4:JE15)</f>
        <v>99.025016666666673</v>
      </c>
      <c r="JF16">
        <v>104.77</v>
      </c>
      <c r="JG16">
        <v>98.962400000000002</v>
      </c>
      <c r="JH16">
        <v>108.89100000000001</v>
      </c>
      <c r="JI16">
        <v>92.907700000000006</v>
      </c>
      <c r="JJ16">
        <f>AVERAGE(JJ4:JJ15)</f>
        <v>123.07491666666665</v>
      </c>
      <c r="JK16">
        <v>90.6845</v>
      </c>
      <c r="JM16">
        <v>104.175</v>
      </c>
      <c r="JN16">
        <v>90.925600000000003</v>
      </c>
      <c r="JV16" t="s">
        <v>387</v>
      </c>
      <c r="JW16">
        <v>121.2</v>
      </c>
      <c r="KH16">
        <v>109.398</v>
      </c>
      <c r="KI16">
        <v>55.056800000000003</v>
      </c>
      <c r="KK16">
        <f>AVERAGE(Supplementary_Fig7!KK4:KK15)</f>
        <v>106.71018333333332</v>
      </c>
      <c r="KT16" t="s">
        <v>385</v>
      </c>
      <c r="KU16">
        <v>1.96</v>
      </c>
      <c r="KY16">
        <v>1.7105999999999999</v>
      </c>
      <c r="KZ16">
        <f>AVERAGE(Supplementary_Fig7!KZ2:KZ15)</f>
        <v>2.4387742857142856</v>
      </c>
      <c r="LA16">
        <v>1.6797200000000001</v>
      </c>
      <c r="LB16">
        <v>2.2426900000000001</v>
      </c>
      <c r="LC16">
        <v>2.0871599999999999</v>
      </c>
      <c r="LD16">
        <v>1.9506600000000001</v>
      </c>
      <c r="LE16">
        <v>2.6368999999999998</v>
      </c>
      <c r="LF16">
        <v>2.0706000000000002</v>
      </c>
      <c r="LI16">
        <f>AVERAGE(Supplementary_Fig7!LI2:LI15)</f>
        <v>1.8527542857142858</v>
      </c>
      <c r="LM16">
        <v>1.8281400000000001</v>
      </c>
      <c r="LW16" t="s">
        <v>1051</v>
      </c>
      <c r="MB16">
        <v>1.36236</v>
      </c>
      <c r="MC16">
        <v>1.73051</v>
      </c>
      <c r="ME16">
        <f>AVERAGE(ME2:ME15)</f>
        <v>1.6131057142857146</v>
      </c>
      <c r="MG16">
        <v>1.5965400000000001</v>
      </c>
      <c r="MH16">
        <v>1.9886200000000001</v>
      </c>
      <c r="ML16">
        <f>AVERAGE(ML2:ML15)</f>
        <v>1.490872142857143</v>
      </c>
      <c r="MM16">
        <v>1.3053399999999999</v>
      </c>
      <c r="MO16">
        <f>AVERAGE(MO2:MO15)</f>
        <v>1.9379942857142862</v>
      </c>
      <c r="MP16">
        <f>AVERAGE(MP2:MP15)</f>
        <v>1.9379942857142862</v>
      </c>
      <c r="MQ16">
        <f>AVERAGE(MQ2:MQ15)</f>
        <v>1.7241164285714283</v>
      </c>
      <c r="MR16">
        <f>AVERAGE(MR2:MR15)</f>
        <v>1.2941242857142856</v>
      </c>
      <c r="MU16">
        <v>1.845</v>
      </c>
      <c r="MZ16" t="s">
        <v>387</v>
      </c>
      <c r="NA16">
        <v>1.42</v>
      </c>
      <c r="NL16">
        <v>1.39331</v>
      </c>
      <c r="NM16">
        <v>2.0310199999999998</v>
      </c>
      <c r="NS16">
        <v>1.28969</v>
      </c>
      <c r="NU16">
        <v>1.2060900000000001</v>
      </c>
      <c r="NZ16" t="s">
        <v>385</v>
      </c>
      <c r="OA16">
        <v>200.244</v>
      </c>
      <c r="OC16" t="s">
        <v>1051</v>
      </c>
      <c r="OF16" t="s">
        <v>387</v>
      </c>
      <c r="OG16">
        <v>346.58100000000002</v>
      </c>
      <c r="OI16">
        <v>201221</v>
      </c>
      <c r="OJ16">
        <v>5</v>
      </c>
      <c r="OK16">
        <v>0</v>
      </c>
      <c r="OP16">
        <v>4.97</v>
      </c>
      <c r="OQ16">
        <v>-95.75</v>
      </c>
      <c r="OT16">
        <v>3.9</v>
      </c>
      <c r="OU16">
        <v>-88.88</v>
      </c>
      <c r="OZ16">
        <v>9.86</v>
      </c>
      <c r="PA16">
        <v>-97.26</v>
      </c>
      <c r="PD16">
        <v>-86.56</v>
      </c>
      <c r="PE16">
        <v>5.56</v>
      </c>
      <c r="PH16">
        <v>308222</v>
      </c>
      <c r="PI16">
        <v>8</v>
      </c>
      <c r="PJ16">
        <v>0</v>
      </c>
      <c r="PK16">
        <v>3.87</v>
      </c>
      <c r="PL16">
        <v>-91.24</v>
      </c>
      <c r="PM16">
        <v>4.49</v>
      </c>
      <c r="PN16">
        <v>-100</v>
      </c>
      <c r="PO16">
        <v>3.86</v>
      </c>
      <c r="PP16">
        <v>-91.04</v>
      </c>
      <c r="PQ16">
        <v>3.68</v>
      </c>
      <c r="PR16">
        <v>-91.11</v>
      </c>
      <c r="PS16">
        <v>4.6100000000000003</v>
      </c>
      <c r="PT16">
        <v>-98.87</v>
      </c>
      <c r="PU16">
        <v>4.8</v>
      </c>
      <c r="PV16">
        <v>-93.36</v>
      </c>
      <c r="PW16">
        <v>5.45</v>
      </c>
      <c r="PX16">
        <v>-97.62</v>
      </c>
      <c r="PY16">
        <v>5.46</v>
      </c>
      <c r="PZ16">
        <v>-92.42</v>
      </c>
      <c r="QC16">
        <v>-87.72</v>
      </c>
      <c r="QD16">
        <v>4.59</v>
      </c>
      <c r="QF16">
        <v>240322</v>
      </c>
      <c r="QG16">
        <v>7</v>
      </c>
      <c r="QH16">
        <v>0</v>
      </c>
      <c r="QI16">
        <v>1.61</v>
      </c>
      <c r="QJ16">
        <v>-80.709999999999994</v>
      </c>
      <c r="QO16">
        <v>3.77</v>
      </c>
      <c r="QP16">
        <v>-84.58</v>
      </c>
      <c r="QQ16">
        <v>2.48</v>
      </c>
      <c r="QR16">
        <v>-78.37</v>
      </c>
      <c r="QS16">
        <v>2.68</v>
      </c>
      <c r="QT16">
        <v>-75.64</v>
      </c>
      <c r="QU16" t="s">
        <v>1055</v>
      </c>
      <c r="QW16">
        <v>3.48</v>
      </c>
      <c r="QX16">
        <v>-84.25</v>
      </c>
      <c r="RA16">
        <v>-79.209999999999994</v>
      </c>
      <c r="RB16">
        <v>2.8</v>
      </c>
    </row>
    <row r="17" spans="1:470" ht="13.15" x14ac:dyDescent="0.4">
      <c r="A17">
        <v>50</v>
      </c>
      <c r="B17">
        <v>0.5</v>
      </c>
      <c r="C17">
        <v>1.5</v>
      </c>
      <c r="D17">
        <v>0</v>
      </c>
      <c r="E17">
        <v>0</v>
      </c>
      <c r="F17">
        <v>0</v>
      </c>
      <c r="G17">
        <v>2</v>
      </c>
      <c r="H17">
        <v>1</v>
      </c>
      <c r="I17">
        <v>0</v>
      </c>
      <c r="J17">
        <v>1</v>
      </c>
      <c r="K17">
        <v>0</v>
      </c>
      <c r="L17">
        <v>1.5</v>
      </c>
      <c r="M17">
        <v>0</v>
      </c>
      <c r="N17">
        <v>0</v>
      </c>
      <c r="O17">
        <v>1</v>
      </c>
      <c r="P17">
        <v>0</v>
      </c>
      <c r="Q17">
        <v>0</v>
      </c>
      <c r="R17">
        <v>1</v>
      </c>
      <c r="S17">
        <v>0</v>
      </c>
      <c r="T17">
        <v>0.5</v>
      </c>
      <c r="U17">
        <v>0.5</v>
      </c>
      <c r="V17">
        <v>0.5</v>
      </c>
      <c r="W17">
        <v>0.5</v>
      </c>
      <c r="X17">
        <v>1</v>
      </c>
      <c r="Y17">
        <v>0.5</v>
      </c>
      <c r="Z17">
        <v>0</v>
      </c>
      <c r="AA17">
        <v>0.5</v>
      </c>
      <c r="AB17">
        <v>0</v>
      </c>
      <c r="AC17">
        <v>0</v>
      </c>
      <c r="AD17">
        <v>0.5</v>
      </c>
      <c r="AE17">
        <v>5</v>
      </c>
      <c r="AF17">
        <v>3.5</v>
      </c>
      <c r="AG17">
        <v>4</v>
      </c>
      <c r="AH17">
        <v>0</v>
      </c>
      <c r="AI17">
        <v>0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0.5</v>
      </c>
      <c r="AS17">
        <v>0.5</v>
      </c>
      <c r="AT17">
        <v>0.5</v>
      </c>
      <c r="AU17">
        <v>2</v>
      </c>
      <c r="AV17">
        <v>4.5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0.5</v>
      </c>
      <c r="BC17">
        <v>4</v>
      </c>
      <c r="BD17">
        <v>0.5</v>
      </c>
      <c r="BE17">
        <v>0</v>
      </c>
      <c r="BF17">
        <v>0</v>
      </c>
      <c r="BG17">
        <v>0</v>
      </c>
      <c r="BH17">
        <v>3.5</v>
      </c>
      <c r="BI17">
        <v>0</v>
      </c>
      <c r="BJ17">
        <v>0</v>
      </c>
      <c r="BK17">
        <v>2</v>
      </c>
      <c r="BL17">
        <v>5.5</v>
      </c>
      <c r="BM17">
        <v>0</v>
      </c>
      <c r="BN17">
        <v>3</v>
      </c>
      <c r="BO17">
        <v>1.5</v>
      </c>
      <c r="BP17">
        <v>0</v>
      </c>
      <c r="BQ17">
        <v>0</v>
      </c>
      <c r="BR17">
        <v>0</v>
      </c>
      <c r="BS17">
        <v>1</v>
      </c>
      <c r="BT17">
        <v>0</v>
      </c>
      <c r="BU17">
        <v>0</v>
      </c>
      <c r="BV17">
        <v>1</v>
      </c>
      <c r="BW17">
        <v>0</v>
      </c>
      <c r="BX17">
        <v>0</v>
      </c>
      <c r="BY17">
        <v>0</v>
      </c>
      <c r="BZ17">
        <v>0.5</v>
      </c>
      <c r="CA17">
        <v>0</v>
      </c>
      <c r="CB17">
        <v>0</v>
      </c>
      <c r="CC17">
        <v>0</v>
      </c>
      <c r="CD17">
        <v>0.5</v>
      </c>
      <c r="CE17">
        <v>0</v>
      </c>
      <c r="CF17">
        <v>0</v>
      </c>
      <c r="CG17">
        <v>0</v>
      </c>
      <c r="CH17">
        <v>0.5</v>
      </c>
      <c r="CI17">
        <v>0.5</v>
      </c>
      <c r="CJ17">
        <v>0</v>
      </c>
      <c r="CK17">
        <v>1</v>
      </c>
      <c r="CL17">
        <v>0</v>
      </c>
      <c r="CM17">
        <v>0</v>
      </c>
      <c r="CN17">
        <v>0.5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3.5</v>
      </c>
      <c r="CV17">
        <v>6</v>
      </c>
      <c r="CW17">
        <v>0</v>
      </c>
      <c r="CX17">
        <v>0.5</v>
      </c>
      <c r="CY17">
        <v>0.5</v>
      </c>
      <c r="CZ17">
        <v>0.5</v>
      </c>
      <c r="DA17">
        <v>1.5</v>
      </c>
      <c r="DB17">
        <v>0</v>
      </c>
      <c r="DC17">
        <v>0</v>
      </c>
      <c r="DD17">
        <v>0</v>
      </c>
      <c r="DE17">
        <v>0.5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1.5</v>
      </c>
      <c r="DL17">
        <v>0.5</v>
      </c>
      <c r="DM17">
        <v>0</v>
      </c>
      <c r="DN17">
        <v>1</v>
      </c>
      <c r="DO17">
        <v>0</v>
      </c>
      <c r="DP17">
        <v>0</v>
      </c>
      <c r="DQ17">
        <v>0</v>
      </c>
      <c r="DR17">
        <v>1.5</v>
      </c>
      <c r="DS17">
        <v>1</v>
      </c>
      <c r="DT17">
        <v>0</v>
      </c>
      <c r="DU17">
        <v>0.5</v>
      </c>
      <c r="DV17" s="1">
        <f t="shared" ref="DV17:DV24" si="6">AVERAGE(B17:DU17)</f>
        <v>0.64919354838709675</v>
      </c>
      <c r="DW17" s="1">
        <f t="shared" ref="DW17:DW24" si="7">STDEV(B17:DU17)/SQRT(124)</f>
        <v>0.108481737612434</v>
      </c>
      <c r="DZ17">
        <v>211221</v>
      </c>
      <c r="EA17">
        <v>8</v>
      </c>
      <c r="EB17">
        <v>0</v>
      </c>
      <c r="EE17">
        <v>1</v>
      </c>
      <c r="EK17">
        <f t="shared" si="1"/>
        <v>1</v>
      </c>
      <c r="EM17">
        <v>40822</v>
      </c>
      <c r="EN17">
        <v>5</v>
      </c>
      <c r="EO17">
        <v>0</v>
      </c>
      <c r="EX17">
        <f t="shared" si="2"/>
        <v>0</v>
      </c>
      <c r="FA17">
        <v>60422</v>
      </c>
      <c r="FB17">
        <v>4</v>
      </c>
      <c r="FC17">
        <v>0</v>
      </c>
      <c r="FL17">
        <f>SUM(Supplementary_Fig7!FD17:FK17)</f>
        <v>0</v>
      </c>
      <c r="FO17" t="s">
        <v>388</v>
      </c>
      <c r="FQ17">
        <v>75.59</v>
      </c>
      <c r="FS17" t="s">
        <v>388</v>
      </c>
      <c r="FU17">
        <f t="shared" si="4"/>
        <v>47.621700000000004</v>
      </c>
      <c r="FW17" t="s">
        <v>411</v>
      </c>
      <c r="FX17" t="s">
        <v>414</v>
      </c>
      <c r="FY17" t="s">
        <v>417</v>
      </c>
      <c r="FZ17" t="s">
        <v>421</v>
      </c>
      <c r="GA17" t="s">
        <v>425</v>
      </c>
      <c r="GB17" t="s">
        <v>428</v>
      </c>
      <c r="GC17" t="s">
        <v>431</v>
      </c>
      <c r="GD17" t="s">
        <v>434</v>
      </c>
      <c r="GE17" t="s">
        <v>437</v>
      </c>
      <c r="GF17" t="s">
        <v>440</v>
      </c>
      <c r="GH17" t="s">
        <v>379</v>
      </c>
      <c r="GJ17">
        <v>67.12</v>
      </c>
      <c r="GL17" t="s">
        <v>379</v>
      </c>
      <c r="GN17">
        <f>63*GJ17/100</f>
        <v>42.285600000000002</v>
      </c>
      <c r="GQ17" t="s">
        <v>379</v>
      </c>
      <c r="GR17" t="s">
        <v>383</v>
      </c>
      <c r="GS17" t="s">
        <v>386</v>
      </c>
      <c r="GT17" t="s">
        <v>1025</v>
      </c>
      <c r="GU17" t="s">
        <v>1026</v>
      </c>
      <c r="GV17" t="s">
        <v>389</v>
      </c>
      <c r="GW17" t="s">
        <v>392</v>
      </c>
      <c r="GX17" t="s">
        <v>395</v>
      </c>
      <c r="GZ17" t="s">
        <v>390</v>
      </c>
      <c r="HA17">
        <v>56.18</v>
      </c>
      <c r="HD17" t="s">
        <v>390</v>
      </c>
      <c r="HE17">
        <f>63*Supplementary_Fig7!HA17/100</f>
        <v>35.3934</v>
      </c>
      <c r="HL17" s="36" t="s">
        <v>1057</v>
      </c>
      <c r="HM17" s="36" t="s">
        <v>1057</v>
      </c>
      <c r="HV17" t="s">
        <v>388</v>
      </c>
      <c r="HW17">
        <v>88.33</v>
      </c>
      <c r="IA17">
        <v>113.504</v>
      </c>
      <c r="IB17">
        <v>100.79</v>
      </c>
      <c r="IC17">
        <v>77.856399999999994</v>
      </c>
      <c r="ID17">
        <v>97.444199999999995</v>
      </c>
      <c r="IE17">
        <v>84.817499999999995</v>
      </c>
      <c r="IF17">
        <v>64.752200000000002</v>
      </c>
      <c r="IG17">
        <f>AVERAGE(Supplementary_Fig7!IG3:IG16)</f>
        <v>101.35872857142854</v>
      </c>
      <c r="IH17">
        <v>109.908</v>
      </c>
      <c r="II17">
        <v>85.215800000000002</v>
      </c>
      <c r="IJ17">
        <v>112.869</v>
      </c>
      <c r="IK17">
        <v>107.32</v>
      </c>
      <c r="IX17" t="s">
        <v>379</v>
      </c>
      <c r="IY17">
        <v>106.53</v>
      </c>
      <c r="JC17">
        <v>101.181</v>
      </c>
      <c r="JD17">
        <v>92.515600000000006</v>
      </c>
      <c r="JF17">
        <v>125.30800000000001</v>
      </c>
      <c r="JG17">
        <v>100.754</v>
      </c>
      <c r="JH17">
        <v>113.11199999999999</v>
      </c>
      <c r="JI17">
        <v>93.907200000000003</v>
      </c>
      <c r="JK17">
        <v>90.031400000000005</v>
      </c>
      <c r="JM17">
        <v>104.176</v>
      </c>
      <c r="JN17">
        <v>94.432100000000005</v>
      </c>
      <c r="JV17" t="s">
        <v>390</v>
      </c>
      <c r="JW17">
        <v>105.7</v>
      </c>
      <c r="KH17">
        <v>84.593199999999996</v>
      </c>
      <c r="KI17">
        <f>AVERAGE(Supplementary_Fig7!KI4:KI16)</f>
        <v>57.692776923076913</v>
      </c>
      <c r="KT17" t="s">
        <v>388</v>
      </c>
      <c r="KU17">
        <v>4.42</v>
      </c>
      <c r="KY17">
        <f>AVERAGE(Supplementary_Fig7!KY2:KY16)</f>
        <v>1.8312106666666668</v>
      </c>
      <c r="LA17">
        <f>AVERAGE(Supplementary_Fig7!LA2:LA16)</f>
        <v>1.6886279999999998</v>
      </c>
      <c r="LB17">
        <f>AVERAGE(Supplementary_Fig7!LB2:LB16)</f>
        <v>2.2339633333333335</v>
      </c>
      <c r="LC17">
        <f>AVERAGE(Supplementary_Fig7!LC2:LC16)</f>
        <v>2.0863939999999999</v>
      </c>
      <c r="LD17">
        <f>AVERAGE(Supplementary_Fig7!LD2:LD16)</f>
        <v>1.9338226666666665</v>
      </c>
      <c r="LE17">
        <v>2.7288800000000002</v>
      </c>
      <c r="LF17">
        <v>2.2425299999999999</v>
      </c>
      <c r="LM17">
        <v>1.7627900000000001</v>
      </c>
      <c r="LW17" t="s">
        <v>379</v>
      </c>
      <c r="LX17">
        <v>1.68</v>
      </c>
      <c r="MB17">
        <f>AVERAGE(MB2:MB16)</f>
        <v>1.3795719999999998</v>
      </c>
      <c r="MC17">
        <f>AVERAGE(MC2:MC16)</f>
        <v>1.7292686666666666</v>
      </c>
      <c r="MG17">
        <v>1.57</v>
      </c>
      <c r="MH17">
        <v>2.0415399999999999</v>
      </c>
      <c r="MM17">
        <v>1.33266</v>
      </c>
      <c r="MU17">
        <f>AVERAGE(MU2:MU16)</f>
        <v>1.8650899999999999</v>
      </c>
      <c r="MZ17" t="s">
        <v>390</v>
      </c>
      <c r="NA17">
        <v>1.33</v>
      </c>
      <c r="NL17">
        <v>1.9155800000000001</v>
      </c>
      <c r="NM17">
        <v>2.0089999999999999</v>
      </c>
      <c r="NS17">
        <v>1.2993300000000001</v>
      </c>
      <c r="NU17">
        <v>1.20773</v>
      </c>
      <c r="NZ17" t="s">
        <v>388</v>
      </c>
      <c r="OA17">
        <v>61.3553</v>
      </c>
      <c r="OC17" t="s">
        <v>379</v>
      </c>
      <c r="OD17">
        <v>336.142</v>
      </c>
      <c r="OF17" t="s">
        <v>390</v>
      </c>
      <c r="OG17">
        <v>325.76299999999998</v>
      </c>
      <c r="OI17">
        <v>211221</v>
      </c>
      <c r="OJ17">
        <v>8</v>
      </c>
      <c r="OK17">
        <v>0</v>
      </c>
      <c r="OL17">
        <v>3.54</v>
      </c>
      <c r="OM17">
        <v>-90.35</v>
      </c>
      <c r="ON17">
        <v>3.77</v>
      </c>
      <c r="OO17">
        <v>-95.25</v>
      </c>
      <c r="OT17">
        <v>3.87</v>
      </c>
      <c r="OU17">
        <v>-88.24</v>
      </c>
      <c r="OX17">
        <v>6.43</v>
      </c>
      <c r="OY17">
        <v>-86.49</v>
      </c>
      <c r="OZ17">
        <v>5.93</v>
      </c>
      <c r="PA17">
        <v>-87.17</v>
      </c>
      <c r="PD17">
        <v>-86.57</v>
      </c>
      <c r="PE17">
        <v>6.75</v>
      </c>
      <c r="PH17">
        <v>40822</v>
      </c>
      <c r="PI17">
        <v>5</v>
      </c>
      <c r="PJ17">
        <v>0</v>
      </c>
      <c r="QC17">
        <v>-88.15</v>
      </c>
      <c r="QD17">
        <v>5.88</v>
      </c>
      <c r="QF17">
        <v>60422</v>
      </c>
      <c r="QG17">
        <v>4</v>
      </c>
      <c r="QH17">
        <v>0</v>
      </c>
      <c r="QN17" t="s">
        <v>1054</v>
      </c>
      <c r="QW17">
        <v>1.41</v>
      </c>
      <c r="QX17">
        <v>-84.18</v>
      </c>
      <c r="RA17">
        <v>-79.23</v>
      </c>
      <c r="RB17">
        <v>1.06</v>
      </c>
    </row>
    <row r="18" spans="1:470" ht="13.15" x14ac:dyDescent="0.4">
      <c r="A18">
        <v>100</v>
      </c>
      <c r="B18">
        <v>2</v>
      </c>
      <c r="C18">
        <v>2</v>
      </c>
      <c r="D18">
        <v>0.5</v>
      </c>
      <c r="E18">
        <v>1</v>
      </c>
      <c r="F18">
        <v>1</v>
      </c>
      <c r="G18">
        <v>1.5</v>
      </c>
      <c r="H18">
        <v>2.5</v>
      </c>
      <c r="I18">
        <v>0</v>
      </c>
      <c r="J18">
        <v>0.5</v>
      </c>
      <c r="K18">
        <v>0</v>
      </c>
      <c r="L18">
        <v>2.5</v>
      </c>
      <c r="M18">
        <v>1.5</v>
      </c>
      <c r="N18">
        <v>0.5</v>
      </c>
      <c r="O18">
        <v>2.5</v>
      </c>
      <c r="P18">
        <v>1</v>
      </c>
      <c r="Q18">
        <v>1</v>
      </c>
      <c r="R18">
        <v>2.5</v>
      </c>
      <c r="S18">
        <v>1</v>
      </c>
      <c r="T18">
        <v>3.5</v>
      </c>
      <c r="U18">
        <v>2</v>
      </c>
      <c r="V18">
        <v>1</v>
      </c>
      <c r="W18">
        <v>2.5</v>
      </c>
      <c r="X18">
        <v>4</v>
      </c>
      <c r="Y18">
        <v>1.5</v>
      </c>
      <c r="Z18">
        <v>0</v>
      </c>
      <c r="AA18">
        <v>2.5</v>
      </c>
      <c r="AB18">
        <v>0.5</v>
      </c>
      <c r="AC18">
        <v>0</v>
      </c>
      <c r="AD18">
        <v>1.5</v>
      </c>
      <c r="AE18">
        <v>11</v>
      </c>
      <c r="AF18">
        <v>9</v>
      </c>
      <c r="AG18">
        <v>11.5</v>
      </c>
      <c r="AH18">
        <v>0</v>
      </c>
      <c r="AI18">
        <v>0.5</v>
      </c>
      <c r="AJ18">
        <v>1.5</v>
      </c>
      <c r="AK18">
        <v>1.5</v>
      </c>
      <c r="AL18">
        <v>5.5</v>
      </c>
      <c r="AM18">
        <v>0</v>
      </c>
      <c r="AN18">
        <v>0.5</v>
      </c>
      <c r="AO18">
        <v>0</v>
      </c>
      <c r="AP18">
        <v>0</v>
      </c>
      <c r="AQ18">
        <v>0</v>
      </c>
      <c r="AR18">
        <v>1.5</v>
      </c>
      <c r="AS18">
        <v>1.5</v>
      </c>
      <c r="AT18">
        <v>1</v>
      </c>
      <c r="AU18">
        <v>4</v>
      </c>
      <c r="AV18">
        <v>8</v>
      </c>
      <c r="AW18">
        <v>0</v>
      </c>
      <c r="AX18">
        <v>0.5</v>
      </c>
      <c r="AY18">
        <v>1.5</v>
      </c>
      <c r="AZ18">
        <v>0</v>
      </c>
      <c r="BA18">
        <v>1</v>
      </c>
      <c r="BB18">
        <v>1.5</v>
      </c>
      <c r="BC18">
        <v>7</v>
      </c>
      <c r="BD18">
        <v>1.5</v>
      </c>
      <c r="BE18">
        <v>1</v>
      </c>
      <c r="BF18">
        <v>0</v>
      </c>
      <c r="BG18">
        <v>0</v>
      </c>
      <c r="BH18">
        <v>7.5</v>
      </c>
      <c r="BI18">
        <v>0</v>
      </c>
      <c r="BJ18">
        <v>0.5</v>
      </c>
      <c r="BK18">
        <v>5</v>
      </c>
      <c r="BL18">
        <v>6.5</v>
      </c>
      <c r="BM18">
        <v>0</v>
      </c>
      <c r="BN18">
        <v>4</v>
      </c>
      <c r="BO18">
        <v>4</v>
      </c>
      <c r="BP18">
        <v>0</v>
      </c>
      <c r="BQ18">
        <v>0.5</v>
      </c>
      <c r="BR18">
        <v>0.5</v>
      </c>
      <c r="BS18">
        <v>2</v>
      </c>
      <c r="BT18">
        <v>0</v>
      </c>
      <c r="BU18">
        <v>0</v>
      </c>
      <c r="BV18">
        <v>3</v>
      </c>
      <c r="BW18">
        <v>0.5</v>
      </c>
      <c r="BX18">
        <v>0.5</v>
      </c>
      <c r="BY18">
        <v>0</v>
      </c>
      <c r="BZ18">
        <v>4</v>
      </c>
      <c r="CA18">
        <v>0</v>
      </c>
      <c r="CB18">
        <v>0</v>
      </c>
      <c r="CC18">
        <v>0</v>
      </c>
      <c r="CD18">
        <v>1</v>
      </c>
      <c r="CE18">
        <v>1.5</v>
      </c>
      <c r="CF18">
        <v>0</v>
      </c>
      <c r="CG18">
        <v>0</v>
      </c>
      <c r="CH18">
        <v>3</v>
      </c>
      <c r="CI18">
        <v>2</v>
      </c>
      <c r="CJ18">
        <v>0</v>
      </c>
      <c r="CK18">
        <v>2</v>
      </c>
      <c r="CL18">
        <v>0</v>
      </c>
      <c r="CM18">
        <v>0</v>
      </c>
      <c r="CN18">
        <v>2</v>
      </c>
      <c r="CO18">
        <v>1</v>
      </c>
      <c r="CP18">
        <v>0</v>
      </c>
      <c r="CQ18">
        <v>0</v>
      </c>
      <c r="CR18">
        <v>0</v>
      </c>
      <c r="CS18">
        <v>0.5</v>
      </c>
      <c r="CT18">
        <v>1</v>
      </c>
      <c r="CU18">
        <v>7</v>
      </c>
      <c r="CV18">
        <v>12.5</v>
      </c>
      <c r="CW18">
        <v>1.5</v>
      </c>
      <c r="CX18">
        <v>1.5</v>
      </c>
      <c r="CY18">
        <v>1.5</v>
      </c>
      <c r="CZ18">
        <v>1.5</v>
      </c>
      <c r="DA18">
        <v>3.5</v>
      </c>
      <c r="DB18">
        <v>0</v>
      </c>
      <c r="DC18">
        <v>1</v>
      </c>
      <c r="DD18">
        <v>0</v>
      </c>
      <c r="DE18">
        <v>2</v>
      </c>
      <c r="DF18">
        <v>0</v>
      </c>
      <c r="DG18">
        <v>1</v>
      </c>
      <c r="DH18">
        <v>0</v>
      </c>
      <c r="DI18">
        <v>0.5</v>
      </c>
      <c r="DJ18">
        <v>0</v>
      </c>
      <c r="DK18">
        <v>3.5</v>
      </c>
      <c r="DL18">
        <v>1.5</v>
      </c>
      <c r="DM18">
        <v>1</v>
      </c>
      <c r="DN18">
        <v>2</v>
      </c>
      <c r="DO18">
        <v>0.5</v>
      </c>
      <c r="DP18">
        <v>1</v>
      </c>
      <c r="DQ18">
        <v>0</v>
      </c>
      <c r="DR18">
        <v>3</v>
      </c>
      <c r="DS18">
        <v>2</v>
      </c>
      <c r="DT18">
        <v>1.5</v>
      </c>
      <c r="DU18">
        <v>3</v>
      </c>
      <c r="DV18" s="1">
        <f t="shared" si="6"/>
        <v>1.7620967741935485</v>
      </c>
      <c r="DW18" s="1">
        <f t="shared" si="7"/>
        <v>0.21602041876714312</v>
      </c>
      <c r="DZ18">
        <v>2112212</v>
      </c>
      <c r="EA18">
        <v>7</v>
      </c>
      <c r="EB18">
        <v>0</v>
      </c>
      <c r="EG18">
        <v>1</v>
      </c>
      <c r="EK18">
        <f t="shared" si="1"/>
        <v>1</v>
      </c>
      <c r="EM18">
        <v>90822</v>
      </c>
      <c r="EN18">
        <v>7</v>
      </c>
      <c r="EO18">
        <v>0</v>
      </c>
      <c r="EX18">
        <f t="shared" si="2"/>
        <v>0</v>
      </c>
      <c r="FA18">
        <v>140422</v>
      </c>
      <c r="FB18">
        <v>5</v>
      </c>
      <c r="FC18">
        <v>0</v>
      </c>
      <c r="FJ18">
        <v>1</v>
      </c>
      <c r="FL18">
        <f>SUM(Supplementary_Fig7!FD18:FK18)</f>
        <v>1</v>
      </c>
      <c r="FO18" t="s">
        <v>391</v>
      </c>
      <c r="FQ18">
        <v>86.19</v>
      </c>
      <c r="FS18" t="s">
        <v>391</v>
      </c>
      <c r="FU18">
        <f t="shared" si="4"/>
        <v>54.299700000000001</v>
      </c>
      <c r="FW18">
        <v>12.865600000000001</v>
      </c>
      <c r="FX18">
        <v>92.412499999999994</v>
      </c>
      <c r="FY18">
        <v>94.105199999999996</v>
      </c>
      <c r="FZ18">
        <v>66.639300000000006</v>
      </c>
      <c r="GA18">
        <v>37.936500000000002</v>
      </c>
      <c r="GB18">
        <v>106.687</v>
      </c>
      <c r="GC18">
        <v>63.145400000000002</v>
      </c>
      <c r="GD18">
        <v>104.53700000000001</v>
      </c>
      <c r="GE18">
        <v>57.410200000000003</v>
      </c>
      <c r="GF18">
        <v>76.329800000000006</v>
      </c>
      <c r="GH18" t="s">
        <v>383</v>
      </c>
      <c r="GI18">
        <v>95.46</v>
      </c>
      <c r="GL18" t="s">
        <v>383</v>
      </c>
      <c r="GM18">
        <f>63*GI18/100</f>
        <v>60.139799999999994</v>
      </c>
      <c r="GQ18">
        <v>72.643199999999993</v>
      </c>
      <c r="GR18">
        <v>114.482</v>
      </c>
      <c r="GS18">
        <v>81.448899999999995</v>
      </c>
      <c r="GT18">
        <v>45.4116</v>
      </c>
      <c r="GV18">
        <v>58.916899999999998</v>
      </c>
      <c r="GW18">
        <v>84.186400000000006</v>
      </c>
      <c r="GX18">
        <v>109.246</v>
      </c>
      <c r="GZ18" t="s">
        <v>393</v>
      </c>
      <c r="HB18">
        <v>58.57</v>
      </c>
      <c r="HD18" t="s">
        <v>393</v>
      </c>
      <c r="HF18">
        <f>63*Supplementary_Fig7!HB18/100</f>
        <v>36.899099999999997</v>
      </c>
      <c r="HV18" t="s">
        <v>391</v>
      </c>
      <c r="HW18">
        <v>94.85</v>
      </c>
      <c r="IA18">
        <f>AVERAGE(Supplementary_Fig7!IA3:IA17)</f>
        <v>86.782086666666657</v>
      </c>
      <c r="IB18">
        <f>AVERAGE(Supplementary_Fig7!IB3:IB17)</f>
        <v>90.928753333333347</v>
      </c>
      <c r="IC18">
        <v>81.268299999999996</v>
      </c>
      <c r="ID18">
        <v>94.450400000000002</v>
      </c>
      <c r="IE18">
        <v>96.008300000000006</v>
      </c>
      <c r="IF18">
        <v>66.909800000000004</v>
      </c>
      <c r="IH18">
        <v>113.36199999999999</v>
      </c>
      <c r="II18">
        <v>84.274299999999997</v>
      </c>
      <c r="IJ18">
        <v>116.685</v>
      </c>
      <c r="IK18">
        <f>AVERAGE(Supplementary_Fig7!IK3:IK17)</f>
        <v>94.850226666666671</v>
      </c>
      <c r="IX18" t="s">
        <v>383</v>
      </c>
      <c r="IY18">
        <v>12.29</v>
      </c>
      <c r="JC18">
        <v>101.97</v>
      </c>
      <c r="JD18">
        <v>92.529300000000006</v>
      </c>
      <c r="JF18">
        <f>AVERAGE(JF4:JF17)</f>
        <v>107.7522142857143</v>
      </c>
      <c r="JG18">
        <f>AVERAGE(JG4:JG17)</f>
        <v>100.16821428571428</v>
      </c>
      <c r="JH18">
        <v>114.748</v>
      </c>
      <c r="JI18">
        <v>95.632900000000006</v>
      </c>
      <c r="JK18">
        <f>AVERAGE(JK4:JK17)</f>
        <v>90.728435714285723</v>
      </c>
      <c r="JM18">
        <v>115.86799999999999</v>
      </c>
      <c r="JN18">
        <v>92.462199999999996</v>
      </c>
      <c r="JV18" t="s">
        <v>393</v>
      </c>
      <c r="JW18">
        <v>108.65</v>
      </c>
      <c r="KH18">
        <v>91.847200000000001</v>
      </c>
      <c r="KT18" t="s">
        <v>391</v>
      </c>
      <c r="KU18">
        <v>1.78</v>
      </c>
      <c r="LE18">
        <f>AVERAGE(Supplementary_Fig7!LE2:LE17)</f>
        <v>2.55014875</v>
      </c>
      <c r="LF18">
        <f>AVERAGE(Supplementary_Fig7!LF2:LF17)</f>
        <v>2.1435006250000002</v>
      </c>
      <c r="LM18">
        <f>AVERAGE(Supplementary_Fig7!LM2:LM17)</f>
        <v>1.7859593333333335</v>
      </c>
      <c r="LW18" t="s">
        <v>383</v>
      </c>
      <c r="LX18">
        <v>1.93</v>
      </c>
      <c r="MG18">
        <f>AVERAGE(MG2:MG17)</f>
        <v>1.5658250000000002</v>
      </c>
      <c r="MH18">
        <f>AVERAGE(MH2:MH17)</f>
        <v>1.9137481250000004</v>
      </c>
      <c r="MM18">
        <f>AVERAGE(MM2:MM17)</f>
        <v>1.3436162499999997</v>
      </c>
      <c r="MZ18" t="s">
        <v>393</v>
      </c>
      <c r="NA18">
        <v>1.31</v>
      </c>
      <c r="NL18">
        <v>1.8011699999999999</v>
      </c>
      <c r="NM18">
        <f>AVERAGE(Supplementary_Fig7!NM4:NM17)</f>
        <v>2.018615</v>
      </c>
      <c r="NS18">
        <f>AVERAGE(Supplementary_Fig7!NS4:NS17)</f>
        <v>1.2645128571428574</v>
      </c>
      <c r="NU18">
        <f>AVERAGE(Supplementary_Fig7!NU4:NU17)</f>
        <v>1.2015578571428573</v>
      </c>
      <c r="NZ18" t="s">
        <v>391</v>
      </c>
      <c r="OA18">
        <v>199.81700000000001</v>
      </c>
      <c r="OC18" t="s">
        <v>383</v>
      </c>
      <c r="OD18">
        <v>281.452</v>
      </c>
      <c r="OF18" t="s">
        <v>393</v>
      </c>
      <c r="OG18">
        <v>274.61900000000003</v>
      </c>
      <c r="OI18">
        <v>2112212</v>
      </c>
      <c r="OJ18">
        <v>7</v>
      </c>
      <c r="OK18">
        <v>0</v>
      </c>
      <c r="PD18">
        <v>-86.72</v>
      </c>
      <c r="PE18">
        <v>3.29</v>
      </c>
      <c r="PH18">
        <v>90822</v>
      </c>
      <c r="PI18">
        <v>7</v>
      </c>
      <c r="PJ18">
        <v>0</v>
      </c>
      <c r="PK18">
        <v>4.5599999999999996</v>
      </c>
      <c r="PL18">
        <v>-97.81</v>
      </c>
      <c r="PO18">
        <v>3.31</v>
      </c>
      <c r="PP18">
        <v>-95.35</v>
      </c>
      <c r="PQ18">
        <v>2.62</v>
      </c>
      <c r="PR18">
        <v>-98.81</v>
      </c>
      <c r="PS18">
        <v>2.8</v>
      </c>
      <c r="PT18">
        <v>-99.1</v>
      </c>
      <c r="PW18">
        <v>5.18</v>
      </c>
      <c r="PX18">
        <v>-99.71</v>
      </c>
      <c r="PY18">
        <v>3.68</v>
      </c>
      <c r="PZ18">
        <v>-94.68</v>
      </c>
      <c r="QC18">
        <v>-88.19</v>
      </c>
      <c r="QD18">
        <v>3.14</v>
      </c>
      <c r="QF18">
        <v>140422</v>
      </c>
      <c r="QG18">
        <v>5</v>
      </c>
      <c r="QH18">
        <v>0</v>
      </c>
      <c r="QO18">
        <v>3.26</v>
      </c>
      <c r="QP18">
        <v>-83.72</v>
      </c>
      <c r="QR18" t="s">
        <v>1054</v>
      </c>
      <c r="QS18">
        <v>4.2300000000000004</v>
      </c>
      <c r="QT18">
        <v>-93.74</v>
      </c>
      <c r="QU18">
        <v>2.0499999999999998</v>
      </c>
      <c r="QV18">
        <v>-75.98</v>
      </c>
      <c r="RA18">
        <v>-79.239999999999995</v>
      </c>
      <c r="RB18">
        <v>5.47</v>
      </c>
    </row>
    <row r="19" spans="1:470" ht="13.15" x14ac:dyDescent="0.4">
      <c r="A19">
        <v>150</v>
      </c>
      <c r="B19">
        <v>2</v>
      </c>
      <c r="C19">
        <v>4</v>
      </c>
      <c r="D19">
        <v>1.5</v>
      </c>
      <c r="E19">
        <v>2</v>
      </c>
      <c r="F19">
        <v>2</v>
      </c>
      <c r="G19">
        <v>2.5</v>
      </c>
      <c r="H19">
        <v>4</v>
      </c>
      <c r="I19">
        <v>1</v>
      </c>
      <c r="J19">
        <v>1</v>
      </c>
      <c r="K19">
        <v>0</v>
      </c>
      <c r="L19">
        <v>4</v>
      </c>
      <c r="M19">
        <v>2</v>
      </c>
      <c r="N19">
        <v>1</v>
      </c>
      <c r="O19">
        <v>3.5</v>
      </c>
      <c r="P19">
        <v>1.5</v>
      </c>
      <c r="Q19">
        <v>2</v>
      </c>
      <c r="R19">
        <v>4.5</v>
      </c>
      <c r="S19">
        <v>2</v>
      </c>
      <c r="T19">
        <v>6</v>
      </c>
      <c r="U19">
        <v>3</v>
      </c>
      <c r="V19">
        <v>3.5</v>
      </c>
      <c r="W19">
        <v>4</v>
      </c>
      <c r="X19">
        <v>5.5</v>
      </c>
      <c r="Y19">
        <v>4</v>
      </c>
      <c r="Z19">
        <v>1</v>
      </c>
      <c r="AA19">
        <v>3.5</v>
      </c>
      <c r="AB19">
        <v>1.5</v>
      </c>
      <c r="AC19">
        <v>1</v>
      </c>
      <c r="AD19">
        <v>1.5</v>
      </c>
      <c r="AE19">
        <v>15.5</v>
      </c>
      <c r="AF19">
        <v>11.5</v>
      </c>
      <c r="AG19">
        <v>15.5</v>
      </c>
      <c r="AH19">
        <v>1</v>
      </c>
      <c r="AI19">
        <v>1</v>
      </c>
      <c r="AJ19">
        <v>3</v>
      </c>
      <c r="AK19">
        <v>3.5</v>
      </c>
      <c r="AL19">
        <v>10</v>
      </c>
      <c r="AM19">
        <v>1</v>
      </c>
      <c r="AN19">
        <v>1</v>
      </c>
      <c r="AO19">
        <v>0</v>
      </c>
      <c r="AP19">
        <v>0.5</v>
      </c>
      <c r="AQ19">
        <v>0.5</v>
      </c>
      <c r="AR19">
        <v>2.5</v>
      </c>
      <c r="AS19">
        <v>4</v>
      </c>
      <c r="AT19">
        <v>2</v>
      </c>
      <c r="AU19">
        <v>6</v>
      </c>
      <c r="AV19">
        <v>14</v>
      </c>
      <c r="AW19">
        <v>1</v>
      </c>
      <c r="AX19">
        <v>2.5</v>
      </c>
      <c r="AY19">
        <v>2.5</v>
      </c>
      <c r="AZ19">
        <v>0</v>
      </c>
      <c r="BA19">
        <v>2</v>
      </c>
      <c r="BB19">
        <v>3</v>
      </c>
      <c r="BC19">
        <v>10</v>
      </c>
      <c r="BD19">
        <v>2</v>
      </c>
      <c r="BE19">
        <v>3</v>
      </c>
      <c r="BF19">
        <v>1</v>
      </c>
      <c r="BG19">
        <v>1</v>
      </c>
      <c r="BH19">
        <v>11.5</v>
      </c>
      <c r="BI19">
        <v>0.5</v>
      </c>
      <c r="BJ19">
        <v>1</v>
      </c>
      <c r="BK19">
        <v>8.5</v>
      </c>
      <c r="BL19">
        <v>6.5</v>
      </c>
      <c r="BM19">
        <v>1</v>
      </c>
      <c r="BN19">
        <v>7</v>
      </c>
      <c r="BO19">
        <v>5.5</v>
      </c>
      <c r="BP19">
        <v>1</v>
      </c>
      <c r="BQ19">
        <v>0</v>
      </c>
      <c r="BR19">
        <v>0.5</v>
      </c>
      <c r="BS19">
        <v>3</v>
      </c>
      <c r="BT19">
        <v>0.5</v>
      </c>
      <c r="BU19">
        <v>0.5</v>
      </c>
      <c r="BV19">
        <v>4</v>
      </c>
      <c r="BW19">
        <v>1.5</v>
      </c>
      <c r="BX19">
        <v>1.5</v>
      </c>
      <c r="BY19">
        <v>0</v>
      </c>
      <c r="BZ19">
        <v>6.5</v>
      </c>
      <c r="CA19">
        <v>0</v>
      </c>
      <c r="CB19">
        <v>1</v>
      </c>
      <c r="CC19">
        <v>1</v>
      </c>
      <c r="CD19">
        <v>1</v>
      </c>
      <c r="CE19">
        <v>2.5</v>
      </c>
      <c r="CF19">
        <v>1</v>
      </c>
      <c r="CG19">
        <v>1</v>
      </c>
      <c r="CH19">
        <v>5.5</v>
      </c>
      <c r="CI19">
        <v>3.5</v>
      </c>
      <c r="CJ19">
        <v>0.5</v>
      </c>
      <c r="CK19">
        <v>2.5</v>
      </c>
      <c r="CL19">
        <v>0</v>
      </c>
      <c r="CM19">
        <v>0.5</v>
      </c>
      <c r="CN19">
        <v>2</v>
      </c>
      <c r="CO19">
        <v>2</v>
      </c>
      <c r="CP19">
        <v>1</v>
      </c>
      <c r="CQ19">
        <v>0</v>
      </c>
      <c r="CR19">
        <v>0</v>
      </c>
      <c r="CS19">
        <v>1.5</v>
      </c>
      <c r="CT19">
        <v>2</v>
      </c>
      <c r="CU19">
        <v>10.5</v>
      </c>
      <c r="CV19">
        <v>16.5</v>
      </c>
      <c r="CW19">
        <v>3.5</v>
      </c>
      <c r="CX19">
        <v>3</v>
      </c>
      <c r="CY19">
        <v>3.5</v>
      </c>
      <c r="CZ19">
        <v>3.5</v>
      </c>
      <c r="DA19">
        <v>5</v>
      </c>
      <c r="DB19">
        <v>1</v>
      </c>
      <c r="DC19">
        <v>1.5</v>
      </c>
      <c r="DD19">
        <v>1</v>
      </c>
      <c r="DE19">
        <v>2.5</v>
      </c>
      <c r="DF19">
        <v>1</v>
      </c>
      <c r="DG19">
        <v>1.5</v>
      </c>
      <c r="DH19">
        <v>0</v>
      </c>
      <c r="DI19">
        <v>2</v>
      </c>
      <c r="DJ19">
        <v>1</v>
      </c>
      <c r="DK19">
        <v>3.5</v>
      </c>
      <c r="DL19">
        <v>3</v>
      </c>
      <c r="DM19">
        <v>1</v>
      </c>
      <c r="DN19">
        <v>3.5</v>
      </c>
      <c r="DO19">
        <v>1.5</v>
      </c>
      <c r="DP19">
        <v>1.5</v>
      </c>
      <c r="DQ19">
        <v>1</v>
      </c>
      <c r="DR19">
        <v>4</v>
      </c>
      <c r="DS19">
        <v>4</v>
      </c>
      <c r="DT19">
        <v>3</v>
      </c>
      <c r="DU19">
        <v>5.5</v>
      </c>
      <c r="DV19" s="1">
        <f t="shared" si="6"/>
        <v>3.0080645161290325</v>
      </c>
      <c r="DW19" s="1">
        <f t="shared" si="7"/>
        <v>0.29568670551488258</v>
      </c>
      <c r="DZ19">
        <v>221221</v>
      </c>
      <c r="EA19">
        <v>8</v>
      </c>
      <c r="EB19">
        <v>0</v>
      </c>
      <c r="EK19">
        <f t="shared" si="1"/>
        <v>0</v>
      </c>
      <c r="EM19">
        <v>908222</v>
      </c>
      <c r="EN19">
        <v>7</v>
      </c>
      <c r="EO19">
        <v>1</v>
      </c>
      <c r="EX19">
        <f t="shared" si="2"/>
        <v>0</v>
      </c>
      <c r="FA19">
        <v>200422</v>
      </c>
      <c r="FB19">
        <v>5</v>
      </c>
      <c r="FC19">
        <v>0</v>
      </c>
      <c r="FL19">
        <f>SUM(Supplementary_Fig7!FD19:FK19)</f>
        <v>0</v>
      </c>
      <c r="FO19" t="s">
        <v>394</v>
      </c>
      <c r="FQ19">
        <v>67.989999999999995</v>
      </c>
      <c r="FS19" t="s">
        <v>394</v>
      </c>
      <c r="FU19">
        <f t="shared" si="4"/>
        <v>42.8337</v>
      </c>
      <c r="FW19">
        <v>15.371700000000001</v>
      </c>
      <c r="FX19">
        <v>70.401799999999994</v>
      </c>
      <c r="FY19">
        <v>75.768100000000004</v>
      </c>
      <c r="FZ19">
        <v>41.043100000000003</v>
      </c>
      <c r="GA19">
        <v>29.4819</v>
      </c>
      <c r="GB19">
        <v>83.366600000000005</v>
      </c>
      <c r="GC19">
        <v>84.973200000000006</v>
      </c>
      <c r="GD19">
        <v>66.831900000000005</v>
      </c>
      <c r="GE19">
        <v>35.395299999999999</v>
      </c>
      <c r="GF19">
        <v>74.009399999999999</v>
      </c>
      <c r="GH19" t="s">
        <v>386</v>
      </c>
      <c r="GI19">
        <v>88.75</v>
      </c>
      <c r="GL19" t="s">
        <v>386</v>
      </c>
      <c r="GM19">
        <f>63*GI19/100</f>
        <v>55.912500000000001</v>
      </c>
      <c r="GQ19">
        <v>95.266400000000004</v>
      </c>
      <c r="GR19">
        <v>76.441000000000003</v>
      </c>
      <c r="GS19">
        <v>104.43300000000001</v>
      </c>
      <c r="GT19">
        <v>45.463700000000003</v>
      </c>
      <c r="GV19">
        <v>68.273700000000005</v>
      </c>
      <c r="GW19">
        <v>105.812</v>
      </c>
      <c r="GX19">
        <v>66.166200000000003</v>
      </c>
      <c r="GZ19" t="s">
        <v>396</v>
      </c>
      <c r="HB19">
        <v>39.700000000000003</v>
      </c>
      <c r="HD19" t="s">
        <v>396</v>
      </c>
      <c r="HF19">
        <f>63*Supplementary_Fig7!HB19/100</f>
        <v>25.011000000000003</v>
      </c>
      <c r="HJ19" t="s">
        <v>393</v>
      </c>
      <c r="HK19" t="s">
        <v>396</v>
      </c>
      <c r="HL19" t="s">
        <v>400</v>
      </c>
      <c r="HM19" t="s">
        <v>403</v>
      </c>
      <c r="HN19" t="s">
        <v>406</v>
      </c>
      <c r="HO19" t="s">
        <v>409</v>
      </c>
      <c r="HV19" t="s">
        <v>711</v>
      </c>
      <c r="HW19">
        <v>77.150000000000006</v>
      </c>
      <c r="IC19">
        <f>AVERAGE(Supplementary_Fig7!IC3:IC18)</f>
        <v>75.524806249999997</v>
      </c>
      <c r="ID19">
        <f>AVERAGE(Supplementary_Fig7!ID3:ID18)</f>
        <v>88.019337499999992</v>
      </c>
      <c r="IE19">
        <f>AVERAGE(Supplementary_Fig7!IE3:IE18)</f>
        <v>79.554737500000016</v>
      </c>
      <c r="IF19">
        <f>AVERAGE(Supplementary_Fig7!IF3:IF18)</f>
        <v>57.564262499999998</v>
      </c>
      <c r="IH19">
        <f>AVERAGE(Supplementary_Fig7!IH3:IH18)</f>
        <v>96.400693750000002</v>
      </c>
      <c r="II19">
        <f>AVERAGE(Supplementary_Fig7!II3:II18)</f>
        <v>83.34199375</v>
      </c>
      <c r="IJ19">
        <f>AVERAGE(Supplementary_Fig7!IJ3:IJ18)</f>
        <v>88.337268749999993</v>
      </c>
      <c r="IX19" t="s">
        <v>386</v>
      </c>
      <c r="IY19">
        <v>96.01</v>
      </c>
      <c r="JC19">
        <f>AVERAGE(JC4:JC18)</f>
        <v>102.68526666666666</v>
      </c>
      <c r="JD19">
        <f>AVERAGE(JD4:JD18)</f>
        <v>90.256640000000004</v>
      </c>
      <c r="JH19">
        <v>113.75</v>
      </c>
      <c r="JI19">
        <v>99.534599999999998</v>
      </c>
      <c r="JM19">
        <v>115.816</v>
      </c>
      <c r="JN19">
        <v>93.718000000000004</v>
      </c>
      <c r="JV19" t="s">
        <v>396</v>
      </c>
      <c r="JW19">
        <v>95.89</v>
      </c>
      <c r="KH19">
        <v>91.572599999999994</v>
      </c>
      <c r="KT19" t="s">
        <v>711</v>
      </c>
      <c r="KU19">
        <v>2.3199999999999998</v>
      </c>
      <c r="LW19" t="s">
        <v>386</v>
      </c>
      <c r="LX19">
        <v>1.93</v>
      </c>
      <c r="MZ19" t="s">
        <v>396</v>
      </c>
      <c r="NA19">
        <v>1.26</v>
      </c>
      <c r="NL19">
        <f>AVERAGE(Supplementary_Fig7!NL4:NL18)</f>
        <v>1.6132766666666665</v>
      </c>
      <c r="NZ19" t="s">
        <v>394</v>
      </c>
      <c r="OA19">
        <v>144.23400000000001</v>
      </c>
      <c r="OC19" t="s">
        <v>386</v>
      </c>
      <c r="OD19">
        <v>237.05699999999999</v>
      </c>
      <c r="OF19" t="s">
        <v>396</v>
      </c>
      <c r="OG19">
        <v>345.54300000000001</v>
      </c>
      <c r="OI19">
        <v>221221</v>
      </c>
      <c r="OJ19">
        <v>8</v>
      </c>
      <c r="OK19">
        <v>0</v>
      </c>
      <c r="OL19">
        <v>7.98</v>
      </c>
      <c r="OM19">
        <v>-100</v>
      </c>
      <c r="ON19">
        <v>6.55</v>
      </c>
      <c r="OO19">
        <v>-95.7</v>
      </c>
      <c r="OP19">
        <v>11.26</v>
      </c>
      <c r="OQ19">
        <v>-98.52</v>
      </c>
      <c r="OR19">
        <v>5.0999999999999996</v>
      </c>
      <c r="OS19">
        <v>-88.67</v>
      </c>
      <c r="OT19">
        <v>7.43</v>
      </c>
      <c r="OU19">
        <v>-99.01</v>
      </c>
      <c r="OV19">
        <v>8.4499999999999993</v>
      </c>
      <c r="OW19">
        <v>-93.97</v>
      </c>
      <c r="OX19">
        <v>7.61</v>
      </c>
      <c r="OY19">
        <v>-78.55</v>
      </c>
      <c r="OZ19">
        <v>4.8899999999999997</v>
      </c>
      <c r="PA19">
        <v>-89.43</v>
      </c>
      <c r="PD19">
        <v>-86.92</v>
      </c>
      <c r="PE19">
        <v>3.64</v>
      </c>
      <c r="PH19">
        <v>908222</v>
      </c>
      <c r="PI19">
        <v>7</v>
      </c>
      <c r="PJ19">
        <v>1</v>
      </c>
      <c r="PK19">
        <v>2.14</v>
      </c>
      <c r="PL19">
        <v>-77.37</v>
      </c>
      <c r="PO19">
        <v>5.33</v>
      </c>
      <c r="PP19">
        <v>-85.26</v>
      </c>
      <c r="PQ19">
        <v>4.8099999999999996</v>
      </c>
      <c r="PR19">
        <v>-96.16</v>
      </c>
      <c r="PU19">
        <v>5.18</v>
      </c>
      <c r="PV19">
        <v>-97.25</v>
      </c>
      <c r="PW19">
        <v>4.59</v>
      </c>
      <c r="PX19">
        <v>-87.72</v>
      </c>
      <c r="PY19">
        <v>3.85</v>
      </c>
      <c r="PZ19">
        <v>-93.78</v>
      </c>
      <c r="QC19">
        <v>-88.45</v>
      </c>
      <c r="QD19">
        <v>2.41</v>
      </c>
      <c r="QF19">
        <v>200422</v>
      </c>
      <c r="QG19">
        <v>5</v>
      </c>
      <c r="QH19">
        <v>0</v>
      </c>
      <c r="QK19">
        <v>2.77</v>
      </c>
      <c r="QL19">
        <v>-93.43</v>
      </c>
      <c r="QS19">
        <v>1.69</v>
      </c>
      <c r="QT19">
        <v>-81.86</v>
      </c>
      <c r="RA19">
        <v>-79.56</v>
      </c>
      <c r="RB19">
        <v>2.19</v>
      </c>
    </row>
    <row r="20" spans="1:470" ht="13.15" x14ac:dyDescent="0.4">
      <c r="A20">
        <v>200</v>
      </c>
      <c r="B20">
        <v>3.5</v>
      </c>
      <c r="C20">
        <v>4.5</v>
      </c>
      <c r="D20">
        <v>2</v>
      </c>
      <c r="E20">
        <v>3</v>
      </c>
      <c r="F20">
        <v>3</v>
      </c>
      <c r="G20">
        <v>3.5</v>
      </c>
      <c r="H20">
        <v>5.5</v>
      </c>
      <c r="I20">
        <v>1.5</v>
      </c>
      <c r="J20">
        <v>1</v>
      </c>
      <c r="K20">
        <v>0</v>
      </c>
      <c r="M20">
        <v>3</v>
      </c>
      <c r="N20">
        <v>2</v>
      </c>
      <c r="O20">
        <v>5</v>
      </c>
      <c r="P20">
        <v>3</v>
      </c>
      <c r="Q20">
        <v>2.5</v>
      </c>
      <c r="R20">
        <v>5.5</v>
      </c>
      <c r="S20">
        <v>3</v>
      </c>
      <c r="T20">
        <v>8</v>
      </c>
      <c r="U20">
        <v>4</v>
      </c>
      <c r="V20">
        <v>3.5</v>
      </c>
      <c r="W20">
        <v>5.5</v>
      </c>
      <c r="X20">
        <v>6</v>
      </c>
      <c r="Y20">
        <v>5</v>
      </c>
      <c r="Z20">
        <v>1.5</v>
      </c>
      <c r="AA20">
        <v>4.5</v>
      </c>
      <c r="AB20">
        <v>2.5</v>
      </c>
      <c r="AC20">
        <v>1.5</v>
      </c>
      <c r="AD20">
        <v>2.5</v>
      </c>
      <c r="AE20">
        <v>13</v>
      </c>
      <c r="AF20">
        <v>12.5</v>
      </c>
      <c r="AG20">
        <v>17</v>
      </c>
      <c r="AH20">
        <v>1.5</v>
      </c>
      <c r="AI20">
        <v>1</v>
      </c>
      <c r="AJ20">
        <v>4</v>
      </c>
      <c r="AK20">
        <v>5</v>
      </c>
      <c r="AL20">
        <v>14.5</v>
      </c>
      <c r="AM20">
        <v>2</v>
      </c>
      <c r="AN20">
        <v>1</v>
      </c>
      <c r="AO20">
        <v>1</v>
      </c>
      <c r="AP20">
        <v>1.5</v>
      </c>
      <c r="AQ20">
        <v>1</v>
      </c>
      <c r="AR20">
        <v>3.5</v>
      </c>
      <c r="AS20">
        <v>4.5</v>
      </c>
      <c r="AT20">
        <v>3</v>
      </c>
      <c r="AU20">
        <v>8.5</v>
      </c>
      <c r="AV20">
        <v>16.5</v>
      </c>
      <c r="AW20">
        <v>1</v>
      </c>
      <c r="AX20">
        <v>4</v>
      </c>
      <c r="AY20">
        <v>6</v>
      </c>
      <c r="AZ20">
        <v>0.5</v>
      </c>
      <c r="BA20">
        <v>3</v>
      </c>
      <c r="BB20">
        <v>3.5</v>
      </c>
      <c r="BC20">
        <v>12.5</v>
      </c>
      <c r="BD20">
        <v>3.5</v>
      </c>
      <c r="BE20">
        <v>6</v>
      </c>
      <c r="BF20">
        <v>1.5</v>
      </c>
      <c r="BG20">
        <v>1</v>
      </c>
      <c r="BH20">
        <v>16</v>
      </c>
      <c r="BI20">
        <v>1</v>
      </c>
      <c r="BJ20">
        <v>1</v>
      </c>
      <c r="BK20">
        <v>10</v>
      </c>
      <c r="BL20">
        <v>9</v>
      </c>
      <c r="BM20">
        <v>2</v>
      </c>
      <c r="BN20">
        <v>6.5</v>
      </c>
      <c r="BO20">
        <v>6.5</v>
      </c>
      <c r="BP20">
        <v>1</v>
      </c>
      <c r="BQ20">
        <v>0</v>
      </c>
      <c r="BR20">
        <v>1</v>
      </c>
      <c r="BS20">
        <v>4</v>
      </c>
      <c r="BT20">
        <v>2</v>
      </c>
      <c r="BU20">
        <v>1</v>
      </c>
      <c r="BV20">
        <v>5.5</v>
      </c>
      <c r="BW20">
        <v>3</v>
      </c>
      <c r="BX20">
        <v>2</v>
      </c>
      <c r="BY20">
        <v>1</v>
      </c>
      <c r="BZ20">
        <v>9.5</v>
      </c>
      <c r="CA20">
        <v>0.5</v>
      </c>
      <c r="CB20">
        <v>1</v>
      </c>
      <c r="CC20">
        <v>1.5</v>
      </c>
      <c r="CD20">
        <v>2</v>
      </c>
      <c r="CE20">
        <v>3.5</v>
      </c>
      <c r="CF20">
        <v>1.5</v>
      </c>
      <c r="CG20">
        <v>2</v>
      </c>
      <c r="CH20">
        <v>5.5</v>
      </c>
      <c r="CI20">
        <v>4.5</v>
      </c>
      <c r="CJ20">
        <v>1.5</v>
      </c>
      <c r="CK20">
        <v>5</v>
      </c>
      <c r="CL20">
        <v>0.5</v>
      </c>
      <c r="CM20">
        <v>1</v>
      </c>
      <c r="CN20">
        <v>2.5</v>
      </c>
      <c r="CO20">
        <v>2.5</v>
      </c>
      <c r="CP20">
        <v>1.5</v>
      </c>
      <c r="CQ20">
        <v>0</v>
      </c>
      <c r="CR20">
        <v>1</v>
      </c>
      <c r="CS20">
        <v>4.5</v>
      </c>
      <c r="CT20">
        <v>3.5</v>
      </c>
      <c r="CU20">
        <v>12.5</v>
      </c>
      <c r="CV20">
        <v>20</v>
      </c>
      <c r="CW20">
        <v>5</v>
      </c>
      <c r="CX20">
        <v>3.5</v>
      </c>
      <c r="CY20">
        <v>4.5</v>
      </c>
      <c r="CZ20">
        <v>5</v>
      </c>
      <c r="DA20">
        <v>8</v>
      </c>
      <c r="DB20">
        <v>2</v>
      </c>
      <c r="DC20">
        <v>2.5</v>
      </c>
      <c r="DD20">
        <v>2</v>
      </c>
      <c r="DE20">
        <v>3.5</v>
      </c>
      <c r="DF20">
        <v>2</v>
      </c>
      <c r="DG20">
        <v>2</v>
      </c>
      <c r="DH20">
        <v>0</v>
      </c>
      <c r="DI20">
        <v>4</v>
      </c>
      <c r="DJ20">
        <v>1.5</v>
      </c>
      <c r="DK20">
        <v>6</v>
      </c>
      <c r="DL20">
        <v>4</v>
      </c>
      <c r="DM20">
        <v>2</v>
      </c>
      <c r="DN20">
        <v>5.5</v>
      </c>
      <c r="DO20">
        <v>2</v>
      </c>
      <c r="DP20">
        <v>2.5</v>
      </c>
      <c r="DQ20">
        <v>2.5</v>
      </c>
      <c r="DR20">
        <v>5.5</v>
      </c>
      <c r="DS20">
        <v>5</v>
      </c>
      <c r="DT20">
        <v>4.5</v>
      </c>
      <c r="DU20">
        <v>7.5</v>
      </c>
      <c r="DV20" s="1">
        <f t="shared" si="6"/>
        <v>4.0813008130081299</v>
      </c>
      <c r="DW20" s="1">
        <f t="shared" si="7"/>
        <v>0.33906454663007674</v>
      </c>
      <c r="DZ20">
        <v>231221</v>
      </c>
      <c r="EA20">
        <v>6</v>
      </c>
      <c r="EB20">
        <v>0</v>
      </c>
      <c r="EE20">
        <v>1</v>
      </c>
      <c r="EK20">
        <f t="shared" si="1"/>
        <v>1</v>
      </c>
      <c r="EM20">
        <v>100822</v>
      </c>
      <c r="EN20">
        <v>6</v>
      </c>
      <c r="EO20">
        <v>0</v>
      </c>
      <c r="EX20">
        <f t="shared" si="2"/>
        <v>0</v>
      </c>
      <c r="FA20">
        <v>2004222</v>
      </c>
      <c r="FB20">
        <v>8</v>
      </c>
      <c r="FC20">
        <v>0</v>
      </c>
      <c r="FL20">
        <f>SUM(Supplementary_Fig7!FD20:FK20)</f>
        <v>0</v>
      </c>
      <c r="FO20" t="s">
        <v>398</v>
      </c>
      <c r="FP20">
        <v>20.43</v>
      </c>
      <c r="FS20" t="s">
        <v>398</v>
      </c>
      <c r="FT20">
        <f>63*FP20/100</f>
        <v>12.870899999999999</v>
      </c>
      <c r="FW20">
        <v>13.2315</v>
      </c>
      <c r="FZ20">
        <v>69.750699999999995</v>
      </c>
      <c r="GA20">
        <v>48.738399999999999</v>
      </c>
      <c r="GC20">
        <v>65.299199999999999</v>
      </c>
      <c r="GE20">
        <v>40.296199999999999</v>
      </c>
      <c r="GH20" t="s">
        <v>1025</v>
      </c>
      <c r="GJ20">
        <v>50.44</v>
      </c>
      <c r="GL20" t="s">
        <v>1025</v>
      </c>
      <c r="GN20">
        <f>63*GJ20/100</f>
        <v>31.777199999999997</v>
      </c>
      <c r="GQ20">
        <v>55.6845</v>
      </c>
      <c r="GS20">
        <v>71.429699999999997</v>
      </c>
      <c r="GT20">
        <v>60.461500000000001</v>
      </c>
      <c r="GV20">
        <v>62.301499999999997</v>
      </c>
      <c r="GW20">
        <v>66.791200000000003</v>
      </c>
      <c r="GZ20" t="s">
        <v>400</v>
      </c>
      <c r="HB20">
        <v>41.87</v>
      </c>
      <c r="HD20" t="s">
        <v>400</v>
      </c>
      <c r="HF20">
        <f>63*Supplementary_Fig7!HB20/100</f>
        <v>26.3781</v>
      </c>
      <c r="HJ20">
        <v>49.715499999999999</v>
      </c>
      <c r="HK20">
        <v>44.809699999999999</v>
      </c>
      <c r="HL20">
        <v>45.664099999999998</v>
      </c>
      <c r="HM20">
        <v>41.159500000000001</v>
      </c>
      <c r="HN20">
        <v>15.816800000000001</v>
      </c>
      <c r="HV20" t="s">
        <v>394</v>
      </c>
      <c r="HW20">
        <v>84.45</v>
      </c>
      <c r="IX20" t="s">
        <v>1025</v>
      </c>
      <c r="IY20">
        <v>97.25</v>
      </c>
      <c r="JH20">
        <f>AVERAGE(JH4:JH19)</f>
        <v>109.71431250000001</v>
      </c>
      <c r="JI20">
        <f>AVERAGE(JI4:JI19)</f>
        <v>89.083768750000004</v>
      </c>
      <c r="JM20">
        <f>AVERAGE(JM4:JM19)</f>
        <v>106.63568749999999</v>
      </c>
      <c r="JN20">
        <f>AVERAGE(JN4:JN19)</f>
        <v>93.264781250000013</v>
      </c>
      <c r="JV20" t="s">
        <v>400</v>
      </c>
      <c r="JW20">
        <v>95.4</v>
      </c>
      <c r="KH20">
        <f>AVERAGE(Supplementary_Fig7!KH4:KH19)</f>
        <v>94.283737499999987</v>
      </c>
      <c r="KT20" t="s">
        <v>394</v>
      </c>
      <c r="KU20">
        <v>2.0099999999999998</v>
      </c>
      <c r="KY20" t="s">
        <v>394</v>
      </c>
      <c r="KZ20" t="s">
        <v>398</v>
      </c>
      <c r="LA20" t="s">
        <v>401</v>
      </c>
      <c r="LB20" t="s">
        <v>404</v>
      </c>
      <c r="LC20" t="s">
        <v>407</v>
      </c>
      <c r="LD20" t="s">
        <v>411</v>
      </c>
      <c r="LE20" t="s">
        <v>414</v>
      </c>
      <c r="LF20" t="s">
        <v>417</v>
      </c>
      <c r="LG20" t="s">
        <v>421</v>
      </c>
      <c r="LH20" t="s">
        <v>425</v>
      </c>
      <c r="LI20" t="s">
        <v>428</v>
      </c>
      <c r="LJ20" t="s">
        <v>431</v>
      </c>
      <c r="LK20" t="s">
        <v>434</v>
      </c>
      <c r="LL20" t="s">
        <v>437</v>
      </c>
      <c r="LM20" t="s">
        <v>440</v>
      </c>
      <c r="LW20" t="s">
        <v>1025</v>
      </c>
      <c r="LX20">
        <v>1.74</v>
      </c>
      <c r="MB20" t="s">
        <v>399</v>
      </c>
      <c r="MC20" t="s">
        <v>402</v>
      </c>
      <c r="MD20" t="s">
        <v>405</v>
      </c>
      <c r="ME20" t="s">
        <v>408</v>
      </c>
      <c r="MF20" t="s">
        <v>412</v>
      </c>
      <c r="MG20" t="s">
        <v>415</v>
      </c>
      <c r="MH20" t="s">
        <v>418</v>
      </c>
      <c r="MI20" t="s">
        <v>422</v>
      </c>
      <c r="MJ20" t="s">
        <v>1058</v>
      </c>
      <c r="MK20" t="s">
        <v>426</v>
      </c>
      <c r="ML20" t="s">
        <v>429</v>
      </c>
      <c r="MM20" t="s">
        <v>432</v>
      </c>
      <c r="MN20" t="s">
        <v>435</v>
      </c>
      <c r="MO20" t="s">
        <v>438</v>
      </c>
      <c r="MP20" t="s">
        <v>441</v>
      </c>
      <c r="MQ20" t="s">
        <v>444</v>
      </c>
      <c r="MR20" t="s">
        <v>447</v>
      </c>
      <c r="MS20" t="s">
        <v>450</v>
      </c>
      <c r="MT20" t="s">
        <v>453</v>
      </c>
      <c r="MU20" t="s">
        <v>456</v>
      </c>
      <c r="MV20" t="s">
        <v>1059</v>
      </c>
      <c r="MW20" t="s">
        <v>459</v>
      </c>
      <c r="MZ20" t="s">
        <v>400</v>
      </c>
      <c r="NA20">
        <v>1.06</v>
      </c>
      <c r="NZ20" t="s">
        <v>398</v>
      </c>
      <c r="OA20">
        <v>136.447</v>
      </c>
      <c r="OC20" t="s">
        <v>1025</v>
      </c>
      <c r="OD20">
        <v>274.07</v>
      </c>
      <c r="OF20" t="s">
        <v>400</v>
      </c>
      <c r="OG20">
        <v>299.57299999999998</v>
      </c>
      <c r="OI20">
        <v>231221</v>
      </c>
      <c r="OJ20">
        <v>6</v>
      </c>
      <c r="OK20">
        <v>0</v>
      </c>
      <c r="OR20">
        <v>7.16</v>
      </c>
      <c r="OS20">
        <v>-100</v>
      </c>
      <c r="OT20">
        <v>9.4499999999999993</v>
      </c>
      <c r="OU20">
        <v>-100</v>
      </c>
      <c r="OZ20">
        <v>4.16</v>
      </c>
      <c r="PA20">
        <v>-86.94</v>
      </c>
      <c r="PD20">
        <v>-86.94</v>
      </c>
      <c r="PE20">
        <v>4.16</v>
      </c>
      <c r="PH20">
        <v>100822</v>
      </c>
      <c r="PI20">
        <v>6</v>
      </c>
      <c r="PJ20">
        <v>0</v>
      </c>
      <c r="QC20">
        <v>-88.6</v>
      </c>
      <c r="QD20">
        <v>2.27</v>
      </c>
      <c r="QF20">
        <v>2004222</v>
      </c>
      <c r="QG20">
        <v>8</v>
      </c>
      <c r="QH20">
        <v>0</v>
      </c>
      <c r="QQ20">
        <v>2.19</v>
      </c>
      <c r="QR20">
        <v>-79.56</v>
      </c>
      <c r="QS20">
        <v>1.46</v>
      </c>
      <c r="QT20">
        <v>-87.91</v>
      </c>
      <c r="RA20">
        <v>-79.69</v>
      </c>
      <c r="RB20">
        <v>1.38</v>
      </c>
    </row>
    <row r="21" spans="1:470" ht="13.15" x14ac:dyDescent="0.4">
      <c r="A21">
        <v>250</v>
      </c>
      <c r="B21">
        <v>4.5</v>
      </c>
      <c r="C21">
        <v>5.5</v>
      </c>
      <c r="D21">
        <v>2.5</v>
      </c>
      <c r="E21">
        <v>4</v>
      </c>
      <c r="F21">
        <v>4.5</v>
      </c>
      <c r="G21">
        <v>3</v>
      </c>
      <c r="H21">
        <v>6</v>
      </c>
      <c r="I21">
        <v>2</v>
      </c>
      <c r="J21">
        <v>2</v>
      </c>
      <c r="K21">
        <v>1</v>
      </c>
      <c r="L21">
        <v>6</v>
      </c>
      <c r="M21">
        <v>3.5</v>
      </c>
      <c r="N21">
        <v>2</v>
      </c>
      <c r="O21">
        <v>5.5</v>
      </c>
      <c r="P21">
        <v>3.5</v>
      </c>
      <c r="Q21">
        <v>4</v>
      </c>
      <c r="R21">
        <v>6.5</v>
      </c>
      <c r="S21">
        <v>4</v>
      </c>
      <c r="T21">
        <v>10</v>
      </c>
      <c r="U21">
        <v>5</v>
      </c>
      <c r="V21">
        <v>5.5</v>
      </c>
      <c r="W21">
        <v>6.5</v>
      </c>
      <c r="X21">
        <v>9.5</v>
      </c>
      <c r="Y21">
        <v>6</v>
      </c>
      <c r="Z21">
        <v>2</v>
      </c>
      <c r="AA21">
        <v>6.5</v>
      </c>
      <c r="AB21">
        <v>3</v>
      </c>
      <c r="AC21">
        <v>2.5</v>
      </c>
      <c r="AD21">
        <v>3.5</v>
      </c>
      <c r="AE21">
        <v>10</v>
      </c>
      <c r="AF21">
        <v>12.5</v>
      </c>
      <c r="AG21">
        <v>18.5</v>
      </c>
      <c r="AH21">
        <v>2.5</v>
      </c>
      <c r="AI21">
        <v>1.5</v>
      </c>
      <c r="AJ21">
        <v>5.5</v>
      </c>
      <c r="AK21">
        <v>7</v>
      </c>
      <c r="AL21">
        <v>17</v>
      </c>
      <c r="AM21">
        <v>3.5</v>
      </c>
      <c r="AN21">
        <v>2</v>
      </c>
      <c r="AO21">
        <v>1</v>
      </c>
      <c r="AP21">
        <v>2.5</v>
      </c>
      <c r="AQ21">
        <v>2</v>
      </c>
      <c r="AR21">
        <v>5</v>
      </c>
      <c r="AS21">
        <v>6</v>
      </c>
      <c r="AT21">
        <v>4</v>
      </c>
      <c r="AU21">
        <v>10.5</v>
      </c>
      <c r="AV21">
        <v>19.5</v>
      </c>
      <c r="AW21">
        <v>1.5</v>
      </c>
      <c r="AX21">
        <v>4.5</v>
      </c>
      <c r="AY21">
        <v>8.5</v>
      </c>
      <c r="AZ21">
        <v>1</v>
      </c>
      <c r="BA21">
        <v>3.5</v>
      </c>
      <c r="BB21">
        <v>5.5</v>
      </c>
      <c r="BC21">
        <v>15</v>
      </c>
      <c r="BD21">
        <v>4.5</v>
      </c>
      <c r="BE21">
        <v>8</v>
      </c>
      <c r="BF21">
        <v>2</v>
      </c>
      <c r="BG21">
        <v>2.5</v>
      </c>
      <c r="BH21">
        <v>17</v>
      </c>
      <c r="BI21">
        <v>1</v>
      </c>
      <c r="BJ21">
        <v>1.5</v>
      </c>
      <c r="BK21">
        <v>12.5</v>
      </c>
      <c r="BL21">
        <v>8.5</v>
      </c>
      <c r="BM21">
        <v>2</v>
      </c>
      <c r="BN21">
        <v>8.5</v>
      </c>
      <c r="BO21">
        <v>7</v>
      </c>
      <c r="BP21">
        <v>2</v>
      </c>
      <c r="BQ21">
        <v>1</v>
      </c>
      <c r="BR21">
        <v>1.5</v>
      </c>
      <c r="BS21">
        <v>5</v>
      </c>
      <c r="BT21">
        <v>2.5</v>
      </c>
      <c r="BU21">
        <v>2</v>
      </c>
      <c r="BV21">
        <v>6.5</v>
      </c>
      <c r="BW21">
        <v>4.5</v>
      </c>
      <c r="BX21">
        <v>3</v>
      </c>
      <c r="BY21">
        <v>1</v>
      </c>
      <c r="BZ21">
        <v>9.5</v>
      </c>
      <c r="CA21">
        <v>1</v>
      </c>
      <c r="CB21">
        <v>2</v>
      </c>
      <c r="CC21">
        <v>1.5</v>
      </c>
      <c r="CD21">
        <v>2</v>
      </c>
      <c r="CE21">
        <v>4.5</v>
      </c>
      <c r="CF21">
        <v>2.5</v>
      </c>
      <c r="CG21">
        <v>3</v>
      </c>
      <c r="CH21">
        <v>8.5</v>
      </c>
      <c r="CI21">
        <v>6</v>
      </c>
      <c r="CJ21">
        <v>2</v>
      </c>
      <c r="CK21">
        <v>5</v>
      </c>
      <c r="CL21">
        <v>0.5</v>
      </c>
      <c r="CM21">
        <v>1.5</v>
      </c>
      <c r="CN21">
        <v>3.5</v>
      </c>
      <c r="CO21">
        <v>3</v>
      </c>
      <c r="CP21">
        <v>2</v>
      </c>
      <c r="CQ21">
        <v>0</v>
      </c>
      <c r="CR21">
        <v>1</v>
      </c>
      <c r="CS21">
        <v>5</v>
      </c>
      <c r="CT21">
        <v>4</v>
      </c>
      <c r="CU21">
        <v>15.5</v>
      </c>
      <c r="CV21">
        <v>22</v>
      </c>
      <c r="CW21">
        <v>5.5</v>
      </c>
      <c r="CX21">
        <v>4</v>
      </c>
      <c r="CY21">
        <v>5.5</v>
      </c>
      <c r="CZ21">
        <v>5.5</v>
      </c>
      <c r="DA21">
        <v>9.5</v>
      </c>
      <c r="DB21">
        <v>3.5</v>
      </c>
      <c r="DC21">
        <v>3.5</v>
      </c>
      <c r="DD21">
        <v>2.5</v>
      </c>
      <c r="DE21">
        <v>6</v>
      </c>
      <c r="DF21">
        <v>3</v>
      </c>
      <c r="DG21">
        <v>2.5</v>
      </c>
      <c r="DH21">
        <v>0.5</v>
      </c>
      <c r="DI21">
        <v>5</v>
      </c>
      <c r="DJ21">
        <v>1.5</v>
      </c>
      <c r="DK21">
        <v>6.5</v>
      </c>
      <c r="DL21">
        <v>4.5</v>
      </c>
      <c r="DM21">
        <v>3</v>
      </c>
      <c r="DN21">
        <v>7</v>
      </c>
      <c r="DO21">
        <v>3</v>
      </c>
      <c r="DP21">
        <v>4.5</v>
      </c>
      <c r="DQ21">
        <v>3.5</v>
      </c>
      <c r="DR21">
        <v>6</v>
      </c>
      <c r="DS21">
        <v>6</v>
      </c>
      <c r="DT21">
        <v>5.5</v>
      </c>
      <c r="DU21">
        <v>9</v>
      </c>
      <c r="DV21" s="1">
        <f t="shared" si="6"/>
        <v>5.0483870967741939</v>
      </c>
      <c r="DW21" s="1">
        <f t="shared" si="7"/>
        <v>0.36770794354749153</v>
      </c>
      <c r="DZ21">
        <v>2312212</v>
      </c>
      <c r="EA21">
        <v>6</v>
      </c>
      <c r="EB21">
        <v>0</v>
      </c>
      <c r="EC21">
        <v>1</v>
      </c>
      <c r="ED21">
        <v>1</v>
      </c>
      <c r="EE21">
        <v>1</v>
      </c>
      <c r="EF21">
        <v>1</v>
      </c>
      <c r="EK21">
        <f t="shared" si="1"/>
        <v>4</v>
      </c>
      <c r="EM21">
        <v>170822</v>
      </c>
      <c r="EN21">
        <v>8</v>
      </c>
      <c r="EO21">
        <v>0</v>
      </c>
      <c r="EX21">
        <f t="shared" si="2"/>
        <v>0</v>
      </c>
      <c r="FA21">
        <v>210422</v>
      </c>
      <c r="FB21">
        <v>7</v>
      </c>
      <c r="FC21">
        <v>0</v>
      </c>
      <c r="FL21">
        <f>SUM(Supplementary_Fig7!FD21:FK21)</f>
        <v>0</v>
      </c>
      <c r="FO21" t="s">
        <v>401</v>
      </c>
      <c r="FP21">
        <v>47.53</v>
      </c>
      <c r="FS21" t="s">
        <v>401</v>
      </c>
      <c r="FT21">
        <f>63*FP21/100</f>
        <v>29.943899999999999</v>
      </c>
      <c r="FW21" s="8">
        <v>10.127800000000001</v>
      </c>
      <c r="FX21" s="1">
        <f>AVERAGE(Supplementary_Fig7!FX18:FX20)</f>
        <v>81.407150000000001</v>
      </c>
      <c r="FZ21">
        <v>67.608199999999997</v>
      </c>
      <c r="GA21">
        <v>69.086399999999998</v>
      </c>
      <c r="GE21">
        <v>48.065800000000003</v>
      </c>
      <c r="GH21" t="s">
        <v>1026</v>
      </c>
      <c r="GL21" t="s">
        <v>1026</v>
      </c>
      <c r="GQ21">
        <v>44.923499999999997</v>
      </c>
      <c r="GS21">
        <v>97.695300000000003</v>
      </c>
      <c r="GT21" s="1">
        <f>AVERAGE(GT18:GT20)</f>
        <v>50.445600000000006</v>
      </c>
      <c r="GW21">
        <v>83.1875</v>
      </c>
      <c r="GZ21" t="s">
        <v>403</v>
      </c>
      <c r="HB21">
        <v>40.450000000000003</v>
      </c>
      <c r="HD21" t="s">
        <v>403</v>
      </c>
      <c r="HF21">
        <f>63*Supplementary_Fig7!HB21/100</f>
        <v>25.483500000000003</v>
      </c>
      <c r="HJ21">
        <v>53.189500000000002</v>
      </c>
      <c r="HK21">
        <v>38.946599999999997</v>
      </c>
      <c r="HL21">
        <v>43.409500000000001</v>
      </c>
      <c r="HM21">
        <v>37.408700000000003</v>
      </c>
      <c r="HV21" t="s">
        <v>398</v>
      </c>
      <c r="HW21">
        <v>77.209999999999994</v>
      </c>
      <c r="HZ21" t="s">
        <v>711</v>
      </c>
      <c r="IA21" t="s">
        <v>394</v>
      </c>
      <c r="IB21" t="s">
        <v>398</v>
      </c>
      <c r="IC21" t="s">
        <v>401</v>
      </c>
      <c r="ID21" t="s">
        <v>404</v>
      </c>
      <c r="IE21" t="s">
        <v>407</v>
      </c>
      <c r="IF21" t="s">
        <v>411</v>
      </c>
      <c r="IG21" t="s">
        <v>414</v>
      </c>
      <c r="IH21" t="s">
        <v>417</v>
      </c>
      <c r="II21" t="s">
        <v>421</v>
      </c>
      <c r="IJ21" t="s">
        <v>425</v>
      </c>
      <c r="IK21" t="s">
        <v>428</v>
      </c>
      <c r="IX21" t="s">
        <v>1026</v>
      </c>
      <c r="JV21" t="s">
        <v>403</v>
      </c>
      <c r="JW21">
        <v>97.8</v>
      </c>
      <c r="KT21" t="s">
        <v>398</v>
      </c>
      <c r="KU21">
        <v>2.0499999999999998</v>
      </c>
      <c r="KY21">
        <v>2.20275</v>
      </c>
      <c r="KZ21">
        <v>2.4134600000000002</v>
      </c>
      <c r="LA21">
        <v>2.2052999999999998</v>
      </c>
      <c r="LB21">
        <v>2.2136300000000002</v>
      </c>
      <c r="LC21">
        <v>2.7783799999999998</v>
      </c>
      <c r="LD21">
        <v>2.63992</v>
      </c>
      <c r="LE21">
        <v>2.6270099999999998</v>
      </c>
      <c r="LF21">
        <v>1.7739</v>
      </c>
      <c r="LG21">
        <v>2.6146799999999999</v>
      </c>
      <c r="LH21">
        <v>2.1243400000000001</v>
      </c>
      <c r="LI21">
        <v>1.94472</v>
      </c>
      <c r="LJ21">
        <v>2.1353300000000002</v>
      </c>
      <c r="LK21">
        <v>2.2275200000000002</v>
      </c>
      <c r="LL21">
        <v>2.18913</v>
      </c>
      <c r="LM21">
        <v>3.19577</v>
      </c>
      <c r="LW21" t="s">
        <v>1026</v>
      </c>
      <c r="LX21">
        <v>1.29</v>
      </c>
      <c r="MB21">
        <v>1.5953900000000001</v>
      </c>
      <c r="MC21">
        <v>1.55114</v>
      </c>
      <c r="MD21">
        <v>1.58952</v>
      </c>
      <c r="ME21">
        <v>1.56508</v>
      </c>
      <c r="MF21">
        <v>1.7442800000000001</v>
      </c>
      <c r="MG21">
        <v>1.7109300000000001</v>
      </c>
      <c r="MH21">
        <v>1.72336</v>
      </c>
      <c r="MI21">
        <v>1.9753700000000001</v>
      </c>
      <c r="MJ21">
        <v>1.9865600000000001</v>
      </c>
      <c r="MK21">
        <v>1.79924</v>
      </c>
      <c r="ML21">
        <v>1.77711</v>
      </c>
      <c r="MM21">
        <v>1.8848100000000001</v>
      </c>
      <c r="MN21">
        <v>1.7417400000000001</v>
      </c>
      <c r="MO21">
        <v>1.84205</v>
      </c>
      <c r="MP21">
        <v>1.7249300000000001</v>
      </c>
      <c r="MQ21">
        <v>1.6814100000000001</v>
      </c>
      <c r="MR21">
        <v>1.5337700000000001</v>
      </c>
      <c r="MS21">
        <v>1.7672300000000001</v>
      </c>
      <c r="MT21">
        <v>1.6740900000000001</v>
      </c>
      <c r="MU21">
        <v>1.81104</v>
      </c>
      <c r="MV21">
        <v>1.07823</v>
      </c>
      <c r="MW21">
        <v>1.97576</v>
      </c>
      <c r="MZ21" t="s">
        <v>403</v>
      </c>
      <c r="NA21">
        <v>1.2</v>
      </c>
      <c r="ND21" t="s">
        <v>413</v>
      </c>
      <c r="NE21" t="s">
        <v>416</v>
      </c>
      <c r="NF21" t="s">
        <v>419</v>
      </c>
      <c r="NG21" t="s">
        <v>423</v>
      </c>
      <c r="NH21" t="s">
        <v>427</v>
      </c>
      <c r="NI21" t="s">
        <v>430</v>
      </c>
      <c r="NJ21" t="s">
        <v>433</v>
      </c>
      <c r="NK21" t="s">
        <v>436</v>
      </c>
      <c r="NL21" t="s">
        <v>439</v>
      </c>
      <c r="NM21" t="s">
        <v>442</v>
      </c>
      <c r="NN21" t="s">
        <v>445</v>
      </c>
      <c r="NO21" t="s">
        <v>448</v>
      </c>
      <c r="NP21" t="s">
        <v>451</v>
      </c>
      <c r="NQ21" t="s">
        <v>454</v>
      </c>
      <c r="NZ21" t="s">
        <v>401</v>
      </c>
      <c r="OA21">
        <v>157.22999999999999</v>
      </c>
      <c r="OC21" t="s">
        <v>1026</v>
      </c>
      <c r="OF21" t="s">
        <v>403</v>
      </c>
      <c r="OG21">
        <v>332.58100000000002</v>
      </c>
      <c r="OI21">
        <v>2312212</v>
      </c>
      <c r="OJ21">
        <v>6</v>
      </c>
      <c r="OK21">
        <v>0</v>
      </c>
      <c r="PD21">
        <v>-87.17</v>
      </c>
      <c r="PE21">
        <v>5.93</v>
      </c>
      <c r="PH21">
        <v>170822</v>
      </c>
      <c r="PI21">
        <v>8</v>
      </c>
      <c r="PJ21">
        <v>0</v>
      </c>
      <c r="PK21">
        <v>5.38</v>
      </c>
      <c r="PL21">
        <v>-97.8</v>
      </c>
      <c r="PM21">
        <v>3.46</v>
      </c>
      <c r="PN21">
        <v>-89.42</v>
      </c>
      <c r="PO21">
        <v>4.3</v>
      </c>
      <c r="PP21">
        <v>-89.08</v>
      </c>
      <c r="PQ21">
        <v>4.5599999999999996</v>
      </c>
      <c r="PR21">
        <v>-89.26</v>
      </c>
      <c r="PS21">
        <v>3.97</v>
      </c>
      <c r="PT21">
        <v>-94.98</v>
      </c>
      <c r="PU21">
        <v>3.63</v>
      </c>
      <c r="PV21">
        <v>-92.16</v>
      </c>
      <c r="PW21">
        <v>4.8600000000000003</v>
      </c>
      <c r="PX21">
        <v>-100</v>
      </c>
      <c r="PY21">
        <v>6.52</v>
      </c>
      <c r="PZ21">
        <v>-99.88</v>
      </c>
      <c r="QC21">
        <v>-88.69</v>
      </c>
      <c r="QD21">
        <v>3.05</v>
      </c>
      <c r="QF21">
        <v>210422</v>
      </c>
      <c r="QG21">
        <v>7</v>
      </c>
      <c r="QH21">
        <v>0</v>
      </c>
      <c r="QI21">
        <v>1.4</v>
      </c>
      <c r="QJ21">
        <v>-76.900000000000006</v>
      </c>
      <c r="QK21">
        <v>1.38</v>
      </c>
      <c r="QL21">
        <v>-79.69</v>
      </c>
      <c r="QO21">
        <v>4.97</v>
      </c>
      <c r="QP21">
        <v>-89.91</v>
      </c>
      <c r="QU21">
        <v>4.34</v>
      </c>
      <c r="QV21">
        <v>-84.25</v>
      </c>
      <c r="RA21">
        <v>-79.739999999999995</v>
      </c>
      <c r="RB21">
        <v>3.11</v>
      </c>
    </row>
    <row r="22" spans="1:470" ht="13.15" x14ac:dyDescent="0.4">
      <c r="A22">
        <v>300</v>
      </c>
      <c r="B22">
        <v>6.5</v>
      </c>
      <c r="C22">
        <v>5.5</v>
      </c>
      <c r="D22">
        <v>3</v>
      </c>
      <c r="E22">
        <v>5</v>
      </c>
      <c r="F22">
        <v>5</v>
      </c>
      <c r="G22">
        <v>3.5</v>
      </c>
      <c r="H22">
        <v>8.5</v>
      </c>
      <c r="I22">
        <v>3</v>
      </c>
      <c r="J22">
        <v>2</v>
      </c>
      <c r="K22">
        <v>1</v>
      </c>
      <c r="L22">
        <v>7.5</v>
      </c>
      <c r="M22">
        <v>4.5</v>
      </c>
      <c r="N22">
        <v>3.5</v>
      </c>
      <c r="O22">
        <v>6.5</v>
      </c>
      <c r="P22">
        <v>4</v>
      </c>
      <c r="Q22">
        <v>5</v>
      </c>
      <c r="R22">
        <v>7.5</v>
      </c>
      <c r="S22">
        <v>4</v>
      </c>
      <c r="T22">
        <v>11.5</v>
      </c>
      <c r="U22">
        <v>6</v>
      </c>
      <c r="V22">
        <v>6</v>
      </c>
      <c r="W22">
        <v>7</v>
      </c>
      <c r="X22">
        <v>10</v>
      </c>
      <c r="Y22">
        <v>6</v>
      </c>
      <c r="Z22">
        <v>3</v>
      </c>
      <c r="AA22">
        <v>9</v>
      </c>
      <c r="AB22">
        <v>3</v>
      </c>
      <c r="AC22">
        <v>2.5</v>
      </c>
      <c r="AD22">
        <v>4.5</v>
      </c>
      <c r="AE22">
        <v>6</v>
      </c>
      <c r="AF22">
        <v>15</v>
      </c>
      <c r="AG22">
        <v>20.5</v>
      </c>
      <c r="AH22">
        <v>3</v>
      </c>
      <c r="AI22">
        <v>1.5</v>
      </c>
      <c r="AJ22">
        <v>7.5</v>
      </c>
      <c r="AK22">
        <v>8</v>
      </c>
      <c r="AL22">
        <v>17</v>
      </c>
      <c r="AM22">
        <v>3.5</v>
      </c>
      <c r="AN22">
        <v>2.5</v>
      </c>
      <c r="AO22">
        <v>2</v>
      </c>
      <c r="AP22">
        <v>3</v>
      </c>
      <c r="AQ22">
        <v>2</v>
      </c>
      <c r="AR22">
        <v>5</v>
      </c>
      <c r="AS22">
        <v>6</v>
      </c>
      <c r="AT22">
        <v>5</v>
      </c>
      <c r="AU22">
        <v>12.5</v>
      </c>
      <c r="AV22">
        <v>21.5</v>
      </c>
      <c r="AW22">
        <v>3</v>
      </c>
      <c r="AX22">
        <v>6.5</v>
      </c>
      <c r="AY22">
        <v>12</v>
      </c>
      <c r="AZ22">
        <v>1.5</v>
      </c>
      <c r="BA22">
        <v>4</v>
      </c>
      <c r="BB22">
        <v>6.5</v>
      </c>
      <c r="BC22">
        <v>17.5</v>
      </c>
      <c r="BD22">
        <v>5</v>
      </c>
      <c r="BE22">
        <v>9.5</v>
      </c>
      <c r="BF22">
        <v>3</v>
      </c>
      <c r="BG22">
        <v>3</v>
      </c>
      <c r="BH22">
        <v>17.5</v>
      </c>
      <c r="BI22">
        <v>1.5</v>
      </c>
      <c r="BJ22">
        <v>2</v>
      </c>
      <c r="BK22">
        <v>13</v>
      </c>
      <c r="BL22">
        <v>8</v>
      </c>
      <c r="BM22">
        <v>2</v>
      </c>
      <c r="BN22">
        <v>9.5</v>
      </c>
      <c r="BO22">
        <v>9</v>
      </c>
      <c r="BP22">
        <v>2</v>
      </c>
      <c r="BQ22">
        <v>1</v>
      </c>
      <c r="BR22">
        <v>1.5</v>
      </c>
      <c r="BS22">
        <v>6</v>
      </c>
      <c r="BT22">
        <v>2.5</v>
      </c>
      <c r="BU22">
        <v>2.5</v>
      </c>
      <c r="BV22">
        <v>7.5</v>
      </c>
      <c r="BW22">
        <v>5.5</v>
      </c>
      <c r="BX22">
        <v>3</v>
      </c>
      <c r="BY22">
        <v>1.5</v>
      </c>
      <c r="BZ22">
        <v>12</v>
      </c>
      <c r="CA22">
        <v>1</v>
      </c>
      <c r="CB22">
        <v>3</v>
      </c>
      <c r="CC22">
        <v>2.5</v>
      </c>
      <c r="CD22">
        <v>2.5</v>
      </c>
      <c r="CE22">
        <v>5.5</v>
      </c>
      <c r="CF22">
        <v>3</v>
      </c>
      <c r="CG22">
        <v>4</v>
      </c>
      <c r="CH22">
        <v>8</v>
      </c>
      <c r="CI22">
        <v>7.5</v>
      </c>
      <c r="CJ22">
        <v>3</v>
      </c>
      <c r="CK22">
        <v>6.5</v>
      </c>
      <c r="CL22">
        <v>1</v>
      </c>
      <c r="CM22">
        <v>2</v>
      </c>
      <c r="CN22">
        <v>4</v>
      </c>
      <c r="CO22">
        <v>3.5</v>
      </c>
      <c r="CP22">
        <v>3</v>
      </c>
      <c r="CQ22">
        <v>1</v>
      </c>
      <c r="CR22">
        <v>1</v>
      </c>
      <c r="CS22">
        <v>5.5</v>
      </c>
      <c r="CT22">
        <v>5.5</v>
      </c>
      <c r="CU22">
        <v>16</v>
      </c>
      <c r="CV22">
        <v>23.5</v>
      </c>
      <c r="CW22">
        <v>7</v>
      </c>
      <c r="CX22">
        <v>4.5</v>
      </c>
      <c r="CY22">
        <v>6.5</v>
      </c>
      <c r="CZ22">
        <v>6.5</v>
      </c>
      <c r="DA22">
        <v>10</v>
      </c>
      <c r="DB22">
        <v>4</v>
      </c>
      <c r="DC22">
        <v>3</v>
      </c>
      <c r="DD22">
        <v>3.5</v>
      </c>
      <c r="DE22">
        <v>6</v>
      </c>
      <c r="DF22">
        <v>4</v>
      </c>
      <c r="DG22">
        <v>4</v>
      </c>
      <c r="DH22">
        <v>1</v>
      </c>
      <c r="DI22">
        <v>5.5</v>
      </c>
      <c r="DJ22">
        <v>2</v>
      </c>
      <c r="DK22">
        <v>6</v>
      </c>
      <c r="DL22">
        <v>4.5</v>
      </c>
      <c r="DM22">
        <v>3.5</v>
      </c>
      <c r="DN22">
        <v>8.5</v>
      </c>
      <c r="DO22">
        <v>3.5</v>
      </c>
      <c r="DP22">
        <v>4.5</v>
      </c>
      <c r="DQ22">
        <v>4</v>
      </c>
      <c r="DR22">
        <v>9</v>
      </c>
      <c r="DS22">
        <v>7</v>
      </c>
      <c r="DT22">
        <v>7</v>
      </c>
      <c r="DU22">
        <v>11</v>
      </c>
      <c r="DV22" s="1">
        <f t="shared" si="6"/>
        <v>5.830645161290323</v>
      </c>
      <c r="DW22" s="1">
        <f t="shared" si="7"/>
        <v>0.39456406214161699</v>
      </c>
      <c r="DZ22">
        <v>180122</v>
      </c>
      <c r="EA22">
        <v>4</v>
      </c>
      <c r="EB22">
        <v>0</v>
      </c>
      <c r="EC22">
        <v>1</v>
      </c>
      <c r="EF22">
        <v>1</v>
      </c>
      <c r="EG22">
        <v>1</v>
      </c>
      <c r="EK22">
        <f t="shared" si="1"/>
        <v>3</v>
      </c>
      <c r="EM22">
        <v>190822</v>
      </c>
      <c r="EN22">
        <v>7</v>
      </c>
      <c r="EO22">
        <v>0</v>
      </c>
      <c r="EX22">
        <f t="shared" si="2"/>
        <v>0</v>
      </c>
      <c r="FA22">
        <v>2104222</v>
      </c>
      <c r="FB22">
        <v>6</v>
      </c>
      <c r="FC22">
        <v>0</v>
      </c>
      <c r="FL22">
        <f>SUM(Supplementary_Fig7!FD22:FK22)</f>
        <v>0</v>
      </c>
      <c r="FO22" t="s">
        <v>404</v>
      </c>
      <c r="FQ22">
        <v>48.02</v>
      </c>
      <c r="FS22" t="s">
        <v>404</v>
      </c>
      <c r="FU22">
        <f t="shared" ref="FU22:FU36" si="8">63*FQ22/100</f>
        <v>30.252600000000001</v>
      </c>
      <c r="FW22" s="1">
        <f>AVERAGE(Supplementary_Fig7!FW18:FW21)</f>
        <v>12.899150000000001</v>
      </c>
      <c r="FY22" s="1">
        <f>AVERAGE(Supplementary_Fig7!FY18:FY21)</f>
        <v>84.93665</v>
      </c>
      <c r="FZ22" s="1">
        <f>AVERAGE(Supplementary_Fig7!FZ18:FZ21)</f>
        <v>61.260324999999995</v>
      </c>
      <c r="GA22" s="1">
        <f>AVERAGE(Supplementary_Fig7!GA18:GA21)</f>
        <v>46.3108</v>
      </c>
      <c r="GB22" s="1">
        <f>AVERAGE(Supplementary_Fig7!GB18:GB21)</f>
        <v>95.026800000000009</v>
      </c>
      <c r="GC22" s="1">
        <f>AVERAGE(Supplementary_Fig7!GC18:GC21)</f>
        <v>71.139266666666671</v>
      </c>
      <c r="GD22" s="1">
        <f>AVERAGE(Supplementary_Fig7!GD18:GD21)</f>
        <v>85.684449999999998</v>
      </c>
      <c r="GE22" s="1">
        <f>AVERAGE(Supplementary_Fig7!GE18:GE21)</f>
        <v>45.291874999999997</v>
      </c>
      <c r="GF22" s="1">
        <f>AVERAGE(Supplementary_Fig7!GF18:GF21)</f>
        <v>75.169600000000003</v>
      </c>
      <c r="GH22" t="s">
        <v>389</v>
      </c>
      <c r="GI22">
        <v>63.16</v>
      </c>
      <c r="GL22" t="s">
        <v>389</v>
      </c>
      <c r="GM22">
        <f>63*GI22/100</f>
        <v>39.790799999999997</v>
      </c>
      <c r="GQ22" s="1">
        <f>AVERAGE(GQ18:GQ21)</f>
        <v>67.129400000000004</v>
      </c>
      <c r="GR22" s="1">
        <f>AVERAGE(GR18:GR21)</f>
        <v>95.461500000000001</v>
      </c>
      <c r="GS22" s="1">
        <f>AVERAGE(GS18:GS21)</f>
        <v>88.751724999999993</v>
      </c>
      <c r="GV22" s="1">
        <f>AVERAGE(GV18:GV21)</f>
        <v>63.164033333333329</v>
      </c>
      <c r="GW22" s="1">
        <f>AVERAGE(GW18:GW21)</f>
        <v>84.994275000000002</v>
      </c>
      <c r="GX22" s="1">
        <f>AVERAGE(GX18:GX21)</f>
        <v>87.706099999999992</v>
      </c>
      <c r="GZ22" t="s">
        <v>406</v>
      </c>
      <c r="HD22" t="s">
        <v>406</v>
      </c>
      <c r="HJ22">
        <v>49.385599999999997</v>
      </c>
      <c r="HK22">
        <v>43.867199999999997</v>
      </c>
      <c r="HL22">
        <v>36.668799999999997</v>
      </c>
      <c r="HM22">
        <v>40.287500000000001</v>
      </c>
      <c r="HV22" t="s">
        <v>401</v>
      </c>
      <c r="HW22">
        <v>78.86</v>
      </c>
      <c r="HZ22">
        <v>60.482799999999997</v>
      </c>
      <c r="IA22">
        <v>79.447900000000004</v>
      </c>
      <c r="IB22">
        <v>75.665300000000002</v>
      </c>
      <c r="IC22">
        <v>77.175899999999999</v>
      </c>
      <c r="ID22">
        <v>74.825999999999993</v>
      </c>
      <c r="IE22">
        <v>59.083599999999997</v>
      </c>
      <c r="IF22">
        <v>70.423900000000003</v>
      </c>
      <c r="IG22">
        <v>73.564099999999996</v>
      </c>
      <c r="IH22">
        <v>91.014099999999999</v>
      </c>
      <c r="II22">
        <v>61.370800000000003</v>
      </c>
      <c r="IJ22">
        <v>70.875500000000002</v>
      </c>
      <c r="IK22">
        <v>89.981099999999998</v>
      </c>
      <c r="IX22" t="s">
        <v>389</v>
      </c>
      <c r="IY22">
        <v>105.49</v>
      </c>
      <c r="JB22" t="s">
        <v>379</v>
      </c>
      <c r="JC22" t="s">
        <v>383</v>
      </c>
      <c r="JD22" t="s">
        <v>386</v>
      </c>
      <c r="JE22" t="s">
        <v>1025</v>
      </c>
      <c r="JF22" t="s">
        <v>1026</v>
      </c>
      <c r="JG22" t="s">
        <v>389</v>
      </c>
      <c r="JH22" t="s">
        <v>392</v>
      </c>
      <c r="JI22" t="s">
        <v>395</v>
      </c>
      <c r="JJ22" t="s">
        <v>399</v>
      </c>
      <c r="JK22" t="s">
        <v>402</v>
      </c>
      <c r="JL22" t="s">
        <v>405</v>
      </c>
      <c r="JM22" t="s">
        <v>408</v>
      </c>
      <c r="JN22" t="s">
        <v>1060</v>
      </c>
      <c r="JO22" t="s">
        <v>412</v>
      </c>
      <c r="JP22" t="s">
        <v>1061</v>
      </c>
      <c r="JQ22" t="s">
        <v>415</v>
      </c>
      <c r="JV22" t="s">
        <v>406</v>
      </c>
      <c r="JZ22" t="s">
        <v>393</v>
      </c>
      <c r="KA22" t="s">
        <v>396</v>
      </c>
      <c r="KB22" t="s">
        <v>400</v>
      </c>
      <c r="KC22" t="s">
        <v>403</v>
      </c>
      <c r="KD22" t="s">
        <v>413</v>
      </c>
      <c r="KE22" t="s">
        <v>416</v>
      </c>
      <c r="KF22" t="s">
        <v>419</v>
      </c>
      <c r="KG22" t="s">
        <v>423</v>
      </c>
      <c r="KH22" t="s">
        <v>427</v>
      </c>
      <c r="KI22" t="s">
        <v>430</v>
      </c>
      <c r="KJ22" t="s">
        <v>433</v>
      </c>
      <c r="KK22" t="s">
        <v>436</v>
      </c>
      <c r="KL22" t="s">
        <v>439</v>
      </c>
      <c r="KM22" t="s">
        <v>442</v>
      </c>
      <c r="KN22" t="s">
        <v>445</v>
      </c>
      <c r="KO22" t="s">
        <v>448</v>
      </c>
      <c r="KP22" t="s">
        <v>451</v>
      </c>
      <c r="KQ22" t="s">
        <v>454</v>
      </c>
      <c r="KT22" t="s">
        <v>401</v>
      </c>
      <c r="KU22">
        <v>2.09</v>
      </c>
      <c r="KY22">
        <v>2.1104400000000001</v>
      </c>
      <c r="KZ22">
        <v>2.2040000000000002</v>
      </c>
      <c r="LA22">
        <v>2.1777899999999999</v>
      </c>
      <c r="LB22">
        <v>2.20228</v>
      </c>
      <c r="LC22">
        <v>2.7832599999999998</v>
      </c>
      <c r="LD22">
        <v>2.7086000000000001</v>
      </c>
      <c r="LE22">
        <v>2.6930900000000002</v>
      </c>
      <c r="LF22">
        <v>1.6966399999999999</v>
      </c>
      <c r="LG22">
        <v>2.8229099999999998</v>
      </c>
      <c r="LH22">
        <v>2.0333999999999999</v>
      </c>
      <c r="LI22">
        <v>1.85442</v>
      </c>
      <c r="LJ22">
        <v>2.18879</v>
      </c>
      <c r="LK22">
        <v>2.16608</v>
      </c>
      <c r="LL22">
        <v>2.3933800000000001</v>
      </c>
      <c r="LM22">
        <v>3.1499199999999998</v>
      </c>
      <c r="LW22" t="s">
        <v>389</v>
      </c>
      <c r="LX22">
        <v>2.66</v>
      </c>
      <c r="MB22">
        <v>1.6119399999999999</v>
      </c>
      <c r="MC22">
        <v>1.54887</v>
      </c>
      <c r="MD22">
        <v>1.55169</v>
      </c>
      <c r="ME22">
        <v>1.50865</v>
      </c>
      <c r="MF22">
        <v>1.7042600000000001</v>
      </c>
      <c r="MG22">
        <v>1.68205</v>
      </c>
      <c r="MH22">
        <v>1.7138100000000001</v>
      </c>
      <c r="MI22">
        <v>1.9450499999999999</v>
      </c>
      <c r="MJ22">
        <v>1.9408700000000001</v>
      </c>
      <c r="MK22">
        <v>1.76058</v>
      </c>
      <c r="ML22">
        <v>1.7845800000000001</v>
      </c>
      <c r="MM22">
        <v>1.84331</v>
      </c>
      <c r="MN22">
        <v>1.78888</v>
      </c>
      <c r="MO22">
        <v>1.85399</v>
      </c>
      <c r="MP22">
        <v>1.7239100000000001</v>
      </c>
      <c r="MQ22">
        <v>1.64028</v>
      </c>
      <c r="MR22">
        <v>1.52911</v>
      </c>
      <c r="MS22">
        <v>1.75397</v>
      </c>
      <c r="MT22">
        <v>1.66317</v>
      </c>
      <c r="MU22">
        <v>1.81802</v>
      </c>
      <c r="MV22">
        <v>1.0299</v>
      </c>
      <c r="MW22">
        <v>1.9737</v>
      </c>
      <c r="MZ22" t="s">
        <v>406</v>
      </c>
      <c r="ND22">
        <v>1.1763699999999999</v>
      </c>
      <c r="NE22">
        <v>1.39581</v>
      </c>
      <c r="NF22">
        <v>1.1571199999999999</v>
      </c>
      <c r="NG22">
        <v>1.6784399999999999</v>
      </c>
      <c r="NI22">
        <v>1.5</v>
      </c>
      <c r="NJ22">
        <v>1.15035</v>
      </c>
      <c r="NK22">
        <v>1.65713</v>
      </c>
      <c r="NL22">
        <v>1.52095</v>
      </c>
      <c r="NM22">
        <v>1.8556999999999999</v>
      </c>
      <c r="NN22">
        <v>1.40012</v>
      </c>
      <c r="NO22">
        <v>1.35012</v>
      </c>
      <c r="NP22">
        <v>1.4434100000000001</v>
      </c>
      <c r="NQ22">
        <v>1.5620499999999999</v>
      </c>
      <c r="NZ22" t="s">
        <v>404</v>
      </c>
      <c r="OA22">
        <v>120.818</v>
      </c>
      <c r="OC22" t="s">
        <v>389</v>
      </c>
      <c r="OD22">
        <v>186.26400000000001</v>
      </c>
      <c r="OF22" t="s">
        <v>406</v>
      </c>
      <c r="OI22">
        <v>180122</v>
      </c>
      <c r="OJ22">
        <v>4</v>
      </c>
      <c r="OK22">
        <v>0</v>
      </c>
      <c r="PD22">
        <v>-87.21</v>
      </c>
      <c r="PE22">
        <v>4.53</v>
      </c>
      <c r="PH22">
        <v>190822</v>
      </c>
      <c r="PI22">
        <v>7</v>
      </c>
      <c r="PJ22">
        <v>0</v>
      </c>
      <c r="PS22">
        <v>3.66</v>
      </c>
      <c r="PT22">
        <v>-94.74</v>
      </c>
      <c r="QC22">
        <v>-89.08</v>
      </c>
      <c r="QD22">
        <v>4.3</v>
      </c>
      <c r="QF22">
        <v>2104222</v>
      </c>
      <c r="QG22">
        <v>6</v>
      </c>
      <c r="QH22">
        <v>0</v>
      </c>
      <c r="QI22">
        <v>6.15</v>
      </c>
      <c r="QJ22">
        <v>-88.26</v>
      </c>
      <c r="QM22">
        <v>2.3199999999999998</v>
      </c>
      <c r="QN22">
        <v>-86.65</v>
      </c>
      <c r="QU22">
        <v>2.66</v>
      </c>
      <c r="QV22">
        <v>-88.47</v>
      </c>
      <c r="RA22">
        <v>-79.83</v>
      </c>
      <c r="RB22">
        <v>3.64</v>
      </c>
    </row>
    <row r="23" spans="1:470" ht="13.15" x14ac:dyDescent="0.4">
      <c r="A23">
        <v>350</v>
      </c>
      <c r="B23">
        <v>8</v>
      </c>
      <c r="C23">
        <v>5</v>
      </c>
      <c r="D23">
        <v>3.5</v>
      </c>
      <c r="E23">
        <v>5.5</v>
      </c>
      <c r="F23">
        <v>6</v>
      </c>
      <c r="G23">
        <v>3.5</v>
      </c>
      <c r="H23">
        <v>9.5</v>
      </c>
      <c r="I23">
        <v>3</v>
      </c>
      <c r="J23">
        <v>2.5</v>
      </c>
      <c r="K23">
        <v>1.5</v>
      </c>
      <c r="L23">
        <v>8.5</v>
      </c>
      <c r="M23">
        <v>5.5</v>
      </c>
      <c r="N23">
        <v>4</v>
      </c>
      <c r="O23">
        <v>7</v>
      </c>
      <c r="P23">
        <v>5</v>
      </c>
      <c r="Q23">
        <v>7</v>
      </c>
      <c r="R23">
        <v>8.5</v>
      </c>
      <c r="S23">
        <v>5.5</v>
      </c>
      <c r="T23">
        <v>12.5</v>
      </c>
      <c r="U23">
        <v>7</v>
      </c>
      <c r="V23">
        <v>7.5</v>
      </c>
      <c r="W23">
        <v>8</v>
      </c>
      <c r="X23">
        <v>11.5</v>
      </c>
      <c r="Y23">
        <v>8</v>
      </c>
      <c r="Z23">
        <v>3</v>
      </c>
      <c r="AA23">
        <v>10</v>
      </c>
      <c r="AB23">
        <v>4</v>
      </c>
      <c r="AC23">
        <v>3.5</v>
      </c>
      <c r="AD23">
        <v>5</v>
      </c>
      <c r="AE23">
        <v>3</v>
      </c>
      <c r="AF23">
        <v>15.5</v>
      </c>
      <c r="AG23">
        <v>20.5</v>
      </c>
      <c r="AH23">
        <v>4</v>
      </c>
      <c r="AI23">
        <v>3</v>
      </c>
      <c r="AJ23">
        <v>8.5</v>
      </c>
      <c r="AK23">
        <v>9</v>
      </c>
      <c r="AL23">
        <v>18.5</v>
      </c>
      <c r="AM23">
        <v>4</v>
      </c>
      <c r="AN23">
        <v>2</v>
      </c>
      <c r="AO23">
        <v>2</v>
      </c>
      <c r="AP23">
        <v>4</v>
      </c>
      <c r="AQ23">
        <v>3.5</v>
      </c>
      <c r="AR23">
        <v>7</v>
      </c>
      <c r="AS23">
        <v>8</v>
      </c>
      <c r="AT23">
        <v>6</v>
      </c>
      <c r="AU23">
        <v>14</v>
      </c>
      <c r="AV23">
        <v>23.5</v>
      </c>
      <c r="AW23">
        <v>3.5</v>
      </c>
      <c r="AX23">
        <v>7.5</v>
      </c>
      <c r="AY23">
        <v>14</v>
      </c>
      <c r="AZ23">
        <v>2.5</v>
      </c>
      <c r="BA23">
        <v>4.5</v>
      </c>
      <c r="BB23">
        <v>7.5</v>
      </c>
      <c r="BC23">
        <v>19</v>
      </c>
      <c r="BD23">
        <v>6</v>
      </c>
      <c r="BE23">
        <v>12.5</v>
      </c>
      <c r="BF23">
        <v>3.5</v>
      </c>
      <c r="BG23">
        <v>3</v>
      </c>
      <c r="BH23">
        <v>21</v>
      </c>
      <c r="BI23">
        <v>2</v>
      </c>
      <c r="BJ23">
        <v>2.5</v>
      </c>
      <c r="BK23">
        <v>18</v>
      </c>
      <c r="BL23">
        <v>7.5</v>
      </c>
      <c r="BM23">
        <v>3.5</v>
      </c>
      <c r="BN23">
        <v>11</v>
      </c>
      <c r="BO23">
        <v>10</v>
      </c>
      <c r="BP23">
        <v>3</v>
      </c>
      <c r="BQ23">
        <v>1</v>
      </c>
      <c r="BR23">
        <v>2.5</v>
      </c>
      <c r="BS23">
        <v>6.5</v>
      </c>
      <c r="BT23">
        <v>2.5</v>
      </c>
      <c r="BU23">
        <v>3</v>
      </c>
      <c r="BV23">
        <v>8</v>
      </c>
      <c r="BW23">
        <v>7</v>
      </c>
      <c r="BX23">
        <v>3.5</v>
      </c>
      <c r="BY23">
        <v>2</v>
      </c>
      <c r="BZ23">
        <v>14</v>
      </c>
      <c r="CA23">
        <v>2</v>
      </c>
      <c r="CB23">
        <v>3</v>
      </c>
      <c r="CC23">
        <v>2.5</v>
      </c>
      <c r="CD23">
        <v>3</v>
      </c>
      <c r="CE23">
        <v>6.5</v>
      </c>
      <c r="CF23">
        <v>4</v>
      </c>
      <c r="CG23">
        <v>5</v>
      </c>
      <c r="CH23">
        <v>11</v>
      </c>
      <c r="CI23">
        <v>8.5</v>
      </c>
      <c r="CJ23">
        <v>3.5</v>
      </c>
      <c r="CK23">
        <v>5.5</v>
      </c>
      <c r="CL23">
        <v>1</v>
      </c>
      <c r="CM23">
        <v>3</v>
      </c>
      <c r="CN23">
        <v>4.5</v>
      </c>
      <c r="CO23">
        <v>4</v>
      </c>
      <c r="CP23">
        <v>3.5</v>
      </c>
      <c r="CQ23">
        <v>1</v>
      </c>
      <c r="CR23">
        <v>1</v>
      </c>
      <c r="CS23">
        <v>6.5</v>
      </c>
      <c r="CT23">
        <v>6.5</v>
      </c>
      <c r="CU23">
        <v>17</v>
      </c>
      <c r="CV23">
        <v>25</v>
      </c>
      <c r="CW23">
        <v>8</v>
      </c>
      <c r="CX23">
        <v>5</v>
      </c>
      <c r="CY23">
        <v>6.5</v>
      </c>
      <c r="CZ23">
        <v>8</v>
      </c>
      <c r="DA23">
        <v>10.5</v>
      </c>
      <c r="DB23">
        <v>5</v>
      </c>
      <c r="DC23">
        <v>4</v>
      </c>
      <c r="DD23">
        <v>4</v>
      </c>
      <c r="DE23">
        <v>7.5</v>
      </c>
      <c r="DF23">
        <v>4.5</v>
      </c>
      <c r="DG23">
        <v>3.5</v>
      </c>
      <c r="DH23">
        <v>1</v>
      </c>
      <c r="DI23">
        <v>7</v>
      </c>
      <c r="DJ23">
        <v>2.5</v>
      </c>
      <c r="DK23">
        <v>9</v>
      </c>
      <c r="DL23">
        <v>5</v>
      </c>
      <c r="DM23">
        <v>4</v>
      </c>
      <c r="DN23">
        <v>10</v>
      </c>
      <c r="DO23">
        <v>4</v>
      </c>
      <c r="DP23">
        <v>5.5</v>
      </c>
      <c r="DQ23">
        <v>5</v>
      </c>
      <c r="DR23">
        <v>10</v>
      </c>
      <c r="DS23">
        <v>8.5</v>
      </c>
      <c r="DT23">
        <v>8</v>
      </c>
      <c r="DU23">
        <v>12</v>
      </c>
      <c r="DV23" s="1">
        <f t="shared" si="6"/>
        <v>6.713709677419355</v>
      </c>
      <c r="DW23" s="1">
        <f t="shared" si="7"/>
        <v>0.43140749202702938</v>
      </c>
      <c r="DZ23">
        <v>1801222</v>
      </c>
      <c r="EA23">
        <v>8</v>
      </c>
      <c r="EB23">
        <v>0</v>
      </c>
      <c r="ED23">
        <v>1</v>
      </c>
      <c r="EF23">
        <v>1</v>
      </c>
      <c r="EG23">
        <v>1</v>
      </c>
      <c r="EH23">
        <v>1</v>
      </c>
      <c r="EK23">
        <f t="shared" si="1"/>
        <v>4</v>
      </c>
      <c r="EM23">
        <v>2608222</v>
      </c>
      <c r="EN23">
        <v>6</v>
      </c>
      <c r="EO23">
        <v>0</v>
      </c>
      <c r="EX23">
        <f t="shared" si="2"/>
        <v>0</v>
      </c>
      <c r="FA23">
        <v>260422</v>
      </c>
      <c r="FB23">
        <v>8</v>
      </c>
      <c r="FC23">
        <v>0</v>
      </c>
      <c r="FF23">
        <v>1</v>
      </c>
      <c r="FL23">
        <f>SUM(Supplementary_Fig7!FD23:FK23)</f>
        <v>1</v>
      </c>
      <c r="FO23" t="s">
        <v>407</v>
      </c>
      <c r="FQ23">
        <v>37.46</v>
      </c>
      <c r="FS23" t="s">
        <v>407</v>
      </c>
      <c r="FU23">
        <f t="shared" si="8"/>
        <v>23.599800000000002</v>
      </c>
      <c r="GH23" t="s">
        <v>392</v>
      </c>
      <c r="GJ23">
        <v>84.99</v>
      </c>
      <c r="GL23" t="s">
        <v>392</v>
      </c>
      <c r="GN23">
        <f t="shared" ref="GN23:GN37" si="9">63*GJ23/100</f>
        <v>53.543700000000001</v>
      </c>
      <c r="GZ23" t="s">
        <v>409</v>
      </c>
      <c r="HD23" t="s">
        <v>409</v>
      </c>
      <c r="HJ23">
        <v>82.015699999999995</v>
      </c>
      <c r="HK23" s="8">
        <v>31.2163</v>
      </c>
      <c r="HL23">
        <v>41.740600000000001</v>
      </c>
      <c r="HM23">
        <v>42.949800000000003</v>
      </c>
      <c r="HV23" t="s">
        <v>404</v>
      </c>
      <c r="HW23">
        <v>70.510000000000005</v>
      </c>
      <c r="HZ23">
        <v>90.477000000000004</v>
      </c>
      <c r="IA23">
        <v>77.438400000000001</v>
      </c>
      <c r="IB23">
        <v>77.249099999999999</v>
      </c>
      <c r="IC23">
        <v>76.4328</v>
      </c>
      <c r="ID23">
        <v>75.495900000000006</v>
      </c>
      <c r="IE23">
        <v>57.8018</v>
      </c>
      <c r="IF23">
        <v>71.250900000000001</v>
      </c>
      <c r="IG23">
        <v>72.703599999999994</v>
      </c>
      <c r="IH23">
        <v>91.043099999999995</v>
      </c>
      <c r="II23">
        <v>59.039299999999997</v>
      </c>
      <c r="IJ23">
        <v>73.671000000000006</v>
      </c>
      <c r="IK23">
        <v>88.334699999999998</v>
      </c>
      <c r="IX23" t="s">
        <v>392</v>
      </c>
      <c r="IY23">
        <v>115.46</v>
      </c>
      <c r="JB23">
        <v>101.949</v>
      </c>
      <c r="JC23">
        <v>99.809299999999993</v>
      </c>
      <c r="JD23">
        <v>93.086200000000005</v>
      </c>
      <c r="JE23">
        <v>93.673699999999997</v>
      </c>
      <c r="JG23">
        <v>82.136499999999998</v>
      </c>
      <c r="JH23">
        <v>93.357799999999997</v>
      </c>
      <c r="JI23">
        <v>101.486</v>
      </c>
      <c r="JJ23">
        <v>97.909499999999994</v>
      </c>
      <c r="JK23">
        <v>85.722399999999993</v>
      </c>
      <c r="JL23">
        <v>97.477699999999999</v>
      </c>
      <c r="JM23">
        <v>97.337299999999999</v>
      </c>
      <c r="JO23">
        <v>97.441100000000006</v>
      </c>
      <c r="JQ23">
        <v>92.385900000000007</v>
      </c>
      <c r="JV23" t="s">
        <v>409</v>
      </c>
      <c r="JZ23">
        <v>108.11799999999999</v>
      </c>
      <c r="KA23">
        <v>90.123000000000005</v>
      </c>
      <c r="KB23">
        <v>90.8386</v>
      </c>
      <c r="KC23">
        <v>94.346599999999995</v>
      </c>
      <c r="KD23">
        <v>98.411600000000007</v>
      </c>
      <c r="KE23">
        <v>67.712400000000002</v>
      </c>
      <c r="KF23">
        <v>101.86799999999999</v>
      </c>
      <c r="KG23">
        <v>77.841200000000001</v>
      </c>
      <c r="KI23">
        <v>129.14099999999999</v>
      </c>
      <c r="KJ23">
        <v>114.012</v>
      </c>
      <c r="KK23">
        <v>86.158799999999999</v>
      </c>
      <c r="KL23">
        <v>119.849</v>
      </c>
      <c r="KM23">
        <v>108.30500000000001</v>
      </c>
      <c r="KN23">
        <v>93.632499999999993</v>
      </c>
      <c r="KO23">
        <v>91.711399999999998</v>
      </c>
      <c r="KP23">
        <v>97.734099999999998</v>
      </c>
      <c r="KQ23">
        <v>98.930400000000006</v>
      </c>
      <c r="KT23" t="s">
        <v>404</v>
      </c>
      <c r="KU23">
        <v>2.56</v>
      </c>
      <c r="KY23">
        <v>2.0504099999999998</v>
      </c>
      <c r="KZ23">
        <v>2.12513</v>
      </c>
      <c r="LA23">
        <v>2.0995900000000001</v>
      </c>
      <c r="LB23">
        <v>2.2457099999999999</v>
      </c>
      <c r="LC23">
        <v>2.8674599999999999</v>
      </c>
      <c r="LD23">
        <v>2.84022</v>
      </c>
      <c r="LE23">
        <v>2.7415799999999999</v>
      </c>
      <c r="LF23">
        <v>1.6682699999999999</v>
      </c>
      <c r="LG23">
        <v>2.6221399999999999</v>
      </c>
      <c r="LH23">
        <v>2.0545800000000001</v>
      </c>
      <c r="LI23">
        <v>1.83249</v>
      </c>
      <c r="LJ23">
        <v>2.2324299999999999</v>
      </c>
      <c r="LK23">
        <v>2.0018500000000001</v>
      </c>
      <c r="LL23">
        <v>2.2185999999999999</v>
      </c>
      <c r="LM23">
        <v>4.7834199999999996</v>
      </c>
      <c r="LW23" t="s">
        <v>392</v>
      </c>
      <c r="LX23">
        <v>1.91</v>
      </c>
      <c r="MB23">
        <v>1.6111899999999999</v>
      </c>
      <c r="MC23">
        <v>1.5486599999999999</v>
      </c>
      <c r="MD23">
        <v>1.4466600000000001</v>
      </c>
      <c r="ME23">
        <v>1.50691</v>
      </c>
      <c r="MF23">
        <v>1.6709000000000001</v>
      </c>
      <c r="MG23">
        <v>1.76448</v>
      </c>
      <c r="MH23">
        <v>1.73807</v>
      </c>
      <c r="MI23">
        <v>1.91625</v>
      </c>
      <c r="MJ23">
        <v>1.92526</v>
      </c>
      <c r="MK23">
        <v>1.7937799999999999</v>
      </c>
      <c r="ML23">
        <v>1.75457</v>
      </c>
      <c r="MM23">
        <v>1.86372</v>
      </c>
      <c r="MN23">
        <v>1.7944199999999999</v>
      </c>
      <c r="MO23">
        <v>1.8781600000000001</v>
      </c>
      <c r="MP23">
        <v>1.69859</v>
      </c>
      <c r="MQ23">
        <v>1.6357299999999999</v>
      </c>
      <c r="MR23">
        <v>1.4840100000000001</v>
      </c>
      <c r="MS23">
        <v>1.74038</v>
      </c>
      <c r="MT23">
        <v>1.67916</v>
      </c>
      <c r="MU23">
        <v>1.8224</v>
      </c>
      <c r="MV23">
        <v>1.0199800000000001</v>
      </c>
      <c r="MW23">
        <v>2.0079199999999999</v>
      </c>
      <c r="MZ23" t="s">
        <v>409</v>
      </c>
      <c r="ND23">
        <v>1.17638</v>
      </c>
      <c r="NE23">
        <v>1.40893</v>
      </c>
      <c r="NF23">
        <v>1.1540299999999999</v>
      </c>
      <c r="NG23">
        <v>1.6918</v>
      </c>
      <c r="NJ23">
        <v>1.1485099999999999</v>
      </c>
      <c r="NK23">
        <v>1.5685100000000001</v>
      </c>
      <c r="NL23">
        <v>1.53373</v>
      </c>
      <c r="NM23">
        <v>1.89937</v>
      </c>
      <c r="NN23">
        <v>1.4035500000000001</v>
      </c>
      <c r="NO23">
        <v>1.3387100000000001</v>
      </c>
      <c r="NP23">
        <v>1.4431099999999999</v>
      </c>
      <c r="NQ23">
        <v>1.5697700000000001</v>
      </c>
      <c r="NZ23" t="s">
        <v>407</v>
      </c>
      <c r="OA23">
        <v>85.836399999999998</v>
      </c>
      <c r="OC23" t="s">
        <v>392</v>
      </c>
      <c r="OD23">
        <v>262.27100000000002</v>
      </c>
      <c r="OF23" t="s">
        <v>409</v>
      </c>
      <c r="OI23">
        <v>1801222</v>
      </c>
      <c r="OJ23">
        <v>8</v>
      </c>
      <c r="OK23">
        <v>0</v>
      </c>
      <c r="OX23">
        <v>8.16</v>
      </c>
      <c r="OY23">
        <v>-96.11</v>
      </c>
      <c r="PD23">
        <v>-87.57</v>
      </c>
      <c r="PE23">
        <v>5.84</v>
      </c>
      <c r="PH23">
        <v>2608222</v>
      </c>
      <c r="PI23">
        <v>6</v>
      </c>
      <c r="PJ23">
        <v>0</v>
      </c>
      <c r="PK23">
        <v>5</v>
      </c>
      <c r="PL23">
        <v>-100</v>
      </c>
      <c r="PM23">
        <v>2.2799999999999998</v>
      </c>
      <c r="PN23">
        <v>-86.02</v>
      </c>
      <c r="PS23">
        <v>3.84</v>
      </c>
      <c r="PT23">
        <v>-94.25</v>
      </c>
      <c r="PU23">
        <v>4.7</v>
      </c>
      <c r="PV23">
        <v>-93.03</v>
      </c>
      <c r="PW23">
        <v>3.69</v>
      </c>
      <c r="PX23">
        <v>-90.68</v>
      </c>
      <c r="PY23">
        <v>5.88</v>
      </c>
      <c r="PZ23">
        <v>-88.15</v>
      </c>
      <c r="QC23">
        <v>-89.08</v>
      </c>
      <c r="QD23">
        <v>2.76</v>
      </c>
      <c r="QF23">
        <v>260422</v>
      </c>
      <c r="QG23">
        <v>8</v>
      </c>
      <c r="QH23">
        <v>0</v>
      </c>
      <c r="QS23">
        <v>4.79</v>
      </c>
      <c r="QT23">
        <v>-100</v>
      </c>
      <c r="QU23">
        <v>3.79</v>
      </c>
      <c r="QV23">
        <v>-80.989999999999995</v>
      </c>
      <c r="QW23">
        <v>5.47</v>
      </c>
      <c r="QX23">
        <v>-87.42</v>
      </c>
      <c r="RA23">
        <v>-80.709999999999994</v>
      </c>
      <c r="RB23">
        <v>1.61</v>
      </c>
    </row>
    <row r="24" spans="1:470" ht="13.15" x14ac:dyDescent="0.4">
      <c r="A24">
        <v>400</v>
      </c>
      <c r="B24">
        <v>8</v>
      </c>
      <c r="C24">
        <v>6.5</v>
      </c>
      <c r="D24">
        <v>4</v>
      </c>
      <c r="E24">
        <v>6.5</v>
      </c>
      <c r="F24">
        <v>6.5</v>
      </c>
      <c r="G24">
        <v>3.5</v>
      </c>
      <c r="H24">
        <v>10.5</v>
      </c>
      <c r="I24">
        <v>3.5</v>
      </c>
      <c r="J24">
        <v>3</v>
      </c>
      <c r="K24">
        <v>2</v>
      </c>
      <c r="L24">
        <v>9</v>
      </c>
      <c r="M24">
        <v>6.5</v>
      </c>
      <c r="N24">
        <v>4.5</v>
      </c>
      <c r="O24">
        <v>7.5</v>
      </c>
      <c r="P24">
        <v>5</v>
      </c>
      <c r="Q24">
        <v>6.5</v>
      </c>
      <c r="R24">
        <v>9</v>
      </c>
      <c r="S24">
        <v>6</v>
      </c>
      <c r="T24">
        <v>12.5</v>
      </c>
      <c r="U24">
        <v>8</v>
      </c>
      <c r="V24">
        <v>8.5</v>
      </c>
      <c r="W24">
        <v>9</v>
      </c>
      <c r="X24">
        <v>12.5</v>
      </c>
      <c r="Y24">
        <v>7.5</v>
      </c>
      <c r="Z24">
        <v>3</v>
      </c>
      <c r="AA24">
        <v>11</v>
      </c>
      <c r="AB24">
        <v>5</v>
      </c>
      <c r="AC24">
        <v>3.5</v>
      </c>
      <c r="AD24">
        <v>6</v>
      </c>
      <c r="AE24">
        <v>3</v>
      </c>
      <c r="AF24">
        <v>17</v>
      </c>
      <c r="AG24">
        <v>20</v>
      </c>
      <c r="AH24">
        <v>5</v>
      </c>
      <c r="AI24">
        <v>3</v>
      </c>
      <c r="AJ24">
        <v>9.5</v>
      </c>
      <c r="AK24">
        <v>10</v>
      </c>
      <c r="AL24">
        <v>20</v>
      </c>
      <c r="AM24">
        <v>5</v>
      </c>
      <c r="AN24">
        <v>2.5</v>
      </c>
      <c r="AO24">
        <v>3</v>
      </c>
      <c r="AP24">
        <v>5</v>
      </c>
      <c r="AQ24">
        <v>4</v>
      </c>
      <c r="AR24">
        <v>7.5</v>
      </c>
      <c r="AS24">
        <v>8</v>
      </c>
      <c r="AT24">
        <v>7</v>
      </c>
      <c r="AU24">
        <v>13</v>
      </c>
      <c r="AV24">
        <v>24.5</v>
      </c>
      <c r="AW24">
        <v>4</v>
      </c>
      <c r="AX24">
        <v>8.5</v>
      </c>
      <c r="AY24">
        <v>15</v>
      </c>
      <c r="AZ24">
        <v>2.5</v>
      </c>
      <c r="BA24">
        <v>5</v>
      </c>
      <c r="BB24">
        <v>10</v>
      </c>
      <c r="BC24">
        <f>37/2</f>
        <v>18.5</v>
      </c>
      <c r="BD24">
        <v>6.5</v>
      </c>
      <c r="BE24">
        <v>13</v>
      </c>
      <c r="BF24">
        <v>4</v>
      </c>
      <c r="BG24">
        <v>3.5</v>
      </c>
      <c r="BH24">
        <v>21</v>
      </c>
      <c r="BI24">
        <v>2.5</v>
      </c>
      <c r="BJ24">
        <v>3</v>
      </c>
      <c r="BK24">
        <v>16</v>
      </c>
      <c r="BL24">
        <v>6</v>
      </c>
      <c r="BM24">
        <v>8</v>
      </c>
      <c r="BN24">
        <v>11.5</v>
      </c>
      <c r="BO24">
        <v>10.5</v>
      </c>
      <c r="BP24">
        <v>3</v>
      </c>
      <c r="BQ24">
        <v>1.5</v>
      </c>
      <c r="BR24">
        <v>2.5</v>
      </c>
      <c r="BS24">
        <v>6.5</v>
      </c>
      <c r="BT24">
        <v>3.5</v>
      </c>
      <c r="BU24">
        <v>3.5</v>
      </c>
      <c r="BV24">
        <v>9</v>
      </c>
      <c r="BW24">
        <v>7.5</v>
      </c>
      <c r="BX24">
        <v>4</v>
      </c>
      <c r="BY24">
        <v>2.5</v>
      </c>
      <c r="BZ24">
        <v>13.5</v>
      </c>
      <c r="CA24">
        <v>2.5</v>
      </c>
      <c r="CB24">
        <v>4</v>
      </c>
      <c r="CC24">
        <v>3</v>
      </c>
      <c r="CD24">
        <v>3</v>
      </c>
      <c r="CE24">
        <v>7.5</v>
      </c>
      <c r="CF24">
        <v>4</v>
      </c>
      <c r="CG24">
        <v>5.5</v>
      </c>
      <c r="CH24">
        <v>10.5</v>
      </c>
      <c r="CI24">
        <v>9.5</v>
      </c>
      <c r="CJ24">
        <v>3.5</v>
      </c>
      <c r="CK24">
        <v>6.5</v>
      </c>
      <c r="CL24">
        <v>2</v>
      </c>
      <c r="CM24">
        <v>3</v>
      </c>
      <c r="CN24">
        <v>5</v>
      </c>
      <c r="CO24">
        <v>5</v>
      </c>
      <c r="CP24">
        <v>4</v>
      </c>
      <c r="CQ24">
        <v>1</v>
      </c>
      <c r="CR24" s="8">
        <v>1</v>
      </c>
      <c r="CS24">
        <v>8.5</v>
      </c>
      <c r="CT24">
        <v>6.5</v>
      </c>
      <c r="CU24">
        <v>18.5</v>
      </c>
      <c r="CV24">
        <v>26.5</v>
      </c>
      <c r="CW24">
        <v>9</v>
      </c>
      <c r="CX24">
        <v>5</v>
      </c>
      <c r="CY24">
        <v>7.5</v>
      </c>
      <c r="CZ24">
        <v>8</v>
      </c>
      <c r="DA24">
        <v>12</v>
      </c>
      <c r="DB24">
        <v>6</v>
      </c>
      <c r="DC24">
        <v>4</v>
      </c>
      <c r="DD24">
        <v>4</v>
      </c>
      <c r="DE24">
        <v>7.5</v>
      </c>
      <c r="DF24">
        <v>5.5</v>
      </c>
      <c r="DG24">
        <v>4.5</v>
      </c>
      <c r="DH24">
        <v>1</v>
      </c>
      <c r="DI24">
        <v>8.5</v>
      </c>
      <c r="DJ24">
        <v>3</v>
      </c>
      <c r="DK24">
        <v>9.5</v>
      </c>
      <c r="DL24">
        <v>6</v>
      </c>
      <c r="DM24">
        <v>4.5</v>
      </c>
      <c r="DN24">
        <v>11.5</v>
      </c>
      <c r="DO24">
        <v>5</v>
      </c>
      <c r="DP24">
        <v>6</v>
      </c>
      <c r="DQ24">
        <v>5</v>
      </c>
      <c r="DR24">
        <v>10</v>
      </c>
      <c r="DS24">
        <v>10</v>
      </c>
      <c r="DT24">
        <v>8.5</v>
      </c>
      <c r="DU24">
        <v>14</v>
      </c>
      <c r="DV24" s="1">
        <f t="shared" si="6"/>
        <v>7.286290322580645</v>
      </c>
      <c r="DW24" s="1">
        <f t="shared" si="7"/>
        <v>0.43541632753197385</v>
      </c>
      <c r="DZ24">
        <v>250122</v>
      </c>
      <c r="EA24">
        <v>4</v>
      </c>
      <c r="EB24">
        <v>0</v>
      </c>
      <c r="ED24">
        <v>1</v>
      </c>
      <c r="EK24">
        <f t="shared" si="1"/>
        <v>1</v>
      </c>
      <c r="EM24">
        <v>310822</v>
      </c>
      <c r="EN24">
        <v>8</v>
      </c>
      <c r="EO24">
        <v>0</v>
      </c>
      <c r="EX24">
        <f t="shared" si="2"/>
        <v>0</v>
      </c>
      <c r="FA24">
        <v>2604222</v>
      </c>
      <c r="FB24">
        <v>7</v>
      </c>
      <c r="FC24">
        <v>0</v>
      </c>
      <c r="FG24">
        <v>1</v>
      </c>
      <c r="FL24">
        <f>SUM(Supplementary_Fig7!FD24:FK24)</f>
        <v>1</v>
      </c>
      <c r="FO24" t="s">
        <v>411</v>
      </c>
      <c r="FQ24">
        <v>12.89</v>
      </c>
      <c r="FS24" t="s">
        <v>411</v>
      </c>
      <c r="FU24">
        <f t="shared" si="8"/>
        <v>8.1207000000000011</v>
      </c>
      <c r="FW24" t="s">
        <v>443</v>
      </c>
      <c r="FX24" t="s">
        <v>446</v>
      </c>
      <c r="FY24" s="8" t="s">
        <v>449</v>
      </c>
      <c r="FZ24" t="s">
        <v>452</v>
      </c>
      <c r="GA24" t="s">
        <v>455</v>
      </c>
      <c r="GH24" t="s">
        <v>395</v>
      </c>
      <c r="GJ24">
        <v>87.7</v>
      </c>
      <c r="GL24" t="s">
        <v>395</v>
      </c>
      <c r="GN24">
        <f t="shared" si="9"/>
        <v>55.251000000000005</v>
      </c>
      <c r="GQ24" t="s">
        <v>399</v>
      </c>
      <c r="GR24" t="s">
        <v>402</v>
      </c>
      <c r="GS24" t="s">
        <v>405</v>
      </c>
      <c r="GT24" t="s">
        <v>408</v>
      </c>
      <c r="GU24" t="s">
        <v>1060</v>
      </c>
      <c r="GV24" t="s">
        <v>412</v>
      </c>
      <c r="GW24" t="s">
        <v>1061</v>
      </c>
      <c r="GX24" t="s">
        <v>415</v>
      </c>
      <c r="GZ24" t="s">
        <v>413</v>
      </c>
      <c r="HA24">
        <v>50.16</v>
      </c>
      <c r="HD24" t="s">
        <v>413</v>
      </c>
      <c r="HE24">
        <f>63*Supplementary_Fig7!HA24/100</f>
        <v>31.6008</v>
      </c>
      <c r="HJ24" s="1">
        <f>AVERAGE(Supplementary_Fig7!HJ20:HJ23)</f>
        <v>58.576574999999991</v>
      </c>
      <c r="HK24" s="1">
        <f>AVERAGE(Supplementary_Fig7!HK20:HK23)</f>
        <v>39.709949999999999</v>
      </c>
      <c r="HL24" s="1">
        <f>AVERAGE(Supplementary_Fig7!HL20:HL23)</f>
        <v>41.870750000000001</v>
      </c>
      <c r="HM24" s="1">
        <f>AVERAGE(Supplementary_Fig7!HM20:HM23)</f>
        <v>40.451375000000006</v>
      </c>
      <c r="HV24" t="s">
        <v>407</v>
      </c>
      <c r="HW24">
        <v>61.33</v>
      </c>
      <c r="HZ24">
        <v>87.942499999999995</v>
      </c>
      <c r="IA24">
        <v>76.556399999999996</v>
      </c>
      <c r="IB24">
        <v>77.024799999999999</v>
      </c>
      <c r="IC24">
        <v>76.6678</v>
      </c>
      <c r="ID24">
        <v>76.922600000000003</v>
      </c>
      <c r="IE24">
        <v>57.153300000000002</v>
      </c>
      <c r="IF24">
        <v>70.176699999999997</v>
      </c>
      <c r="IG24">
        <v>89.155600000000007</v>
      </c>
      <c r="IH24">
        <v>90.7166</v>
      </c>
      <c r="II24">
        <v>76.290899999999993</v>
      </c>
      <c r="IJ24">
        <v>72.727999999999994</v>
      </c>
      <c r="IK24">
        <v>85.571299999999994</v>
      </c>
      <c r="IX24" t="s">
        <v>395</v>
      </c>
      <c r="IY24">
        <v>119.43</v>
      </c>
      <c r="JB24">
        <v>99.992400000000004</v>
      </c>
      <c r="JC24">
        <v>100.264</v>
      </c>
      <c r="JD24">
        <v>93.437200000000004</v>
      </c>
      <c r="JE24">
        <v>93.626400000000004</v>
      </c>
      <c r="JG24">
        <v>81.1798</v>
      </c>
      <c r="JH24">
        <v>113.58199999999999</v>
      </c>
      <c r="JI24">
        <v>119.499</v>
      </c>
      <c r="JJ24">
        <v>96.357699999999994</v>
      </c>
      <c r="JK24">
        <v>84.014899999999997</v>
      </c>
      <c r="JL24">
        <v>95.162999999999997</v>
      </c>
      <c r="JM24">
        <v>99.502600000000001</v>
      </c>
      <c r="JO24">
        <v>96.806299999999993</v>
      </c>
      <c r="JQ24">
        <v>92.210400000000007</v>
      </c>
      <c r="JV24" t="s">
        <v>413</v>
      </c>
      <c r="JW24">
        <v>100.16</v>
      </c>
      <c r="JZ24">
        <v>110.02800000000001</v>
      </c>
      <c r="KA24">
        <v>91.626000000000005</v>
      </c>
      <c r="KB24">
        <v>80.938699999999997</v>
      </c>
      <c r="KC24">
        <v>94.526700000000005</v>
      </c>
      <c r="KD24">
        <v>99.914599999999993</v>
      </c>
      <c r="KE24">
        <v>73.840299999999999</v>
      </c>
      <c r="KF24">
        <v>101.27</v>
      </c>
      <c r="KG24">
        <v>77.670299999999997</v>
      </c>
      <c r="KJ24">
        <v>115.352</v>
      </c>
      <c r="KK24">
        <v>112.53100000000001</v>
      </c>
      <c r="KL24">
        <v>122.485</v>
      </c>
      <c r="KM24">
        <v>104.07299999999999</v>
      </c>
      <c r="KN24">
        <v>96.467600000000004</v>
      </c>
      <c r="KO24">
        <v>90.444900000000004</v>
      </c>
      <c r="KP24">
        <v>96.841399999999993</v>
      </c>
      <c r="KQ24">
        <v>95.257599999999996</v>
      </c>
      <c r="KT24" t="s">
        <v>407</v>
      </c>
      <c r="KU24">
        <v>3.16</v>
      </c>
      <c r="KY24">
        <v>1.9891099999999999</v>
      </c>
      <c r="KZ24">
        <v>1.9987999999999999</v>
      </c>
      <c r="LA24">
        <v>2.1694100000000001</v>
      </c>
      <c r="LB24">
        <v>2.2633899999999998</v>
      </c>
      <c r="LC24">
        <v>2.9671799999999999</v>
      </c>
      <c r="LD24">
        <v>2.8924500000000002</v>
      </c>
      <c r="LE24">
        <v>2.6696200000000001</v>
      </c>
      <c r="LF24">
        <v>1.6456900000000001</v>
      </c>
      <c r="LG24">
        <v>2.6988599999999998</v>
      </c>
      <c r="LH24">
        <v>2.0893600000000001</v>
      </c>
      <c r="LI24">
        <v>1.83996</v>
      </c>
      <c r="LJ24">
        <v>2.3224499999999999</v>
      </c>
      <c r="LK24">
        <v>2.00163</v>
      </c>
      <c r="LL24">
        <v>1.54267</v>
      </c>
      <c r="LM24">
        <v>3.8995199999999999</v>
      </c>
      <c r="LW24" t="s">
        <v>395</v>
      </c>
      <c r="LX24">
        <v>1.865</v>
      </c>
      <c r="MB24">
        <v>1.62052</v>
      </c>
      <c r="MC24">
        <v>1.5639700000000001</v>
      </c>
      <c r="MD24">
        <v>1.5158199999999999</v>
      </c>
      <c r="ME24">
        <v>1.48811</v>
      </c>
      <c r="MF24">
        <v>1.6539999999999999</v>
      </c>
      <c r="MG24">
        <v>1.74847</v>
      </c>
      <c r="MH24">
        <v>1.7869900000000001</v>
      </c>
      <c r="MI24">
        <v>1.8985700000000001</v>
      </c>
      <c r="MJ24">
        <v>1.97706</v>
      </c>
      <c r="MK24">
        <v>1.81037</v>
      </c>
      <c r="ML24">
        <v>1.6601399999999999</v>
      </c>
      <c r="MM24">
        <v>1.89849</v>
      </c>
      <c r="MN24">
        <v>1.7978499999999999</v>
      </c>
      <c r="MO24">
        <v>1.92774</v>
      </c>
      <c r="MP24">
        <v>1.75414</v>
      </c>
      <c r="MQ24">
        <v>1.6192800000000001</v>
      </c>
      <c r="MR24">
        <v>1.47746</v>
      </c>
      <c r="MS24">
        <v>1.7470399999999999</v>
      </c>
      <c r="MT24">
        <v>1.6850000000000001</v>
      </c>
      <c r="MU24">
        <v>1.82203</v>
      </c>
      <c r="MV24">
        <v>0.99860899999999997</v>
      </c>
      <c r="MW24">
        <v>2.04223</v>
      </c>
      <c r="MZ24" t="s">
        <v>413</v>
      </c>
      <c r="NA24">
        <v>1.1499999999999999</v>
      </c>
      <c r="ND24">
        <v>1.16875</v>
      </c>
      <c r="NE24">
        <v>1.40459</v>
      </c>
      <c r="NF24">
        <v>1.1558200000000001</v>
      </c>
      <c r="NG24">
        <v>1.6976199999999999</v>
      </c>
      <c r="NJ24">
        <v>1.1418600000000001</v>
      </c>
      <c r="NK24">
        <v>1.61033</v>
      </c>
      <c r="NL24">
        <f>AVERAGE(Supplementary_Fig7!NL22:NL23)</f>
        <v>1.5273400000000001</v>
      </c>
      <c r="NM24">
        <v>1.71865</v>
      </c>
      <c r="NN24">
        <v>1.4133100000000001</v>
      </c>
      <c r="NO24">
        <v>1.3370500000000001</v>
      </c>
      <c r="NP24">
        <v>1.5061500000000001</v>
      </c>
      <c r="NQ24">
        <v>1.61782</v>
      </c>
      <c r="NZ24" t="s">
        <v>411</v>
      </c>
      <c r="OA24">
        <v>116.789</v>
      </c>
      <c r="OC24" t="s">
        <v>395</v>
      </c>
      <c r="OD24">
        <v>311.60000000000002</v>
      </c>
      <c r="OF24" t="s">
        <v>413</v>
      </c>
      <c r="OG24">
        <v>408.48099999999999</v>
      </c>
      <c r="OI24">
        <v>250122</v>
      </c>
      <c r="OJ24">
        <v>4</v>
      </c>
      <c r="OK24">
        <v>0</v>
      </c>
      <c r="PD24">
        <v>-87.77</v>
      </c>
      <c r="PE24">
        <v>6.98</v>
      </c>
      <c r="PH24">
        <v>310822</v>
      </c>
      <c r="PI24">
        <v>8</v>
      </c>
      <c r="PJ24">
        <v>0</v>
      </c>
      <c r="PK24">
        <v>5.07</v>
      </c>
      <c r="PL24">
        <v>-96.84</v>
      </c>
      <c r="PM24">
        <v>3.03</v>
      </c>
      <c r="PN24">
        <v>-94.73</v>
      </c>
      <c r="PO24">
        <v>3.31</v>
      </c>
      <c r="PP24">
        <v>-92.86</v>
      </c>
      <c r="PU24">
        <v>2.85</v>
      </c>
      <c r="PV24">
        <v>-94.15</v>
      </c>
      <c r="PW24">
        <v>3.56</v>
      </c>
      <c r="PX24">
        <v>-94.74</v>
      </c>
      <c r="PY24">
        <v>6.09</v>
      </c>
      <c r="PZ24">
        <v>-96.93</v>
      </c>
      <c r="QC24">
        <v>-89.26</v>
      </c>
      <c r="QD24">
        <v>4.5599999999999996</v>
      </c>
      <c r="QF24">
        <v>2604222</v>
      </c>
      <c r="QG24">
        <v>7</v>
      </c>
      <c r="QH24">
        <f>AVERAGE(Supplementary_Fig7!QH22:QH23)</f>
        <v>0</v>
      </c>
      <c r="QI24">
        <v>3.98</v>
      </c>
      <c r="QJ24">
        <v>-84.4</v>
      </c>
      <c r="QU24">
        <v>3.75</v>
      </c>
      <c r="QV24">
        <v>-88.17</v>
      </c>
      <c r="QW24">
        <v>2.79</v>
      </c>
      <c r="QX24">
        <v>-87.74</v>
      </c>
      <c r="RA24">
        <v>-80.92</v>
      </c>
      <c r="RB24">
        <v>1.37</v>
      </c>
    </row>
    <row r="25" spans="1:470" x14ac:dyDescent="0.35">
      <c r="DZ25">
        <v>2501222</v>
      </c>
      <c r="EA25">
        <v>8</v>
      </c>
      <c r="EB25">
        <v>0</v>
      </c>
      <c r="EE25">
        <v>1</v>
      </c>
      <c r="EF25">
        <v>1</v>
      </c>
      <c r="EI25">
        <v>1</v>
      </c>
      <c r="EK25">
        <f t="shared" si="1"/>
        <v>3</v>
      </c>
      <c r="EM25">
        <v>109222</v>
      </c>
      <c r="EN25">
        <v>7</v>
      </c>
      <c r="EO25">
        <v>0</v>
      </c>
      <c r="ES25">
        <v>1</v>
      </c>
      <c r="ET25">
        <v>1</v>
      </c>
      <c r="EX25">
        <f t="shared" si="2"/>
        <v>2</v>
      </c>
      <c r="FA25">
        <v>280422</v>
      </c>
      <c r="FB25">
        <v>6</v>
      </c>
      <c r="FC25">
        <v>0</v>
      </c>
      <c r="FL25">
        <f>SUM(Supplementary_Fig7!FD25:FK25)</f>
        <v>0</v>
      </c>
      <c r="FO25" t="s">
        <v>414</v>
      </c>
      <c r="FQ25">
        <v>81.400000000000006</v>
      </c>
      <c r="FS25" t="s">
        <v>414</v>
      </c>
      <c r="FU25">
        <f t="shared" si="8"/>
        <v>51.282000000000011</v>
      </c>
      <c r="FW25">
        <v>74.126900000000006</v>
      </c>
      <c r="FX25">
        <v>28.8994</v>
      </c>
      <c r="FY25">
        <v>48.012</v>
      </c>
      <c r="FZ25">
        <v>56.7834</v>
      </c>
      <c r="GA25">
        <v>84.570999999999998</v>
      </c>
      <c r="GH25" t="s">
        <v>399</v>
      </c>
      <c r="GJ25">
        <v>79.13</v>
      </c>
      <c r="GL25" t="s">
        <v>399</v>
      </c>
      <c r="GN25">
        <f t="shared" si="9"/>
        <v>49.851899999999993</v>
      </c>
      <c r="GQ25">
        <v>62.121899999999997</v>
      </c>
      <c r="GR25">
        <v>56.5381</v>
      </c>
      <c r="GS25">
        <v>95.888300000000001</v>
      </c>
      <c r="GT25">
        <v>62.257899999999999</v>
      </c>
      <c r="GU25">
        <v>98.564099999999996</v>
      </c>
      <c r="GV25">
        <v>93.717600000000004</v>
      </c>
      <c r="GW25">
        <v>22.997499999999999</v>
      </c>
      <c r="GX25">
        <v>48.452399999999997</v>
      </c>
      <c r="GZ25" t="s">
        <v>416</v>
      </c>
      <c r="HD25" t="s">
        <v>416</v>
      </c>
      <c r="HV25" t="s">
        <v>411</v>
      </c>
      <c r="HW25">
        <v>75.66</v>
      </c>
      <c r="HZ25">
        <v>88.240099999999998</v>
      </c>
      <c r="IA25">
        <v>75.636300000000006</v>
      </c>
      <c r="IB25">
        <v>76.531999999999996</v>
      </c>
      <c r="IC25">
        <v>75.529499999999999</v>
      </c>
      <c r="ID25">
        <v>75</v>
      </c>
      <c r="IE25">
        <v>55.348199999999999</v>
      </c>
      <c r="IF25">
        <v>69.552599999999998</v>
      </c>
      <c r="IG25">
        <v>88.485699999999994</v>
      </c>
      <c r="IH25">
        <v>89.623999999999995</v>
      </c>
      <c r="II25">
        <v>76.6357</v>
      </c>
      <c r="IJ25">
        <v>71.328699999999998</v>
      </c>
      <c r="IK25">
        <v>82.652299999999997</v>
      </c>
      <c r="IX25" t="s">
        <v>399</v>
      </c>
      <c r="IY25">
        <v>96.41</v>
      </c>
      <c r="JB25">
        <v>100.197</v>
      </c>
      <c r="JC25">
        <v>124.60599999999999</v>
      </c>
      <c r="JD25">
        <v>92.2577</v>
      </c>
      <c r="JE25">
        <v>95.121799999999993</v>
      </c>
      <c r="JG25">
        <v>80.859399999999994</v>
      </c>
      <c r="JH25">
        <v>113.518</v>
      </c>
      <c r="JI25">
        <v>121.20399999999999</v>
      </c>
      <c r="JJ25">
        <v>96.655299999999997</v>
      </c>
      <c r="JK25">
        <v>86.120599999999996</v>
      </c>
      <c r="JL25">
        <v>97.242699999999999</v>
      </c>
      <c r="JM25">
        <v>98.181200000000004</v>
      </c>
      <c r="JO25">
        <v>97.364800000000002</v>
      </c>
      <c r="JQ25">
        <v>93.829300000000003</v>
      </c>
      <c r="JV25" t="s">
        <v>416</v>
      </c>
      <c r="JW25">
        <v>76.400000000000006</v>
      </c>
      <c r="JZ25">
        <v>86.904899999999998</v>
      </c>
      <c r="KA25">
        <v>89.392099999999999</v>
      </c>
      <c r="KB25">
        <v>90.914900000000003</v>
      </c>
      <c r="KC25">
        <v>101.161</v>
      </c>
      <c r="KD25">
        <v>99.192800000000005</v>
      </c>
      <c r="KE25">
        <v>72.398399999999995</v>
      </c>
      <c r="KF25">
        <v>100.896</v>
      </c>
      <c r="KG25">
        <v>78.1845</v>
      </c>
      <c r="KJ25">
        <v>117.38</v>
      </c>
      <c r="KK25">
        <v>114.38</v>
      </c>
      <c r="KL25">
        <f>AVERAGE(Supplementary_Fig7!KL23:KL24)</f>
        <v>121.167</v>
      </c>
      <c r="KM25">
        <v>81.424000000000007</v>
      </c>
      <c r="KN25">
        <v>96.11</v>
      </c>
      <c r="KO25">
        <v>92.314099999999996</v>
      </c>
      <c r="KP25">
        <v>99.107399999999998</v>
      </c>
      <c r="KQ25">
        <v>97.058099999999996</v>
      </c>
      <c r="KT25" t="s">
        <v>411</v>
      </c>
      <c r="KU25">
        <v>2.93</v>
      </c>
      <c r="KY25">
        <v>1.9648099999999999</v>
      </c>
      <c r="KZ25">
        <v>2.0184500000000001</v>
      </c>
      <c r="LA25">
        <v>2.0941299999999998</v>
      </c>
      <c r="LB25">
        <v>2.3173699999999999</v>
      </c>
      <c r="LC25">
        <v>3.65923</v>
      </c>
      <c r="LD25">
        <v>2.8867500000000001</v>
      </c>
      <c r="LE25">
        <v>2.6384799999999999</v>
      </c>
      <c r="LF25">
        <v>1.6887000000000001</v>
      </c>
      <c r="LG25">
        <v>2.5318399999999999</v>
      </c>
      <c r="LH25">
        <v>2.0397400000000001</v>
      </c>
      <c r="LI25">
        <v>1.95137</v>
      </c>
      <c r="LJ25">
        <v>3.0569000000000002</v>
      </c>
      <c r="LK25">
        <v>1.97315</v>
      </c>
      <c r="LL25">
        <v>3.14019</v>
      </c>
      <c r="LM25">
        <v>3.1116899999999998</v>
      </c>
      <c r="LW25" t="s">
        <v>399</v>
      </c>
      <c r="LX25">
        <v>1.64</v>
      </c>
      <c r="MB25">
        <v>1.6507099999999999</v>
      </c>
      <c r="MC25">
        <v>1.5729599999999999</v>
      </c>
      <c r="MD25">
        <v>1.5527500000000001</v>
      </c>
      <c r="ME25">
        <v>1.4919899999999999</v>
      </c>
      <c r="MF25">
        <v>1.69373</v>
      </c>
      <c r="MG25">
        <v>1.78881</v>
      </c>
      <c r="MH25">
        <v>1.75685</v>
      </c>
      <c r="MI25">
        <v>1.9178999999999999</v>
      </c>
      <c r="MJ25">
        <v>1.9503699999999999</v>
      </c>
      <c r="MK25">
        <v>1.8174999999999999</v>
      </c>
      <c r="ML25">
        <v>1.78982</v>
      </c>
      <c r="MM25">
        <v>1.9033</v>
      </c>
      <c r="MN25">
        <v>1.70208</v>
      </c>
      <c r="MO25">
        <v>1.90899</v>
      </c>
      <c r="MP25">
        <v>1.81901</v>
      </c>
      <c r="MQ25">
        <v>1.6318600000000001</v>
      </c>
      <c r="MR25">
        <v>1.45492</v>
      </c>
      <c r="MS25">
        <v>1.7558199999999999</v>
      </c>
      <c r="MT25">
        <v>1.66198</v>
      </c>
      <c r="MU25">
        <v>1.8227</v>
      </c>
      <c r="MV25">
        <v>1.02206</v>
      </c>
      <c r="MW25">
        <v>2.1436299999999999</v>
      </c>
      <c r="MZ25" t="s">
        <v>416</v>
      </c>
      <c r="NA25">
        <v>1.4</v>
      </c>
      <c r="ND25">
        <v>1.1576200000000001</v>
      </c>
      <c r="NE25">
        <v>1.4028</v>
      </c>
      <c r="NF25">
        <v>1.16275</v>
      </c>
      <c r="NG25">
        <v>1.65801</v>
      </c>
      <c r="NJ25">
        <v>1.14236</v>
      </c>
      <c r="NK25">
        <v>1.67726</v>
      </c>
      <c r="NM25">
        <v>1.7331399999999999</v>
      </c>
      <c r="NN25">
        <f>AVERAGE(Supplementary_Fig7!NN22:NN24)</f>
        <v>1.4056600000000001</v>
      </c>
      <c r="NO25">
        <v>1.4548700000000001</v>
      </c>
      <c r="NP25">
        <v>1.54091</v>
      </c>
      <c r="NQ25">
        <v>1.5315700000000001</v>
      </c>
      <c r="NZ25" t="s">
        <v>414</v>
      </c>
      <c r="OA25">
        <v>118.742</v>
      </c>
      <c r="OC25" t="s">
        <v>399</v>
      </c>
      <c r="OD25">
        <v>282.11200000000002</v>
      </c>
      <c r="OF25" t="s">
        <v>416</v>
      </c>
      <c r="OG25">
        <v>189.316</v>
      </c>
      <c r="OI25">
        <v>2501222</v>
      </c>
      <c r="OJ25">
        <v>8</v>
      </c>
      <c r="OK25">
        <v>0</v>
      </c>
      <c r="OL25">
        <v>6.11</v>
      </c>
      <c r="OM25">
        <v>-94.37</v>
      </c>
      <c r="ON25">
        <v>13.24</v>
      </c>
      <c r="OO25">
        <v>-98.91</v>
      </c>
      <c r="OP25">
        <v>8.5</v>
      </c>
      <c r="OQ25">
        <v>-97.36</v>
      </c>
      <c r="OR25">
        <v>5.8</v>
      </c>
      <c r="OS25">
        <v>-98.47</v>
      </c>
      <c r="OT25">
        <v>8.7899999999999991</v>
      </c>
      <c r="OU25">
        <v>-96.09</v>
      </c>
      <c r="OV25">
        <v>3.64</v>
      </c>
      <c r="OW25">
        <v>-86.92</v>
      </c>
      <c r="OX25">
        <v>7.25</v>
      </c>
      <c r="OY25">
        <v>-94.55</v>
      </c>
      <c r="OZ25">
        <v>5.46</v>
      </c>
      <c r="PA25">
        <v>-95.19</v>
      </c>
      <c r="PD25">
        <v>-88.12</v>
      </c>
      <c r="PE25">
        <v>8.34</v>
      </c>
      <c r="PH25">
        <v>109222</v>
      </c>
      <c r="PI25">
        <v>7</v>
      </c>
      <c r="PJ25">
        <v>0</v>
      </c>
      <c r="PK25">
        <v>3.45</v>
      </c>
      <c r="PL25">
        <v>-99.73</v>
      </c>
      <c r="PM25">
        <v>4.84</v>
      </c>
      <c r="PN25">
        <v>-98.77</v>
      </c>
      <c r="PO25">
        <v>3.5</v>
      </c>
      <c r="PP25">
        <v>-96.92</v>
      </c>
      <c r="PS25">
        <v>1.97</v>
      </c>
      <c r="PT25">
        <v>-94.59</v>
      </c>
      <c r="PW25">
        <v>3.8</v>
      </c>
      <c r="PX25">
        <v>-100</v>
      </c>
      <c r="PY25">
        <v>1.96</v>
      </c>
      <c r="PZ25">
        <v>-98.13</v>
      </c>
      <c r="QB25">
        <v>1</v>
      </c>
      <c r="QC25">
        <v>-89.42</v>
      </c>
      <c r="QD25">
        <v>3.46</v>
      </c>
      <c r="QF25">
        <v>280422</v>
      </c>
      <c r="QG25">
        <v>6</v>
      </c>
      <c r="QH25">
        <v>0</v>
      </c>
      <c r="QI25">
        <v>2.37</v>
      </c>
      <c r="QJ25">
        <v>-76</v>
      </c>
      <c r="QO25">
        <v>1.71</v>
      </c>
      <c r="QP25">
        <v>-89.73</v>
      </c>
      <c r="QW25">
        <v>3.09</v>
      </c>
      <c r="QX25">
        <v>-82.86</v>
      </c>
      <c r="RA25">
        <v>-80.989999999999995</v>
      </c>
      <c r="RB25">
        <v>3.79</v>
      </c>
    </row>
    <row r="26" spans="1:470" ht="13.15" x14ac:dyDescent="0.4">
      <c r="A26" s="35" t="s">
        <v>1062</v>
      </c>
      <c r="DZ26">
        <v>260122</v>
      </c>
      <c r="EA26">
        <v>6</v>
      </c>
      <c r="EB26">
        <v>0</v>
      </c>
      <c r="EF26">
        <v>1</v>
      </c>
      <c r="EI26">
        <v>1</v>
      </c>
      <c r="EK26">
        <f t="shared" si="1"/>
        <v>2</v>
      </c>
      <c r="EM26">
        <v>50723</v>
      </c>
      <c r="EN26">
        <v>7</v>
      </c>
      <c r="EO26">
        <v>0</v>
      </c>
      <c r="EX26">
        <f t="shared" si="2"/>
        <v>0</v>
      </c>
      <c r="FA26">
        <v>2804222</v>
      </c>
      <c r="FB26">
        <v>7</v>
      </c>
      <c r="FC26">
        <v>0</v>
      </c>
      <c r="FH26">
        <v>1</v>
      </c>
      <c r="FL26">
        <f>SUM(Supplementary_Fig7!FD26:FK26)</f>
        <v>1</v>
      </c>
      <c r="FO26" t="s">
        <v>417</v>
      </c>
      <c r="FQ26">
        <v>84.93</v>
      </c>
      <c r="FS26" t="s">
        <v>417</v>
      </c>
      <c r="FU26">
        <f t="shared" si="8"/>
        <v>53.505900000000004</v>
      </c>
      <c r="FW26">
        <v>67.096999999999994</v>
      </c>
      <c r="FX26">
        <v>36.124000000000002</v>
      </c>
      <c r="FY26">
        <v>36.652299999999997</v>
      </c>
      <c r="FZ26">
        <v>56.114699999999999</v>
      </c>
      <c r="GA26">
        <v>68.778599999999997</v>
      </c>
      <c r="GH26" t="s">
        <v>402</v>
      </c>
      <c r="GJ26">
        <v>58.91</v>
      </c>
      <c r="GL26" t="s">
        <v>402</v>
      </c>
      <c r="GN26">
        <f t="shared" si="9"/>
        <v>37.113300000000002</v>
      </c>
      <c r="GQ26">
        <v>107.143</v>
      </c>
      <c r="GR26">
        <v>80.467100000000002</v>
      </c>
      <c r="GS26">
        <v>100.73099999999999</v>
      </c>
      <c r="GT26">
        <v>71.194999999999993</v>
      </c>
      <c r="GU26">
        <v>78.493700000000004</v>
      </c>
      <c r="GV26">
        <v>100.08</v>
      </c>
      <c r="GW26">
        <v>20.2193</v>
      </c>
      <c r="GX26">
        <v>103.96599999999999</v>
      </c>
      <c r="GZ26" t="s">
        <v>419</v>
      </c>
      <c r="HB26">
        <v>39.19</v>
      </c>
      <c r="HD26" t="s">
        <v>419</v>
      </c>
      <c r="HF26">
        <f>63*Supplementary_Fig7!HB26/100</f>
        <v>24.689699999999998</v>
      </c>
      <c r="HJ26" t="s">
        <v>413</v>
      </c>
      <c r="HK26" t="s">
        <v>416</v>
      </c>
      <c r="HL26" t="s">
        <v>419</v>
      </c>
      <c r="HM26" t="s">
        <v>423</v>
      </c>
      <c r="HN26" t="s">
        <v>427</v>
      </c>
      <c r="HO26" t="s">
        <v>430</v>
      </c>
      <c r="HP26" t="s">
        <v>433</v>
      </c>
      <c r="HQ26" t="s">
        <v>436</v>
      </c>
      <c r="HV26" t="s">
        <v>414</v>
      </c>
      <c r="HW26">
        <v>85.89</v>
      </c>
      <c r="HZ26">
        <v>60.246299999999998</v>
      </c>
      <c r="IA26">
        <v>74.029499999999999</v>
      </c>
      <c r="IB26">
        <v>77.302599999999998</v>
      </c>
      <c r="IC26">
        <v>77.114900000000006</v>
      </c>
      <c r="ID26">
        <v>75.196799999999996</v>
      </c>
      <c r="IE26">
        <v>54.896500000000003</v>
      </c>
      <c r="IF26">
        <v>82.176199999999994</v>
      </c>
      <c r="IG26">
        <v>89.120500000000007</v>
      </c>
      <c r="IH26">
        <v>87.939499999999995</v>
      </c>
      <c r="II26">
        <v>78.935199999999995</v>
      </c>
      <c r="IJ26">
        <v>72.541799999999995</v>
      </c>
      <c r="IK26">
        <v>81.027199999999993</v>
      </c>
      <c r="IX26" t="s">
        <v>402</v>
      </c>
      <c r="IY26">
        <v>84.49</v>
      </c>
      <c r="JB26">
        <v>101.55200000000001</v>
      </c>
      <c r="JC26">
        <v>124.00700000000001</v>
      </c>
      <c r="JD26">
        <v>91.381799999999998</v>
      </c>
      <c r="JE26">
        <v>95.721400000000003</v>
      </c>
      <c r="JG26">
        <v>116.881</v>
      </c>
      <c r="JH26">
        <v>114.7</v>
      </c>
      <c r="JI26">
        <v>122.232</v>
      </c>
      <c r="JJ26">
        <v>97.0505</v>
      </c>
      <c r="JK26">
        <v>85.047899999999998</v>
      </c>
      <c r="JL26">
        <v>97.854600000000005</v>
      </c>
      <c r="JM26">
        <v>98.750299999999996</v>
      </c>
      <c r="JO26">
        <v>95.852699999999999</v>
      </c>
      <c r="JQ26">
        <v>93.6798</v>
      </c>
      <c r="JV26" t="s">
        <v>419</v>
      </c>
      <c r="JW26">
        <v>101.39</v>
      </c>
      <c r="JZ26">
        <v>109.68</v>
      </c>
      <c r="KA26">
        <v>104.01600000000001</v>
      </c>
      <c r="KB26">
        <v>101.956</v>
      </c>
      <c r="KC26">
        <v>101.863</v>
      </c>
      <c r="KD26">
        <v>100.36199999999999</v>
      </c>
      <c r="KE26">
        <v>74.461399999999998</v>
      </c>
      <c r="KF26">
        <v>102.711</v>
      </c>
      <c r="KG26">
        <v>87.431299999999993</v>
      </c>
      <c r="KJ26">
        <v>116.977</v>
      </c>
      <c r="KK26">
        <v>116.15600000000001</v>
      </c>
      <c r="KM26">
        <v>81.408699999999996</v>
      </c>
      <c r="KN26">
        <f>AVERAGE(Supplementary_Fig7!KN23:KN25)</f>
        <v>95.40336666666667</v>
      </c>
      <c r="KO26">
        <v>91.047700000000006</v>
      </c>
      <c r="KP26">
        <v>99.374399999999994</v>
      </c>
      <c r="KQ26">
        <v>96.574399999999997</v>
      </c>
      <c r="KT26" t="s">
        <v>414</v>
      </c>
      <c r="KU26">
        <v>2.56</v>
      </c>
      <c r="KY26">
        <v>1.92571</v>
      </c>
      <c r="KZ26">
        <v>1.9111499999999999</v>
      </c>
      <c r="LA26">
        <v>3.0276299999999998</v>
      </c>
      <c r="LB26">
        <v>2.2647499999999998</v>
      </c>
      <c r="LC26">
        <v>3.3459300000000001</v>
      </c>
      <c r="LD26">
        <v>3.1019199999999998</v>
      </c>
      <c r="LE26">
        <v>2.6640799999999998</v>
      </c>
      <c r="LF26">
        <v>1.65893</v>
      </c>
      <c r="LG26">
        <v>2.8061099999999999</v>
      </c>
      <c r="LH26">
        <v>2.5849099999999998</v>
      </c>
      <c r="LI26">
        <v>1.85076</v>
      </c>
      <c r="LJ26">
        <v>2.41655</v>
      </c>
      <c r="LK26">
        <v>1.96631</v>
      </c>
      <c r="LL26">
        <v>2.0385800000000001</v>
      </c>
      <c r="LM26">
        <v>3.01728</v>
      </c>
      <c r="LW26" t="s">
        <v>402</v>
      </c>
      <c r="LX26">
        <v>1.59</v>
      </c>
      <c r="MB26">
        <v>1.64368</v>
      </c>
      <c r="MC26">
        <v>1.6133</v>
      </c>
      <c r="MD26">
        <v>1.5518400000000001</v>
      </c>
      <c r="ME26">
        <v>1.48275</v>
      </c>
      <c r="MF26">
        <v>1.66492</v>
      </c>
      <c r="MG26">
        <v>1.8507</v>
      </c>
      <c r="MH26">
        <v>1.8008999999999999</v>
      </c>
      <c r="MI26">
        <v>1.9131800000000001</v>
      </c>
      <c r="MJ26">
        <v>1.9141600000000001</v>
      </c>
      <c r="MK26">
        <v>1.8052600000000001</v>
      </c>
      <c r="ML26">
        <v>1.7724599999999999</v>
      </c>
      <c r="MM26">
        <v>1.8740399999999999</v>
      </c>
      <c r="MN26">
        <v>1.74969</v>
      </c>
      <c r="MO26">
        <v>1.92018</v>
      </c>
      <c r="MP26">
        <v>1.8371</v>
      </c>
      <c r="MQ26">
        <v>1.6214</v>
      </c>
      <c r="MS26">
        <v>1.7849299999999999</v>
      </c>
      <c r="MT26">
        <v>1.70831</v>
      </c>
      <c r="MU26">
        <v>1.8168599999999999</v>
      </c>
      <c r="MV26">
        <v>0.99528000000000005</v>
      </c>
      <c r="MW26">
        <v>2.1962600000000001</v>
      </c>
      <c r="MZ26" t="s">
        <v>419</v>
      </c>
      <c r="NA26">
        <v>1.1499999999999999</v>
      </c>
      <c r="ND26">
        <v>1.16093</v>
      </c>
      <c r="NE26">
        <v>1.4096299999999999</v>
      </c>
      <c r="NF26">
        <v>1.1597299999999999</v>
      </c>
      <c r="NG26">
        <v>1.67947</v>
      </c>
      <c r="NJ26">
        <f>AVERAGE(Supplementary_Fig7!NJ22:NJ25)</f>
        <v>1.14577</v>
      </c>
      <c r="NK26">
        <v>1.5259199999999999</v>
      </c>
      <c r="NM26">
        <v>1.8015699999999999</v>
      </c>
      <c r="NO26">
        <v>1.4721900000000001</v>
      </c>
      <c r="NP26">
        <v>1.5200199999999999</v>
      </c>
      <c r="NQ26">
        <v>1.54667</v>
      </c>
      <c r="NZ26" t="s">
        <v>417</v>
      </c>
      <c r="OA26">
        <v>254.05699999999999</v>
      </c>
      <c r="OC26" t="s">
        <v>402</v>
      </c>
      <c r="OD26">
        <v>231.136</v>
      </c>
      <c r="OF26" t="s">
        <v>419</v>
      </c>
      <c r="OG26">
        <v>338.95</v>
      </c>
      <c r="OI26">
        <v>260122</v>
      </c>
      <c r="OJ26">
        <v>6</v>
      </c>
      <c r="OK26">
        <v>0</v>
      </c>
      <c r="OL26">
        <v>12.17</v>
      </c>
      <c r="OM26">
        <v>-93.34</v>
      </c>
      <c r="OP26">
        <v>5.57</v>
      </c>
      <c r="OQ26">
        <v>-90.96</v>
      </c>
      <c r="OR26">
        <v>9.0500000000000007</v>
      </c>
      <c r="OS26">
        <v>-100</v>
      </c>
      <c r="OX26">
        <v>4.03</v>
      </c>
      <c r="OY26">
        <v>-80.790000000000006</v>
      </c>
      <c r="PD26">
        <v>-88.24</v>
      </c>
      <c r="PE26">
        <v>3.87</v>
      </c>
      <c r="PH26">
        <v>50723</v>
      </c>
      <c r="PI26">
        <v>7</v>
      </c>
      <c r="PJ26">
        <v>0</v>
      </c>
      <c r="PK26">
        <v>4.87</v>
      </c>
      <c r="PL26">
        <v>-99.47</v>
      </c>
      <c r="PM26">
        <v>3.14</v>
      </c>
      <c r="PN26">
        <v>-88.19</v>
      </c>
      <c r="PU26">
        <v>3.5</v>
      </c>
      <c r="PV26">
        <v>-94.19</v>
      </c>
      <c r="PW26">
        <v>8.43</v>
      </c>
      <c r="PX26">
        <v>-96.8</v>
      </c>
      <c r="PY26">
        <v>4.7300000000000004</v>
      </c>
      <c r="PZ26">
        <v>-90.55</v>
      </c>
      <c r="QC26">
        <v>-89.49</v>
      </c>
      <c r="QD26">
        <v>2.1800000000000002</v>
      </c>
      <c r="QF26">
        <v>2804222</v>
      </c>
      <c r="QG26">
        <v>7</v>
      </c>
      <c r="QH26">
        <v>0</v>
      </c>
      <c r="QI26">
        <v>2.09</v>
      </c>
      <c r="QJ26">
        <v>-87.08</v>
      </c>
      <c r="QO26">
        <v>1.49</v>
      </c>
      <c r="QP26">
        <v>-87.34</v>
      </c>
      <c r="QU26">
        <v>4.0199999999999996</v>
      </c>
      <c r="QV26">
        <v>-91.47</v>
      </c>
      <c r="QW26">
        <v>2.2200000000000002</v>
      </c>
      <c r="QX26">
        <v>-100</v>
      </c>
      <c r="RA26">
        <v>-81</v>
      </c>
      <c r="RB26">
        <v>1.86</v>
      </c>
    </row>
    <row r="27" spans="1:470" x14ac:dyDescent="0.35">
      <c r="DZ27">
        <v>2601222</v>
      </c>
      <c r="EA27">
        <v>6</v>
      </c>
      <c r="EB27">
        <v>0</v>
      </c>
      <c r="EC27">
        <v>1</v>
      </c>
      <c r="EG27">
        <v>1</v>
      </c>
      <c r="EI27">
        <v>1</v>
      </c>
      <c r="EK27">
        <f t="shared" si="1"/>
        <v>3</v>
      </c>
      <c r="EM27">
        <v>507232</v>
      </c>
      <c r="EN27">
        <v>8</v>
      </c>
      <c r="EO27">
        <v>0</v>
      </c>
      <c r="EX27">
        <f t="shared" si="2"/>
        <v>0</v>
      </c>
      <c r="FA27">
        <v>20522</v>
      </c>
      <c r="FB27">
        <v>4</v>
      </c>
      <c r="FC27">
        <v>1</v>
      </c>
      <c r="FL27">
        <f>SUM(Supplementary_Fig7!FD27:FK27)</f>
        <v>0</v>
      </c>
      <c r="FO27" t="s">
        <v>421</v>
      </c>
      <c r="FQ27">
        <v>61.26</v>
      </c>
      <c r="FS27" t="s">
        <v>421</v>
      </c>
      <c r="FU27">
        <f t="shared" si="8"/>
        <v>38.593799999999995</v>
      </c>
      <c r="FX27">
        <v>21.834700000000002</v>
      </c>
      <c r="FY27">
        <v>58.366199999999999</v>
      </c>
      <c r="FZ27">
        <v>55.115499999999997</v>
      </c>
      <c r="GH27" t="s">
        <v>405</v>
      </c>
      <c r="GJ27">
        <v>95.68</v>
      </c>
      <c r="GL27" t="s">
        <v>405</v>
      </c>
      <c r="GN27">
        <f t="shared" si="9"/>
        <v>60.278400000000005</v>
      </c>
      <c r="GQ27">
        <v>68.1464</v>
      </c>
      <c r="GR27">
        <v>54.372100000000003</v>
      </c>
      <c r="GS27">
        <v>66.290599999999998</v>
      </c>
      <c r="GW27">
        <v>23.310400000000001</v>
      </c>
      <c r="GX27">
        <v>41.639400000000002</v>
      </c>
      <c r="GZ27" t="s">
        <v>423</v>
      </c>
      <c r="HD27" t="s">
        <v>423</v>
      </c>
      <c r="HJ27">
        <v>50.695799999999998</v>
      </c>
      <c r="HL27">
        <v>35.634900000000002</v>
      </c>
      <c r="HN27">
        <v>33.456800000000001</v>
      </c>
      <c r="HO27">
        <v>45.626899999999999</v>
      </c>
      <c r="HP27">
        <v>45.801699999999997</v>
      </c>
      <c r="HQ27">
        <v>46.7027</v>
      </c>
      <c r="HV27" t="s">
        <v>417</v>
      </c>
      <c r="HW27">
        <v>89.13</v>
      </c>
      <c r="HZ27">
        <v>61.234999999999999</v>
      </c>
      <c r="IA27">
        <v>98.922700000000006</v>
      </c>
      <c r="IB27">
        <v>77.861000000000004</v>
      </c>
      <c r="IC27">
        <v>76.644900000000007</v>
      </c>
      <c r="ID27">
        <v>73.977699999999999</v>
      </c>
      <c r="IE27">
        <v>78.009</v>
      </c>
      <c r="IF27">
        <v>83.500699999999995</v>
      </c>
      <c r="IG27">
        <v>90.315200000000004</v>
      </c>
      <c r="IH27">
        <v>88.9679</v>
      </c>
      <c r="II27">
        <v>77.868700000000004</v>
      </c>
      <c r="IJ27">
        <v>64.801000000000002</v>
      </c>
      <c r="IK27">
        <v>81.858800000000002</v>
      </c>
      <c r="IX27" t="s">
        <v>405</v>
      </c>
      <c r="IY27">
        <v>95.52</v>
      </c>
      <c r="JB27">
        <v>99.597200000000001</v>
      </c>
      <c r="JC27">
        <v>126.416</v>
      </c>
      <c r="JD27">
        <v>92.527799999999999</v>
      </c>
      <c r="JE27">
        <v>96.270799999999994</v>
      </c>
      <c r="JG27">
        <v>120.08799999999999</v>
      </c>
      <c r="JH27">
        <v>116.629</v>
      </c>
      <c r="JI27">
        <v>121.928</v>
      </c>
      <c r="JJ27">
        <v>96.554599999999994</v>
      </c>
      <c r="JK27">
        <v>85.319500000000005</v>
      </c>
      <c r="JL27">
        <v>93.905600000000007</v>
      </c>
      <c r="JM27">
        <v>98.860200000000006</v>
      </c>
      <c r="JO27">
        <v>118.727</v>
      </c>
      <c r="JQ27">
        <v>91.528300000000002</v>
      </c>
      <c r="JV27" t="s">
        <v>423</v>
      </c>
      <c r="JW27">
        <v>84.78</v>
      </c>
      <c r="JZ27">
        <v>112.65300000000001</v>
      </c>
      <c r="KA27">
        <v>102.73699999999999</v>
      </c>
      <c r="KB27">
        <v>101.651</v>
      </c>
      <c r="KC27">
        <v>99.737499999999997</v>
      </c>
      <c r="KD27">
        <v>100.36199999999999</v>
      </c>
      <c r="KE27">
        <v>83.810400000000001</v>
      </c>
      <c r="KF27">
        <v>100.896</v>
      </c>
      <c r="KG27">
        <v>89.727800000000002</v>
      </c>
      <c r="KJ27">
        <f>AVERAGE(Supplementary_Fig7!KJ23:KJ26)</f>
        <v>115.93025</v>
      </c>
      <c r="KK27">
        <v>113.199</v>
      </c>
      <c r="KM27">
        <v>95.2316</v>
      </c>
      <c r="KO27">
        <v>92.156999999999996</v>
      </c>
      <c r="KP27">
        <v>97.454800000000006</v>
      </c>
      <c r="KQ27">
        <v>98.738100000000003</v>
      </c>
      <c r="KT27" t="s">
        <v>417</v>
      </c>
      <c r="KU27">
        <v>1.706</v>
      </c>
      <c r="KY27">
        <v>1.9799</v>
      </c>
      <c r="KZ27">
        <v>2.0115099999999999</v>
      </c>
      <c r="LA27">
        <v>2.34836</v>
      </c>
      <c r="LB27">
        <v>2.8973900000000001</v>
      </c>
      <c r="LC27">
        <v>3.3170700000000002</v>
      </c>
      <c r="LD27">
        <v>3.1421299999999999</v>
      </c>
      <c r="LE27">
        <v>2.5519699999999998</v>
      </c>
      <c r="LF27">
        <v>1.65395</v>
      </c>
      <c r="LG27">
        <v>2.81589</v>
      </c>
      <c r="LH27">
        <v>2.2257199999999999</v>
      </c>
      <c r="LI27">
        <v>1.8776600000000001</v>
      </c>
      <c r="LJ27">
        <v>2.7198000000000002</v>
      </c>
      <c r="LK27">
        <v>1.95418</v>
      </c>
      <c r="LL27">
        <v>2.04434</v>
      </c>
      <c r="LM27">
        <v>3.32606</v>
      </c>
      <c r="LW27" t="s">
        <v>405</v>
      </c>
      <c r="LX27">
        <v>1.55</v>
      </c>
      <c r="MB27">
        <v>1.67109</v>
      </c>
      <c r="MC27">
        <v>1.6187100000000001</v>
      </c>
      <c r="MD27">
        <v>1.5314300000000001</v>
      </c>
      <c r="ME27">
        <v>1.4794799999999999</v>
      </c>
      <c r="MF27">
        <v>1.6696</v>
      </c>
      <c r="MG27">
        <v>1.8168299999999999</v>
      </c>
      <c r="MH27">
        <v>1.78827</v>
      </c>
      <c r="MI27">
        <v>2.0041099999999998</v>
      </c>
      <c r="MJ27">
        <v>1.9316199999999999</v>
      </c>
      <c r="MK27">
        <v>1.82392</v>
      </c>
      <c r="ML27">
        <v>1.80688</v>
      </c>
      <c r="MM27">
        <v>1.89269</v>
      </c>
      <c r="MN27">
        <v>1.7625</v>
      </c>
      <c r="MO27">
        <v>1.93075</v>
      </c>
      <c r="MP27">
        <v>1.8891500000000001</v>
      </c>
      <c r="MQ27">
        <v>1.65581</v>
      </c>
      <c r="MW27">
        <v>2.22987</v>
      </c>
      <c r="MZ27" t="s">
        <v>423</v>
      </c>
      <c r="NA27">
        <v>1.65</v>
      </c>
      <c r="ND27">
        <v>1.1595899999999999</v>
      </c>
      <c r="NE27">
        <v>1.3933</v>
      </c>
      <c r="NF27">
        <v>1.1619699999999999</v>
      </c>
      <c r="NG27">
        <v>1.6897</v>
      </c>
      <c r="NK27">
        <v>1.54339</v>
      </c>
      <c r="NM27">
        <v>1.7691300000000001</v>
      </c>
      <c r="NO27">
        <v>1.4241299999999999</v>
      </c>
      <c r="NP27">
        <v>1.5096099999999999</v>
      </c>
      <c r="NQ27">
        <v>1.56511</v>
      </c>
      <c r="NZ27" t="s">
        <v>421</v>
      </c>
      <c r="OA27">
        <v>107.261</v>
      </c>
      <c r="OC27" t="s">
        <v>405</v>
      </c>
      <c r="OD27">
        <v>302.80500000000001</v>
      </c>
      <c r="OF27" t="s">
        <v>423</v>
      </c>
      <c r="OG27">
        <v>151.58699999999999</v>
      </c>
      <c r="OI27">
        <v>2601222</v>
      </c>
      <c r="OJ27">
        <v>6</v>
      </c>
      <c r="OK27">
        <v>0</v>
      </c>
      <c r="OL27">
        <v>4.84</v>
      </c>
      <c r="OM27">
        <v>-85.04</v>
      </c>
      <c r="ON27">
        <v>7.32</v>
      </c>
      <c r="OO27">
        <v>-97.06</v>
      </c>
      <c r="OP27">
        <v>8</v>
      </c>
      <c r="OQ27">
        <v>-97.71</v>
      </c>
      <c r="OT27">
        <v>8.34</v>
      </c>
      <c r="OU27">
        <v>-88.12</v>
      </c>
      <c r="OX27">
        <v>5.84</v>
      </c>
      <c r="OY27">
        <v>-87.57</v>
      </c>
      <c r="PD27">
        <v>-88.29</v>
      </c>
      <c r="PE27">
        <v>7.83</v>
      </c>
      <c r="PH27">
        <v>507232</v>
      </c>
      <c r="PI27">
        <v>8</v>
      </c>
      <c r="PJ27">
        <v>0</v>
      </c>
      <c r="PK27">
        <v>4.17</v>
      </c>
      <c r="PL27">
        <v>-99.25</v>
      </c>
      <c r="PM27">
        <v>7.48</v>
      </c>
      <c r="PN27">
        <v>-95.13</v>
      </c>
      <c r="PO27">
        <v>4.0199999999999996</v>
      </c>
      <c r="PP27">
        <v>-91.86</v>
      </c>
      <c r="PU27">
        <v>3</v>
      </c>
      <c r="PV27">
        <v>-100</v>
      </c>
      <c r="PW27">
        <v>7.24</v>
      </c>
      <c r="PX27">
        <v>-100</v>
      </c>
      <c r="QC27">
        <v>-89.58</v>
      </c>
      <c r="QD27">
        <v>8.48</v>
      </c>
      <c r="QF27">
        <v>20522</v>
      </c>
      <c r="QG27">
        <v>4</v>
      </c>
      <c r="QH27">
        <v>1</v>
      </c>
      <c r="RA27">
        <v>-81.25</v>
      </c>
      <c r="RB27">
        <v>3.63</v>
      </c>
    </row>
    <row r="28" spans="1:470" ht="13.15" x14ac:dyDescent="0.4">
      <c r="DZ28">
        <v>10222</v>
      </c>
      <c r="EA28">
        <v>4</v>
      </c>
      <c r="EB28">
        <v>1</v>
      </c>
      <c r="EI28">
        <v>1</v>
      </c>
      <c r="EK28">
        <f t="shared" si="1"/>
        <v>1</v>
      </c>
      <c r="EM28">
        <v>110723</v>
      </c>
      <c r="EN28">
        <v>6</v>
      </c>
      <c r="EO28">
        <v>0</v>
      </c>
      <c r="EX28">
        <f t="shared" si="2"/>
        <v>0</v>
      </c>
      <c r="FA28">
        <v>30522</v>
      </c>
      <c r="FB28">
        <v>8</v>
      </c>
      <c r="FC28">
        <v>0</v>
      </c>
      <c r="FF28">
        <v>1</v>
      </c>
      <c r="FH28">
        <v>1</v>
      </c>
      <c r="FL28">
        <f>SUM(Supplementary_Fig7!FD28:FK28)</f>
        <v>2</v>
      </c>
      <c r="FO28" t="s">
        <v>425</v>
      </c>
      <c r="FQ28">
        <v>46.31</v>
      </c>
      <c r="FS28" t="s">
        <v>425</v>
      </c>
      <c r="FU28">
        <f t="shared" si="8"/>
        <v>29.175300000000004</v>
      </c>
      <c r="FX28">
        <v>39.8874</v>
      </c>
      <c r="FY28">
        <v>39.511600000000001</v>
      </c>
      <c r="FZ28">
        <v>56.007100000000001</v>
      </c>
      <c r="GH28" t="s">
        <v>408</v>
      </c>
      <c r="GJ28">
        <v>66.72</v>
      </c>
      <c r="GL28" t="s">
        <v>408</v>
      </c>
      <c r="GN28">
        <f t="shared" si="9"/>
        <v>42.0336</v>
      </c>
      <c r="GQ28" s="1">
        <f>AVERAGE(GQ25:GQ27)</f>
        <v>79.137100000000004</v>
      </c>
      <c r="GR28">
        <v>44.283700000000003</v>
      </c>
      <c r="GS28">
        <v>119.816</v>
      </c>
      <c r="GT28" s="1">
        <f>AVERAGE(GT25:GT27)</f>
        <v>66.72645</v>
      </c>
      <c r="GU28" s="1">
        <f>AVERAGE(GU25:GU27)</f>
        <v>88.528899999999993</v>
      </c>
      <c r="GW28" s="1">
        <f>AVERAGE(GW25:GW27)</f>
        <v>22.17573333333333</v>
      </c>
      <c r="GX28">
        <v>49.773099999999999</v>
      </c>
      <c r="GZ28" t="s">
        <v>427</v>
      </c>
      <c r="HB28">
        <v>32.15</v>
      </c>
      <c r="HD28" t="s">
        <v>427</v>
      </c>
      <c r="HF28">
        <f>63*Supplementary_Fig7!HB28/100</f>
        <v>20.254499999999997</v>
      </c>
      <c r="HJ28">
        <v>45.319099999999999</v>
      </c>
      <c r="HL28">
        <v>32.142699999999998</v>
      </c>
      <c r="HN28">
        <v>33.044199999999996</v>
      </c>
      <c r="HO28">
        <v>47.575800000000001</v>
      </c>
      <c r="HP28">
        <v>41.838500000000003</v>
      </c>
      <c r="HQ28">
        <v>37.127000000000002</v>
      </c>
      <c r="HV28" t="s">
        <v>421</v>
      </c>
      <c r="HW28">
        <v>73.37</v>
      </c>
      <c r="HZ28">
        <v>82.475300000000004</v>
      </c>
      <c r="IA28">
        <v>95.437600000000003</v>
      </c>
      <c r="IB28">
        <v>74.706999999999994</v>
      </c>
      <c r="IC28">
        <v>69.187899999999999</v>
      </c>
      <c r="ID28">
        <v>73.715199999999996</v>
      </c>
      <c r="IE28">
        <v>71.311999999999998</v>
      </c>
      <c r="IF28">
        <v>82.427999999999997</v>
      </c>
      <c r="IG28">
        <v>89.117400000000004</v>
      </c>
      <c r="IH28">
        <v>88.714600000000004</v>
      </c>
      <c r="II28">
        <v>80.487099999999998</v>
      </c>
      <c r="IJ28">
        <v>64.945999999999998</v>
      </c>
      <c r="IK28">
        <v>102.864</v>
      </c>
      <c r="IX28" t="s">
        <v>408</v>
      </c>
      <c r="IY28">
        <v>99.78</v>
      </c>
      <c r="JB28">
        <v>101.744</v>
      </c>
      <c r="JC28">
        <v>126.703</v>
      </c>
      <c r="JD28">
        <v>102.23399999999999</v>
      </c>
      <c r="JE28">
        <v>97.422799999999995</v>
      </c>
      <c r="JG28">
        <v>122.224</v>
      </c>
      <c r="JH28">
        <v>118.09699999999999</v>
      </c>
      <c r="JI28">
        <v>124.255</v>
      </c>
      <c r="JJ28">
        <v>97.135900000000007</v>
      </c>
      <c r="JK28">
        <v>85.154700000000005</v>
      </c>
      <c r="JL28">
        <v>95.648200000000003</v>
      </c>
      <c r="JM28">
        <v>98.976100000000002</v>
      </c>
      <c r="JO28">
        <v>122.17700000000001</v>
      </c>
      <c r="JQ28">
        <v>94.146699999999996</v>
      </c>
      <c r="JV28" t="s">
        <v>427</v>
      </c>
      <c r="JZ28">
        <v>111.949</v>
      </c>
      <c r="KA28">
        <v>105.003</v>
      </c>
      <c r="KB28">
        <v>94.052099999999996</v>
      </c>
      <c r="KC28">
        <v>100.099</v>
      </c>
      <c r="KD28">
        <v>100.505</v>
      </c>
      <c r="KE28">
        <v>79.995699999999999</v>
      </c>
      <c r="KF28">
        <v>100.73399999999999</v>
      </c>
      <c r="KG28">
        <v>90.093999999999994</v>
      </c>
      <c r="KK28">
        <v>113.934</v>
      </c>
      <c r="KM28">
        <v>97.480800000000002</v>
      </c>
      <c r="KO28">
        <v>90.849299999999999</v>
      </c>
      <c r="KP28">
        <v>100.748</v>
      </c>
      <c r="KQ28">
        <v>96.559100000000001</v>
      </c>
      <c r="KT28" t="s">
        <v>421</v>
      </c>
      <c r="KU28">
        <v>2.72</v>
      </c>
      <c r="KY28">
        <v>1.9220900000000001</v>
      </c>
      <c r="KZ28">
        <v>2.0710299999999999</v>
      </c>
      <c r="LA28">
        <v>1.9352100000000001</v>
      </c>
      <c r="LB28">
        <v>2.6480399999999999</v>
      </c>
      <c r="LC28">
        <v>3.4665599999999999</v>
      </c>
      <c r="LD28">
        <v>2.8801600000000001</v>
      </c>
      <c r="LE28">
        <v>2.4693499999999999</v>
      </c>
      <c r="LF28">
        <v>1.6799599999999999</v>
      </c>
      <c r="LG28">
        <v>3.09964</v>
      </c>
      <c r="LH28">
        <v>2.4890500000000002</v>
      </c>
      <c r="LI28">
        <v>1.8516300000000001</v>
      </c>
      <c r="LJ28">
        <v>2.64758</v>
      </c>
      <c r="LK28">
        <v>2.43283</v>
      </c>
      <c r="LL28">
        <v>1.98634</v>
      </c>
      <c r="LM28">
        <v>2.8379500000000002</v>
      </c>
      <c r="LW28" t="s">
        <v>408</v>
      </c>
      <c r="LX28">
        <v>1.49</v>
      </c>
      <c r="MB28">
        <v>1.68096</v>
      </c>
      <c r="MC28">
        <v>1.5827199999999999</v>
      </c>
      <c r="MD28">
        <v>1.5732200000000001</v>
      </c>
      <c r="ME28">
        <v>1.47305</v>
      </c>
      <c r="MF28">
        <v>1.76762</v>
      </c>
      <c r="MG28">
        <v>1.7537499999999999</v>
      </c>
      <c r="MH28">
        <v>1.7863100000000001</v>
      </c>
      <c r="MI28">
        <v>1.9598800000000001</v>
      </c>
      <c r="MJ28">
        <v>1.8619300000000001</v>
      </c>
      <c r="MK28">
        <v>1.7843100000000001</v>
      </c>
      <c r="ML28">
        <v>1.7646500000000001</v>
      </c>
      <c r="MM28">
        <v>1.84965</v>
      </c>
      <c r="MN28">
        <v>1.73441</v>
      </c>
      <c r="MO28">
        <v>1.94374</v>
      </c>
      <c r="MP28">
        <v>1.84311</v>
      </c>
      <c r="MQ28">
        <v>1.71417</v>
      </c>
      <c r="MR28">
        <v>1.5339499999999999</v>
      </c>
      <c r="MT28">
        <v>1.7297400000000001</v>
      </c>
      <c r="MV28">
        <v>1.09168</v>
      </c>
      <c r="MZ28" t="s">
        <v>427</v>
      </c>
      <c r="ND28">
        <v>1.14533</v>
      </c>
      <c r="NE28">
        <v>1.44478</v>
      </c>
      <c r="NF28">
        <f>AVERAGE(Supplementary_Fig7!NF22:NF27)</f>
        <v>1.1585699999999999</v>
      </c>
      <c r="NG28">
        <v>1.61589</v>
      </c>
      <c r="NK28">
        <v>1.57175</v>
      </c>
      <c r="NM28">
        <v>1.78583</v>
      </c>
      <c r="NO28">
        <v>1.4117999999999999</v>
      </c>
      <c r="NP28">
        <v>1.4936700000000001</v>
      </c>
      <c r="NQ28">
        <v>1.56857</v>
      </c>
      <c r="NZ28" t="s">
        <v>425</v>
      </c>
      <c r="OA28">
        <v>110.928</v>
      </c>
      <c r="OC28" t="s">
        <v>408</v>
      </c>
      <c r="OD28">
        <v>344.53899999999999</v>
      </c>
      <c r="OF28" t="s">
        <v>427</v>
      </c>
      <c r="OI28">
        <v>10222</v>
      </c>
      <c r="OJ28">
        <v>4</v>
      </c>
      <c r="OK28">
        <v>1</v>
      </c>
      <c r="PD28">
        <v>-88.49</v>
      </c>
      <c r="PE28">
        <v>5.29</v>
      </c>
      <c r="PH28">
        <v>110723</v>
      </c>
      <c r="PI28">
        <v>6</v>
      </c>
      <c r="PJ28">
        <v>0</v>
      </c>
      <c r="QC28">
        <v>-89.7</v>
      </c>
      <c r="QD28">
        <v>1.39</v>
      </c>
      <c r="QF28">
        <v>30522</v>
      </c>
      <c r="QG28">
        <v>8</v>
      </c>
      <c r="QH28">
        <v>0</v>
      </c>
      <c r="QQ28">
        <v>1.86</v>
      </c>
      <c r="QR28">
        <v>-81</v>
      </c>
      <c r="QS28">
        <v>4.88</v>
      </c>
      <c r="QT28">
        <v>-88.23</v>
      </c>
      <c r="QW28">
        <v>7.63</v>
      </c>
      <c r="QX28">
        <v>-99.14</v>
      </c>
      <c r="RA28">
        <v>-81.540000000000006</v>
      </c>
      <c r="RB28">
        <v>4.28</v>
      </c>
    </row>
    <row r="29" spans="1:470" ht="13.15" x14ac:dyDescent="0.4">
      <c r="A29" s="41" t="s">
        <v>10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Z29">
        <v>102222</v>
      </c>
      <c r="EA29">
        <v>7</v>
      </c>
      <c r="EB29">
        <v>0</v>
      </c>
      <c r="EK29">
        <f t="shared" si="1"/>
        <v>0</v>
      </c>
      <c r="EM29">
        <v>1107232</v>
      </c>
      <c r="EN29">
        <v>7</v>
      </c>
      <c r="EO29">
        <v>0</v>
      </c>
      <c r="EX29">
        <f t="shared" si="2"/>
        <v>0</v>
      </c>
      <c r="FA29">
        <v>305222</v>
      </c>
      <c r="FB29">
        <v>6</v>
      </c>
      <c r="FC29">
        <v>0</v>
      </c>
      <c r="FL29">
        <f>SUM(Supplementary_Fig7!FD29:FK29)</f>
        <v>0</v>
      </c>
      <c r="FO29" t="s">
        <v>428</v>
      </c>
      <c r="FQ29">
        <v>95.02</v>
      </c>
      <c r="FS29" t="s">
        <v>428</v>
      </c>
      <c r="FU29">
        <f t="shared" si="8"/>
        <v>59.862599999999993</v>
      </c>
      <c r="FW29" s="1">
        <f>AVERAGE(Supplementary_Fig7!FW25:FW28)</f>
        <v>70.611950000000007</v>
      </c>
      <c r="FX29" s="1">
        <f>AVERAGE(Supplementary_Fig7!FX25:FX28)</f>
        <v>31.686375000000002</v>
      </c>
      <c r="FY29" s="1">
        <f>AVERAGE(Supplementary_Fig7!FY25:FY28)</f>
        <v>45.635525000000001</v>
      </c>
      <c r="FZ29" s="1">
        <f>AVERAGE(Supplementary_Fig7!FZ25:FZ28)</f>
        <v>56.005175000000001</v>
      </c>
      <c r="GA29" s="1">
        <f>AVERAGE(Supplementary_Fig7!GA25:GA28)</f>
        <v>76.674800000000005</v>
      </c>
      <c r="GH29" t="s">
        <v>1060</v>
      </c>
      <c r="GJ29">
        <v>88.52</v>
      </c>
      <c r="GL29" t="s">
        <v>1060</v>
      </c>
      <c r="GN29">
        <f t="shared" si="9"/>
        <v>55.767599999999995</v>
      </c>
      <c r="GR29" s="1">
        <f>AVERAGE(GR25:GR28)</f>
        <v>58.91525</v>
      </c>
      <c r="GS29" s="1">
        <f>AVERAGE(GS25:GS28)</f>
        <v>95.681475000000006</v>
      </c>
      <c r="GV29" s="1">
        <f>AVERAGE(GV25:GV28)</f>
        <v>96.898799999999994</v>
      </c>
      <c r="GX29" s="1">
        <f>AVERAGE(GX25:GX28)</f>
        <v>60.957724999999996</v>
      </c>
      <c r="GZ29" t="s">
        <v>430</v>
      </c>
      <c r="HA29">
        <v>42.94</v>
      </c>
      <c r="HD29" t="s">
        <v>430</v>
      </c>
      <c r="HE29">
        <f>63*Supplementary_Fig7!HA29/100</f>
        <v>27.052199999999999</v>
      </c>
      <c r="HJ29">
        <v>54.483199999999997</v>
      </c>
      <c r="HL29">
        <v>40.1205</v>
      </c>
      <c r="HN29">
        <v>29.9773</v>
      </c>
      <c r="HO29">
        <v>38.744999999999997</v>
      </c>
      <c r="HP29">
        <v>44.749299999999998</v>
      </c>
      <c r="HQ29">
        <v>37.847499999999997</v>
      </c>
      <c r="HV29" t="s">
        <v>425</v>
      </c>
      <c r="HW29">
        <v>68.650000000000006</v>
      </c>
      <c r="HZ29">
        <v>81.829800000000006</v>
      </c>
      <c r="IA29">
        <v>95.498699999999999</v>
      </c>
      <c r="IB29">
        <v>76.129199999999997</v>
      </c>
      <c r="IC29">
        <v>73.597700000000003</v>
      </c>
      <c r="ID29">
        <v>68.139600000000002</v>
      </c>
      <c r="IE29">
        <v>77.682500000000005</v>
      </c>
      <c r="IF29">
        <v>82.293700000000001</v>
      </c>
      <c r="IG29">
        <v>91.285700000000006</v>
      </c>
      <c r="IH29">
        <v>86.927800000000005</v>
      </c>
      <c r="II29">
        <v>81.526200000000003</v>
      </c>
      <c r="IJ29">
        <v>63.252299999999998</v>
      </c>
      <c r="IK29">
        <v>105.95699999999999</v>
      </c>
      <c r="IX29" t="s">
        <v>1060</v>
      </c>
      <c r="JB29">
        <v>121.283</v>
      </c>
      <c r="JC29">
        <v>128.44999999999999</v>
      </c>
      <c r="JD29">
        <v>104.958</v>
      </c>
      <c r="JE29">
        <v>97.615099999999998</v>
      </c>
      <c r="JG29">
        <v>125.545</v>
      </c>
      <c r="JH29">
        <v>119.791</v>
      </c>
      <c r="JI29">
        <v>124.908</v>
      </c>
      <c r="JJ29">
        <v>97.236599999999996</v>
      </c>
      <c r="JK29">
        <v>84.368899999999996</v>
      </c>
      <c r="JL29">
        <v>95.5505</v>
      </c>
      <c r="JM29">
        <v>99.423199999999994</v>
      </c>
      <c r="JO29">
        <v>120.642</v>
      </c>
      <c r="JQ29">
        <v>92.811599999999999</v>
      </c>
      <c r="JV29" t="s">
        <v>430</v>
      </c>
      <c r="JW29">
        <v>129.14099999999999</v>
      </c>
      <c r="JZ29">
        <v>111.688</v>
      </c>
      <c r="KA29">
        <v>86.604299999999995</v>
      </c>
      <c r="KB29">
        <v>92.231800000000007</v>
      </c>
      <c r="KC29">
        <v>96.348600000000005</v>
      </c>
      <c r="KD29">
        <v>100.81</v>
      </c>
      <c r="KE29">
        <v>84.370400000000004</v>
      </c>
      <c r="KF29">
        <f>AVERAGE(Supplementary_Fig7!KF23:KF28)</f>
        <v>101.39583333333333</v>
      </c>
      <c r="KG29">
        <v>89.526399999999995</v>
      </c>
      <c r="KK29">
        <v>116.23699999999999</v>
      </c>
      <c r="KM29">
        <v>102.29600000000001</v>
      </c>
      <c r="KO29">
        <v>91.313199999999995</v>
      </c>
      <c r="KP29">
        <v>99.110399999999998</v>
      </c>
      <c r="KQ29">
        <v>96.876499999999993</v>
      </c>
      <c r="KT29" t="s">
        <v>425</v>
      </c>
      <c r="KU29">
        <v>2.2000000000000002</v>
      </c>
      <c r="KY29">
        <v>2.21008</v>
      </c>
      <c r="KZ29">
        <v>1.9828699999999999</v>
      </c>
      <c r="LA29">
        <v>1.9227700000000001</v>
      </c>
      <c r="LB29">
        <v>2.7146499999999998</v>
      </c>
      <c r="LC29">
        <v>3.1215000000000002</v>
      </c>
      <c r="LD29">
        <v>2.96184</v>
      </c>
      <c r="LE29">
        <v>2.4179200000000001</v>
      </c>
      <c r="LF29">
        <v>1.9051</v>
      </c>
      <c r="LH29">
        <v>2.13062</v>
      </c>
      <c r="LI29">
        <v>2.3569900000000001</v>
      </c>
      <c r="LJ29">
        <v>2.3994399999999998</v>
      </c>
      <c r="LK29">
        <v>2.7604600000000001</v>
      </c>
      <c r="LL29">
        <v>2.0666500000000001</v>
      </c>
      <c r="LM29">
        <v>2.6801400000000002</v>
      </c>
      <c r="LW29" t="s">
        <v>1060</v>
      </c>
      <c r="MB29">
        <v>1.6593800000000001</v>
      </c>
      <c r="MC29">
        <v>1.5832999999999999</v>
      </c>
      <c r="MD29">
        <v>1.5528900000000001</v>
      </c>
      <c r="ME29">
        <v>1.4776800000000001</v>
      </c>
      <c r="MF29">
        <v>1.7761800000000001</v>
      </c>
      <c r="MG29">
        <v>1.76509</v>
      </c>
      <c r="MH29">
        <v>1.7248699999999999</v>
      </c>
      <c r="MI29">
        <v>1.9097200000000001</v>
      </c>
      <c r="MJ29">
        <v>1.88287</v>
      </c>
      <c r="MK29">
        <v>1.82355</v>
      </c>
      <c r="ML29">
        <v>1.71244</v>
      </c>
      <c r="MM29">
        <v>1.90879</v>
      </c>
      <c r="MN29">
        <v>1.7342</v>
      </c>
      <c r="MO29">
        <v>2.0094599999999998</v>
      </c>
      <c r="MP29">
        <v>1.7781199999999999</v>
      </c>
      <c r="MQ29">
        <v>1.6082799999999999</v>
      </c>
      <c r="MR29">
        <v>1.51329</v>
      </c>
      <c r="MS29">
        <v>1.8295999999999999</v>
      </c>
      <c r="MT29">
        <v>1.6867099999999999</v>
      </c>
      <c r="MU29">
        <v>1.9264399999999999</v>
      </c>
      <c r="MV29">
        <v>1.00743</v>
      </c>
      <c r="MW29">
        <v>2.2662800000000001</v>
      </c>
      <c r="MZ29" t="s">
        <v>430</v>
      </c>
      <c r="NA29">
        <v>1.5</v>
      </c>
      <c r="ND29">
        <v>1.1658500000000001</v>
      </c>
      <c r="NE29">
        <v>1.38954</v>
      </c>
      <c r="NG29">
        <v>1.64299</v>
      </c>
      <c r="NK29">
        <v>1.5986800000000001</v>
      </c>
      <c r="NM29">
        <v>1.79766</v>
      </c>
      <c r="NO29">
        <v>1.3971100000000001</v>
      </c>
      <c r="NP29">
        <v>1.52651</v>
      </c>
      <c r="NQ29">
        <v>1.51353</v>
      </c>
      <c r="NZ29" t="s">
        <v>428</v>
      </c>
      <c r="OA29">
        <v>213.43100000000001</v>
      </c>
      <c r="OC29" t="s">
        <v>1060</v>
      </c>
      <c r="OD29">
        <v>120.14700000000001</v>
      </c>
      <c r="OF29" t="s">
        <v>430</v>
      </c>
      <c r="OG29">
        <v>309.39600000000002</v>
      </c>
      <c r="OI29">
        <v>102222</v>
      </c>
      <c r="OJ29">
        <v>7</v>
      </c>
      <c r="OK29">
        <v>0</v>
      </c>
      <c r="OL29">
        <v>5.63</v>
      </c>
      <c r="OM29">
        <v>-92.53</v>
      </c>
      <c r="OP29">
        <v>6.12</v>
      </c>
      <c r="OQ29">
        <v>-95.88</v>
      </c>
      <c r="OR29">
        <v>2.48</v>
      </c>
      <c r="OS29">
        <v>-95.7</v>
      </c>
      <c r="OT29">
        <v>3.41</v>
      </c>
      <c r="OU29">
        <v>-84.27</v>
      </c>
      <c r="OV29">
        <v>6.63</v>
      </c>
      <c r="OW29">
        <v>-99.15</v>
      </c>
      <c r="OZ29">
        <v>4.53</v>
      </c>
      <c r="PA29">
        <v>-87.21</v>
      </c>
      <c r="PD29">
        <v>-88.56</v>
      </c>
      <c r="PE29">
        <v>3.73</v>
      </c>
      <c r="PH29">
        <v>1107232</v>
      </c>
      <c r="PI29">
        <v>7</v>
      </c>
      <c r="PJ29">
        <v>0</v>
      </c>
      <c r="PK29">
        <v>5.04</v>
      </c>
      <c r="PL29">
        <v>-90.84</v>
      </c>
      <c r="PM29">
        <v>7.05</v>
      </c>
      <c r="PN29">
        <v>-99.76</v>
      </c>
      <c r="PO29">
        <v>8.07</v>
      </c>
      <c r="PP29">
        <v>-99.93</v>
      </c>
      <c r="PQ29">
        <v>5</v>
      </c>
      <c r="PR29">
        <v>-90.82</v>
      </c>
      <c r="PS29">
        <v>5.33</v>
      </c>
      <c r="PT29">
        <v>-97.86</v>
      </c>
      <c r="PU29">
        <v>2.5</v>
      </c>
      <c r="PV29">
        <v>-100</v>
      </c>
      <c r="PY29">
        <v>8.48</v>
      </c>
      <c r="PZ29">
        <v>-89.58</v>
      </c>
      <c r="QC29">
        <v>-89.78</v>
      </c>
      <c r="QD29">
        <v>2.99</v>
      </c>
      <c r="QF29">
        <v>305222</v>
      </c>
      <c r="QG29">
        <v>6</v>
      </c>
      <c r="QH29">
        <v>0</v>
      </c>
      <c r="RA29">
        <v>-81.599999999999994</v>
      </c>
      <c r="RB29">
        <v>1.39</v>
      </c>
    </row>
    <row r="30" spans="1:470" ht="13.15" x14ac:dyDescent="0.4">
      <c r="A30" t="s">
        <v>887</v>
      </c>
      <c r="B30" t="s">
        <v>344</v>
      </c>
      <c r="C30" t="s">
        <v>347</v>
      </c>
      <c r="D30" t="s">
        <v>350</v>
      </c>
      <c r="E30" t="s">
        <v>353</v>
      </c>
      <c r="F30" t="s">
        <v>356</v>
      </c>
      <c r="G30" t="s">
        <v>360</v>
      </c>
      <c r="H30" t="s">
        <v>364</v>
      </c>
      <c r="I30" t="s">
        <v>368</v>
      </c>
      <c r="J30" t="s">
        <v>372</v>
      </c>
      <c r="K30" t="s">
        <v>376</v>
      </c>
      <c r="L30" t="s">
        <v>380</v>
      </c>
      <c r="M30" t="s">
        <v>384</v>
      </c>
      <c r="N30" t="s">
        <v>387</v>
      </c>
      <c r="O30" t="s">
        <v>390</v>
      </c>
      <c r="P30" t="s">
        <v>393</v>
      </c>
      <c r="Q30" t="s">
        <v>396</v>
      </c>
      <c r="R30" t="s">
        <v>400</v>
      </c>
      <c r="S30" t="s">
        <v>403</v>
      </c>
      <c r="T30" t="s">
        <v>406</v>
      </c>
      <c r="U30" t="s">
        <v>409</v>
      </c>
      <c r="V30" t="s">
        <v>413</v>
      </c>
      <c r="W30" t="s">
        <v>416</v>
      </c>
      <c r="X30" t="s">
        <v>419</v>
      </c>
      <c r="Y30" t="s">
        <v>423</v>
      </c>
      <c r="Z30" t="s">
        <v>427</v>
      </c>
      <c r="AA30" t="s">
        <v>430</v>
      </c>
      <c r="AB30" t="s">
        <v>433</v>
      </c>
      <c r="AC30" t="s">
        <v>436</v>
      </c>
      <c r="AD30" t="s">
        <v>439</v>
      </c>
      <c r="AE30" t="s">
        <v>442</v>
      </c>
      <c r="AF30" t="s">
        <v>445</v>
      </c>
      <c r="AG30" t="s">
        <v>448</v>
      </c>
      <c r="AH30" t="s">
        <v>451</v>
      </c>
      <c r="AI30" t="s">
        <v>454</v>
      </c>
      <c r="AJ30" t="s">
        <v>457</v>
      </c>
      <c r="AK30" t="s">
        <v>460</v>
      </c>
      <c r="AL30" t="s">
        <v>463</v>
      </c>
      <c r="AM30" t="s">
        <v>466</v>
      </c>
      <c r="AN30" t="s">
        <v>469</v>
      </c>
      <c r="AO30" t="s">
        <v>472</v>
      </c>
      <c r="AP30" t="s">
        <v>475</v>
      </c>
      <c r="AQ30" t="s">
        <v>478</v>
      </c>
      <c r="AR30" t="s">
        <v>481</v>
      </c>
      <c r="AS30" t="s">
        <v>484</v>
      </c>
      <c r="AT30" t="s">
        <v>487</v>
      </c>
      <c r="AU30" t="s">
        <v>490</v>
      </c>
      <c r="AV30" t="s">
        <v>493</v>
      </c>
      <c r="AW30" t="s">
        <v>496</v>
      </c>
      <c r="AX30" t="s">
        <v>499</v>
      </c>
      <c r="AY30" t="s">
        <v>502</v>
      </c>
      <c r="AZ30" t="s">
        <v>505</v>
      </c>
      <c r="BA30" t="s">
        <v>478</v>
      </c>
      <c r="BB30" t="s">
        <v>481</v>
      </c>
      <c r="BC30" t="s">
        <v>484</v>
      </c>
      <c r="BD30" t="s">
        <v>487</v>
      </c>
      <c r="BE30" t="s">
        <v>508</v>
      </c>
      <c r="BF30" t="s">
        <v>511</v>
      </c>
      <c r="BG30" t="s">
        <v>514</v>
      </c>
      <c r="BH30" t="s">
        <v>517</v>
      </c>
      <c r="BI30" t="s">
        <v>520</v>
      </c>
      <c r="BJ30" t="s">
        <v>523</v>
      </c>
      <c r="BK30" t="s">
        <v>527</v>
      </c>
      <c r="BL30" t="s">
        <v>531</v>
      </c>
      <c r="BM30" t="s">
        <v>535</v>
      </c>
      <c r="BN30" t="s">
        <v>539</v>
      </c>
      <c r="BO30" t="s">
        <v>543</v>
      </c>
      <c r="BP30" t="s">
        <v>547</v>
      </c>
      <c r="BQ30" t="s">
        <v>551</v>
      </c>
      <c r="BR30" t="s">
        <v>555</v>
      </c>
      <c r="BS30" t="s">
        <v>559</v>
      </c>
      <c r="BT30" t="s">
        <v>563</v>
      </c>
      <c r="BU30" t="s">
        <v>567</v>
      </c>
      <c r="BV30" t="s">
        <v>571</v>
      </c>
      <c r="BW30" t="s">
        <v>575</v>
      </c>
      <c r="BX30" t="s">
        <v>578</v>
      </c>
      <c r="BY30" t="s">
        <v>581</v>
      </c>
      <c r="BZ30" t="s">
        <v>584</v>
      </c>
      <c r="CA30" t="s">
        <v>587</v>
      </c>
      <c r="CB30" t="s">
        <v>590</v>
      </c>
      <c r="CC30" t="s">
        <v>593</v>
      </c>
      <c r="CD30" t="s">
        <v>596</v>
      </c>
      <c r="CE30" t="s">
        <v>599</v>
      </c>
      <c r="CF30" t="s">
        <v>602</v>
      </c>
      <c r="CG30" t="s">
        <v>605</v>
      </c>
      <c r="CH30" t="s">
        <v>608</v>
      </c>
      <c r="CI30" t="s">
        <v>611</v>
      </c>
      <c r="CJ30" t="s">
        <v>614</v>
      </c>
      <c r="CK30" t="s">
        <v>617</v>
      </c>
      <c r="CL30" t="s">
        <v>620</v>
      </c>
      <c r="CM30" t="s">
        <v>623</v>
      </c>
      <c r="CN30" t="s">
        <v>626</v>
      </c>
      <c r="CO30" t="s">
        <v>629</v>
      </c>
      <c r="CP30" t="s">
        <v>632</v>
      </c>
      <c r="CQ30" t="s">
        <v>635</v>
      </c>
      <c r="CR30" t="s">
        <v>638</v>
      </c>
      <c r="CS30" t="s">
        <v>891</v>
      </c>
      <c r="CT30" t="s">
        <v>892</v>
      </c>
      <c r="CU30" t="s">
        <v>893</v>
      </c>
      <c r="CV30" t="s">
        <v>894</v>
      </c>
      <c r="CW30" t="s">
        <v>895</v>
      </c>
      <c r="CX30" t="s">
        <v>896</v>
      </c>
      <c r="CY30" t="s">
        <v>900</v>
      </c>
      <c r="CZ30" t="s">
        <v>901</v>
      </c>
      <c r="DA30" t="s">
        <v>218</v>
      </c>
      <c r="DB30" t="s">
        <v>902</v>
      </c>
      <c r="DC30" s="27" t="s">
        <v>397</v>
      </c>
      <c r="DD30" s="27" t="s">
        <v>284</v>
      </c>
      <c r="DZ30">
        <v>160522</v>
      </c>
      <c r="EA30">
        <v>8</v>
      </c>
      <c r="EB30">
        <v>0</v>
      </c>
      <c r="ED30">
        <v>1</v>
      </c>
      <c r="EE30">
        <v>1</v>
      </c>
      <c r="EH30">
        <v>1</v>
      </c>
      <c r="EI30">
        <v>1</v>
      </c>
      <c r="EK30">
        <f t="shared" si="1"/>
        <v>4</v>
      </c>
      <c r="EM30">
        <v>200723</v>
      </c>
      <c r="EN30">
        <v>8</v>
      </c>
      <c r="EO30">
        <v>0</v>
      </c>
      <c r="ES30">
        <v>1</v>
      </c>
      <c r="EX30">
        <f t="shared" si="2"/>
        <v>1</v>
      </c>
      <c r="FA30">
        <v>170522</v>
      </c>
      <c r="FB30">
        <v>6</v>
      </c>
      <c r="FC30">
        <v>0</v>
      </c>
      <c r="FL30">
        <f>SUM(Supplementary_Fig7!FD30:FK30)</f>
        <v>0</v>
      </c>
      <c r="FO30" t="s">
        <v>431</v>
      </c>
      <c r="FQ30">
        <v>71.13</v>
      </c>
      <c r="FS30" t="s">
        <v>431</v>
      </c>
      <c r="FU30">
        <f t="shared" si="8"/>
        <v>44.811899999999994</v>
      </c>
      <c r="GH30" t="s">
        <v>412</v>
      </c>
      <c r="GJ30">
        <v>96.89</v>
      </c>
      <c r="GL30" t="s">
        <v>412</v>
      </c>
      <c r="GN30">
        <f t="shared" si="9"/>
        <v>61.040699999999994</v>
      </c>
      <c r="GZ30" t="s">
        <v>433</v>
      </c>
      <c r="HA30">
        <v>47.87</v>
      </c>
      <c r="HD30" t="s">
        <v>433</v>
      </c>
      <c r="HE30">
        <f>63*Supplementary_Fig7!HA30/100</f>
        <v>30.158100000000001</v>
      </c>
      <c r="HL30" s="8">
        <v>48.899500000000003</v>
      </c>
      <c r="HO30">
        <v>39.845700000000001</v>
      </c>
      <c r="HP30">
        <v>59.094200000000001</v>
      </c>
      <c r="HV30" t="s">
        <v>428</v>
      </c>
      <c r="HW30">
        <v>90.96</v>
      </c>
      <c r="HZ30">
        <v>81.443799999999996</v>
      </c>
      <c r="IA30">
        <v>79.025300000000001</v>
      </c>
      <c r="IB30">
        <v>78.317300000000003</v>
      </c>
      <c r="IC30">
        <v>83.143600000000006</v>
      </c>
      <c r="ID30">
        <v>68.846100000000007</v>
      </c>
      <c r="IE30">
        <v>53.121899999999997</v>
      </c>
      <c r="IF30">
        <v>66.774000000000001</v>
      </c>
      <c r="IG30">
        <v>72.706599999999995</v>
      </c>
      <c r="IH30">
        <v>91.981499999999997</v>
      </c>
      <c r="II30">
        <v>57.220500000000001</v>
      </c>
      <c r="IJ30">
        <v>67.837500000000006</v>
      </c>
      <c r="IK30">
        <v>84.873999999999995</v>
      </c>
      <c r="IX30" t="s">
        <v>412</v>
      </c>
      <c r="IY30">
        <v>103.67</v>
      </c>
      <c r="JB30">
        <v>101.982</v>
      </c>
      <c r="JD30">
        <v>93.475300000000004</v>
      </c>
      <c r="JE30">
        <v>98.144499999999994</v>
      </c>
      <c r="JH30">
        <v>116.605</v>
      </c>
      <c r="JI30">
        <v>99.255399999999995</v>
      </c>
      <c r="JJ30">
        <v>96.986400000000003</v>
      </c>
      <c r="JK30">
        <v>82.546999999999997</v>
      </c>
      <c r="JL30">
        <v>94.808999999999997</v>
      </c>
      <c r="JM30">
        <v>100.624</v>
      </c>
      <c r="JO30">
        <v>97.0398</v>
      </c>
      <c r="JQ30">
        <v>89.500399999999999</v>
      </c>
      <c r="JV30" t="s">
        <v>433</v>
      </c>
      <c r="JW30">
        <v>115.93</v>
      </c>
      <c r="JZ30">
        <v>111.971</v>
      </c>
      <c r="KA30">
        <v>106.369</v>
      </c>
      <c r="KB30">
        <v>103.233</v>
      </c>
      <c r="KC30">
        <v>99.984700000000004</v>
      </c>
      <c r="KD30">
        <v>100.774</v>
      </c>
      <c r="KE30">
        <v>72.836299999999994</v>
      </c>
      <c r="KG30">
        <v>77.630600000000001</v>
      </c>
      <c r="KK30">
        <v>113.605</v>
      </c>
      <c r="KM30">
        <v>106.488</v>
      </c>
      <c r="KO30">
        <v>85.049400000000006</v>
      </c>
      <c r="KP30">
        <v>99.020399999999995</v>
      </c>
      <c r="KQ30">
        <v>95.481899999999996</v>
      </c>
      <c r="KT30" t="s">
        <v>428</v>
      </c>
      <c r="KU30">
        <v>1.92</v>
      </c>
      <c r="KY30">
        <v>2.1278999999999999</v>
      </c>
      <c r="KZ30">
        <v>1.99498</v>
      </c>
      <c r="LA30">
        <v>1.84284</v>
      </c>
      <c r="LB30">
        <v>2.45872</v>
      </c>
      <c r="LC30">
        <v>3.0221399999999998</v>
      </c>
      <c r="LD30">
        <v>2.9802599999999999</v>
      </c>
      <c r="LE30">
        <v>2.4599099999999998</v>
      </c>
      <c r="LF30">
        <v>1.8150200000000001</v>
      </c>
      <c r="LG30">
        <v>2.5886200000000001</v>
      </c>
      <c r="LH30">
        <v>2.41736</v>
      </c>
      <c r="LI30">
        <v>2.04881</v>
      </c>
      <c r="LJ30">
        <v>2.3391600000000001</v>
      </c>
      <c r="LK30">
        <v>2.1011899999999999</v>
      </c>
      <c r="LL30">
        <v>1.9871799999999999</v>
      </c>
      <c r="LM30">
        <v>2.6286200000000002</v>
      </c>
      <c r="LW30" t="s">
        <v>412</v>
      </c>
      <c r="LX30">
        <v>1.679</v>
      </c>
      <c r="MB30">
        <v>1.62618</v>
      </c>
      <c r="MC30">
        <v>1.6024499999999999</v>
      </c>
      <c r="MD30">
        <v>1.54657</v>
      </c>
      <c r="ME30">
        <v>1.46936</v>
      </c>
      <c r="MF30">
        <v>1.5845400000000001</v>
      </c>
      <c r="MG30">
        <v>1.79474</v>
      </c>
      <c r="MH30">
        <v>1.7411300000000001</v>
      </c>
      <c r="MI30">
        <v>1.9222999999999999</v>
      </c>
      <c r="MJ30">
        <v>1.8831500000000001</v>
      </c>
      <c r="MK30">
        <v>1.7980700000000001</v>
      </c>
      <c r="ML30">
        <v>1.77607</v>
      </c>
      <c r="MM30">
        <v>1.9466399999999999</v>
      </c>
      <c r="MN30">
        <v>1.76901</v>
      </c>
      <c r="MO30">
        <v>1.85537</v>
      </c>
      <c r="MP30">
        <v>1.73526</v>
      </c>
      <c r="MQ30">
        <v>1.5872200000000001</v>
      </c>
      <c r="MR30">
        <v>1.50529</v>
      </c>
      <c r="MS30">
        <v>1.8040499999999999</v>
      </c>
      <c r="MT30">
        <v>1.67283</v>
      </c>
      <c r="MU30">
        <v>2.2363300000000002</v>
      </c>
      <c r="MV30">
        <v>0.99947799999999998</v>
      </c>
      <c r="MW30">
        <v>2.48271</v>
      </c>
      <c r="MZ30" t="s">
        <v>433</v>
      </c>
      <c r="NA30">
        <v>1.1399999999999999</v>
      </c>
      <c r="ND30">
        <v>1.15235</v>
      </c>
      <c r="NE30">
        <v>1.4120900000000001</v>
      </c>
      <c r="NG30">
        <v>1.65045</v>
      </c>
      <c r="NK30">
        <v>1.5615600000000001</v>
      </c>
      <c r="NM30">
        <v>1.9048400000000001</v>
      </c>
      <c r="NO30">
        <v>1.522</v>
      </c>
      <c r="NP30">
        <v>1.5108600000000001</v>
      </c>
      <c r="NQ30">
        <v>1.5594600000000001</v>
      </c>
      <c r="NZ30" t="s">
        <v>431</v>
      </c>
      <c r="OA30">
        <v>159.28</v>
      </c>
      <c r="OC30" t="s">
        <v>412</v>
      </c>
      <c r="OD30">
        <v>330.28100000000001</v>
      </c>
      <c r="OF30" t="s">
        <v>433</v>
      </c>
      <c r="OG30">
        <v>321.66000000000003</v>
      </c>
      <c r="OI30">
        <v>160522</v>
      </c>
      <c r="OJ30">
        <v>8</v>
      </c>
      <c r="OK30">
        <v>0</v>
      </c>
      <c r="ON30">
        <v>6.13</v>
      </c>
      <c r="OO30">
        <v>-91.75</v>
      </c>
      <c r="OR30">
        <v>8.9700000000000006</v>
      </c>
      <c r="OS30">
        <v>-100</v>
      </c>
      <c r="OT30">
        <v>4.1500000000000004</v>
      </c>
      <c r="OU30">
        <v>-86.45</v>
      </c>
      <c r="OZ30">
        <v>12.14</v>
      </c>
      <c r="PA30">
        <v>-96.17</v>
      </c>
      <c r="PD30">
        <v>-88.67</v>
      </c>
      <c r="PE30">
        <v>5.0999999999999996</v>
      </c>
      <c r="PH30">
        <v>200723</v>
      </c>
      <c r="PI30">
        <v>8</v>
      </c>
      <c r="PJ30">
        <v>0</v>
      </c>
      <c r="PM30">
        <v>4.3899999999999997</v>
      </c>
      <c r="PN30">
        <v>-97.98</v>
      </c>
      <c r="PQ30">
        <v>3.74</v>
      </c>
      <c r="PR30">
        <v>-94.62</v>
      </c>
      <c r="PS30">
        <v>7.74</v>
      </c>
      <c r="PT30">
        <v>-100</v>
      </c>
      <c r="PU30">
        <v>5.25</v>
      </c>
      <c r="PV30">
        <v>-100</v>
      </c>
      <c r="PW30">
        <v>8.2899999999999991</v>
      </c>
      <c r="PX30">
        <v>-95.96</v>
      </c>
      <c r="PY30">
        <v>4.45</v>
      </c>
      <c r="PZ30">
        <v>-94.4</v>
      </c>
      <c r="QC30">
        <v>-89.96</v>
      </c>
      <c r="QD30">
        <v>2.06</v>
      </c>
      <c r="QF30">
        <v>170522</v>
      </c>
      <c r="QG30">
        <v>6</v>
      </c>
      <c r="QH30">
        <v>0</v>
      </c>
      <c r="RA30">
        <v>-81.73</v>
      </c>
      <c r="RB30">
        <v>4.17</v>
      </c>
    </row>
    <row r="31" spans="1:470" ht="13.15" x14ac:dyDescent="0.4">
      <c r="A31">
        <v>50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1</v>
      </c>
      <c r="K31">
        <v>0.5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1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1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2</v>
      </c>
      <c r="CF31">
        <v>0</v>
      </c>
      <c r="CG31">
        <v>0</v>
      </c>
      <c r="CH31">
        <v>0</v>
      </c>
      <c r="CI31">
        <v>0</v>
      </c>
      <c r="CJ31">
        <v>0.5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1</v>
      </c>
      <c r="CQ31">
        <v>0</v>
      </c>
      <c r="CR31">
        <v>0</v>
      </c>
      <c r="CS31">
        <v>0</v>
      </c>
      <c r="CT31">
        <v>0.5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 s="1">
        <f>AVERAGE(Supplementary_Fig7!B31:DB31)</f>
        <v>8.0952380952380956E-2</v>
      </c>
      <c r="DD31" s="1">
        <f t="shared" ref="DD31:DD38" si="10">STDEV(B31:DB31)/SQRT(95)</f>
        <v>3.0285257770893578E-2</v>
      </c>
      <c r="DZ31">
        <v>70223</v>
      </c>
      <c r="EA31">
        <v>3</v>
      </c>
      <c r="EB31">
        <v>0</v>
      </c>
      <c r="ED31">
        <v>1</v>
      </c>
      <c r="EG31">
        <v>1</v>
      </c>
      <c r="EH31">
        <v>1</v>
      </c>
      <c r="EK31">
        <f t="shared" si="1"/>
        <v>3</v>
      </c>
      <c r="EM31">
        <v>221223</v>
      </c>
      <c r="EN31">
        <v>8</v>
      </c>
      <c r="EO31">
        <v>0</v>
      </c>
      <c r="EX31">
        <f t="shared" si="2"/>
        <v>0</v>
      </c>
      <c r="FA31">
        <v>20622</v>
      </c>
      <c r="FB31">
        <v>4</v>
      </c>
      <c r="FC31">
        <v>0</v>
      </c>
      <c r="FL31">
        <f>SUM(Supplementary_Fig7!FD31:FK31)</f>
        <v>0</v>
      </c>
      <c r="FO31" t="s">
        <v>434</v>
      </c>
      <c r="FQ31">
        <v>85.68</v>
      </c>
      <c r="FS31" t="s">
        <v>434</v>
      </c>
      <c r="FU31">
        <f t="shared" si="8"/>
        <v>53.978400000000001</v>
      </c>
      <c r="GH31" t="s">
        <v>1061</v>
      </c>
      <c r="GJ31">
        <v>22.17</v>
      </c>
      <c r="GL31" t="s">
        <v>1061</v>
      </c>
      <c r="GN31">
        <f t="shared" si="9"/>
        <v>13.9671</v>
      </c>
      <c r="GQ31" t="s">
        <v>418</v>
      </c>
      <c r="GR31" t="s">
        <v>422</v>
      </c>
      <c r="GS31" t="s">
        <v>1058</v>
      </c>
      <c r="GT31" t="s">
        <v>426</v>
      </c>
      <c r="GU31" t="s">
        <v>429</v>
      </c>
      <c r="GV31" t="s">
        <v>432</v>
      </c>
      <c r="GW31" t="s">
        <v>435</v>
      </c>
      <c r="GX31" t="s">
        <v>438</v>
      </c>
      <c r="GZ31" t="s">
        <v>436</v>
      </c>
      <c r="HB31">
        <v>40.549999999999997</v>
      </c>
      <c r="HD31" t="s">
        <v>436</v>
      </c>
      <c r="HF31">
        <f>63*Supplementary_Fig7!HB31/100</f>
        <v>25.546499999999995</v>
      </c>
      <c r="HJ31" s="1">
        <f>AVERAGE(Supplementary_Fig7!HJ27:HJ30)</f>
        <v>50.166033333333331</v>
      </c>
      <c r="HL31" s="1">
        <f>AVERAGE(Supplementary_Fig7!HL27:HL30)</f>
        <v>39.199399999999997</v>
      </c>
      <c r="HN31" s="1">
        <f>AVERAGE(Supplementary_Fig7!HN27:HN30)</f>
        <v>32.159433333333332</v>
      </c>
      <c r="HO31" s="1">
        <f>AVERAGE(Supplementary_Fig7!HO27:HO30)</f>
        <v>42.948349999999998</v>
      </c>
      <c r="HP31" s="1">
        <f>AVERAGE(Supplementary_Fig7!HP27:HP30)</f>
        <v>47.870925</v>
      </c>
      <c r="HQ31" s="1">
        <f>AVERAGE(Supplementary_Fig7!HQ27:HQ30)</f>
        <v>40.559066666666666</v>
      </c>
      <c r="HV31" t="s">
        <v>431</v>
      </c>
      <c r="HW31">
        <v>79.650000000000006</v>
      </c>
      <c r="HZ31">
        <f>AVERAGE(Supplementary_Fig7!HZ22:HZ30)</f>
        <v>77.15251111111111</v>
      </c>
      <c r="IA31">
        <v>75.622600000000006</v>
      </c>
      <c r="IB31">
        <v>78.801000000000002</v>
      </c>
      <c r="IC31">
        <v>82.192999999999998</v>
      </c>
      <c r="ID31">
        <v>69.593800000000002</v>
      </c>
      <c r="IE31">
        <v>50.857500000000002</v>
      </c>
      <c r="IF31">
        <v>67.613200000000006</v>
      </c>
      <c r="IG31">
        <v>69.752499999999998</v>
      </c>
      <c r="IH31">
        <v>89.1678</v>
      </c>
      <c r="II31">
        <v>55.525199999999998</v>
      </c>
      <c r="IJ31">
        <v>67.483500000000006</v>
      </c>
      <c r="IK31">
        <v>83.4</v>
      </c>
      <c r="IX31" t="s">
        <v>1061</v>
      </c>
      <c r="JB31">
        <v>100.616</v>
      </c>
      <c r="JC31">
        <v>97.834800000000001</v>
      </c>
      <c r="JD31">
        <v>92.887900000000002</v>
      </c>
      <c r="JE31">
        <v>99.876400000000004</v>
      </c>
      <c r="JG31">
        <v>79.159499999999994</v>
      </c>
      <c r="JH31">
        <v>115.92100000000001</v>
      </c>
      <c r="JI31">
        <v>123.997</v>
      </c>
      <c r="JJ31">
        <v>94.050600000000003</v>
      </c>
      <c r="JK31">
        <v>83.993499999999997</v>
      </c>
      <c r="JL31">
        <v>94.003299999999996</v>
      </c>
      <c r="JM31">
        <v>100.291</v>
      </c>
      <c r="JO31">
        <v>94.724999999999994</v>
      </c>
      <c r="JQ31">
        <v>90.625</v>
      </c>
      <c r="JV31" t="s">
        <v>436</v>
      </c>
      <c r="JW31">
        <v>110.89</v>
      </c>
      <c r="JZ31">
        <v>111.76900000000001</v>
      </c>
      <c r="KA31">
        <v>105.438</v>
      </c>
      <c r="KB31">
        <v>102.82899999999999</v>
      </c>
      <c r="KC31">
        <v>100.748</v>
      </c>
      <c r="KD31">
        <v>98.503100000000003</v>
      </c>
      <c r="KE31">
        <v>74.351500000000001</v>
      </c>
      <c r="KG31">
        <v>77.587900000000005</v>
      </c>
      <c r="KK31">
        <v>115.26</v>
      </c>
      <c r="KM31">
        <v>82.215900000000005</v>
      </c>
      <c r="KO31">
        <v>88.510099999999994</v>
      </c>
      <c r="KP31">
        <v>94.386300000000006</v>
      </c>
      <c r="KQ31">
        <v>97.848500000000001</v>
      </c>
      <c r="KT31" t="s">
        <v>431</v>
      </c>
      <c r="KU31">
        <v>2.2999999999999998</v>
      </c>
      <c r="KY31">
        <v>2.0944400000000001</v>
      </c>
      <c r="KZ31">
        <v>2.0211999999999999</v>
      </c>
      <c r="LA31">
        <v>1.8026599999999999</v>
      </c>
      <c r="LB31">
        <v>2.9397500000000001</v>
      </c>
      <c r="LC31">
        <v>3.1682899999999998</v>
      </c>
      <c r="LD31">
        <v>3.0949599999999999</v>
      </c>
      <c r="LE31">
        <v>2.4630800000000002</v>
      </c>
      <c r="LF31">
        <v>1.72166</v>
      </c>
      <c r="LG31">
        <v>2.66195</v>
      </c>
      <c r="LH31">
        <v>2.0600100000000001</v>
      </c>
      <c r="LI31">
        <v>1.9492</v>
      </c>
      <c r="LJ31">
        <v>2.1381000000000001</v>
      </c>
      <c r="LK31">
        <v>2.0264000000000002</v>
      </c>
      <c r="LL31">
        <v>1.9027700000000001</v>
      </c>
      <c r="LM31">
        <v>2.5470000000000002</v>
      </c>
      <c r="LW31" t="s">
        <v>1061</v>
      </c>
      <c r="MB31">
        <v>1.6498900000000001</v>
      </c>
      <c r="MC31">
        <v>1.60663</v>
      </c>
      <c r="MD31">
        <v>1.57121</v>
      </c>
      <c r="ME31">
        <v>1.47068</v>
      </c>
      <c r="MF31">
        <v>1.60802</v>
      </c>
      <c r="MG31">
        <v>1.82958</v>
      </c>
      <c r="MH31">
        <v>1.73342</v>
      </c>
      <c r="MI31">
        <v>1.9257</v>
      </c>
      <c r="MJ31">
        <v>1.9681900000000001</v>
      </c>
      <c r="MK31">
        <v>1.79765</v>
      </c>
      <c r="ML31">
        <v>1.7973600000000001</v>
      </c>
      <c r="MM31">
        <v>1.9131</v>
      </c>
      <c r="MN31">
        <v>1.7614000000000001</v>
      </c>
      <c r="MO31">
        <v>1.8183400000000001</v>
      </c>
      <c r="MP31">
        <v>1.80514</v>
      </c>
      <c r="MQ31">
        <v>1.61188</v>
      </c>
      <c r="MR31">
        <v>1.4981</v>
      </c>
      <c r="MS31">
        <v>1.7804199999999999</v>
      </c>
      <c r="MT31">
        <v>1.67083</v>
      </c>
      <c r="MU31">
        <v>1.8526400000000001</v>
      </c>
      <c r="MV31">
        <v>0.98644900000000002</v>
      </c>
      <c r="MW31">
        <v>2.6107</v>
      </c>
      <c r="MZ31" t="s">
        <v>436</v>
      </c>
      <c r="NA31">
        <v>1.59</v>
      </c>
      <c r="ND31">
        <v>1.1524099999999999</v>
      </c>
      <c r="NE31">
        <v>1.39842</v>
      </c>
      <c r="NG31">
        <v>1.66832</v>
      </c>
      <c r="NK31">
        <v>1.59494</v>
      </c>
      <c r="NM31">
        <v>1.7244299999999999</v>
      </c>
      <c r="NO31">
        <v>1.4952300000000001</v>
      </c>
      <c r="NP31">
        <v>1.52555</v>
      </c>
      <c r="NQ31">
        <v>1.48963</v>
      </c>
      <c r="NZ31" t="s">
        <v>434</v>
      </c>
      <c r="OA31">
        <v>204.75899999999999</v>
      </c>
      <c r="OC31" t="s">
        <v>1061</v>
      </c>
      <c r="OD31">
        <v>297.25400000000002</v>
      </c>
      <c r="OF31" t="s">
        <v>436</v>
      </c>
      <c r="OG31">
        <v>256.53199999999998</v>
      </c>
      <c r="OI31">
        <v>70223</v>
      </c>
      <c r="OJ31">
        <v>3</v>
      </c>
      <c r="OK31">
        <v>0</v>
      </c>
      <c r="PD31">
        <v>-88.88</v>
      </c>
      <c r="PE31">
        <v>3.9</v>
      </c>
      <c r="PH31">
        <v>221223</v>
      </c>
      <c r="PI31">
        <v>8</v>
      </c>
      <c r="PJ31">
        <v>0</v>
      </c>
      <c r="QC31">
        <v>-90.12</v>
      </c>
      <c r="QD31">
        <v>7.21</v>
      </c>
      <c r="QF31">
        <v>20622</v>
      </c>
      <c r="QG31">
        <v>4</v>
      </c>
      <c r="QH31">
        <v>0</v>
      </c>
      <c r="RA31">
        <v>-81.73</v>
      </c>
      <c r="RB31">
        <v>4.74</v>
      </c>
    </row>
    <row r="32" spans="1:470" ht="13.15" x14ac:dyDescent="0.4">
      <c r="A32">
        <v>100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</v>
      </c>
      <c r="K32">
        <v>0.5</v>
      </c>
      <c r="L32">
        <v>0</v>
      </c>
      <c r="M32">
        <v>1</v>
      </c>
      <c r="N32">
        <v>0</v>
      </c>
      <c r="O32">
        <v>0</v>
      </c>
      <c r="P32">
        <v>0</v>
      </c>
      <c r="Q32">
        <v>1.5</v>
      </c>
      <c r="R32">
        <v>0</v>
      </c>
      <c r="S32">
        <v>2</v>
      </c>
      <c r="T32">
        <v>0</v>
      </c>
      <c r="U32">
        <v>1</v>
      </c>
      <c r="V32">
        <v>0.5</v>
      </c>
      <c r="W32">
        <v>1</v>
      </c>
      <c r="X32">
        <v>0</v>
      </c>
      <c r="Y32">
        <v>1</v>
      </c>
      <c r="Z32">
        <v>0</v>
      </c>
      <c r="AA32">
        <v>0</v>
      </c>
      <c r="AB32">
        <v>0</v>
      </c>
      <c r="AC32">
        <v>1</v>
      </c>
      <c r="AD32">
        <v>0</v>
      </c>
      <c r="AE32">
        <v>3.5</v>
      </c>
      <c r="AF32">
        <v>0</v>
      </c>
      <c r="AG32">
        <v>0.5</v>
      </c>
      <c r="AH32">
        <v>0</v>
      </c>
      <c r="AI32">
        <v>1</v>
      </c>
      <c r="AJ32">
        <v>0</v>
      </c>
      <c r="AK32">
        <v>0</v>
      </c>
      <c r="AL32">
        <v>0</v>
      </c>
      <c r="AM32">
        <v>0.5</v>
      </c>
      <c r="AN32">
        <v>1</v>
      </c>
      <c r="AO32">
        <v>1</v>
      </c>
      <c r="AP32">
        <v>0</v>
      </c>
      <c r="AQ32">
        <v>1</v>
      </c>
      <c r="AR32">
        <v>0</v>
      </c>
      <c r="AS32">
        <v>0.5</v>
      </c>
      <c r="AT32">
        <v>0</v>
      </c>
      <c r="AU32">
        <v>1</v>
      </c>
      <c r="AV32">
        <v>1</v>
      </c>
      <c r="AW32">
        <v>0</v>
      </c>
      <c r="AX32">
        <v>0</v>
      </c>
      <c r="AY32">
        <v>1</v>
      </c>
      <c r="AZ32">
        <v>1</v>
      </c>
      <c r="BA32">
        <v>1</v>
      </c>
      <c r="BB32">
        <v>0</v>
      </c>
      <c r="BC32">
        <v>0.5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0.5</v>
      </c>
      <c r="BN32">
        <v>0</v>
      </c>
      <c r="BO32">
        <v>0</v>
      </c>
      <c r="BP32">
        <v>0</v>
      </c>
      <c r="BQ32">
        <v>3</v>
      </c>
      <c r="BR32">
        <v>0</v>
      </c>
      <c r="BS32">
        <v>0</v>
      </c>
      <c r="BT32">
        <v>0</v>
      </c>
      <c r="BU32">
        <v>3</v>
      </c>
      <c r="BV32">
        <v>0</v>
      </c>
      <c r="BW32">
        <v>1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2.5</v>
      </c>
      <c r="CF32">
        <v>1</v>
      </c>
      <c r="CG32">
        <v>0</v>
      </c>
      <c r="CH32">
        <v>0</v>
      </c>
      <c r="CI32">
        <v>0</v>
      </c>
      <c r="CJ32">
        <v>1</v>
      </c>
      <c r="CK32">
        <v>1</v>
      </c>
      <c r="CL32">
        <v>0</v>
      </c>
      <c r="CM32">
        <v>2</v>
      </c>
      <c r="CN32">
        <v>0</v>
      </c>
      <c r="CO32">
        <v>0</v>
      </c>
      <c r="CP32">
        <v>2</v>
      </c>
      <c r="CQ32">
        <v>0</v>
      </c>
      <c r="CR32">
        <v>0</v>
      </c>
      <c r="CS32">
        <v>0</v>
      </c>
      <c r="CT32">
        <v>0.5</v>
      </c>
      <c r="CU32">
        <v>0</v>
      </c>
      <c r="CV32">
        <v>0</v>
      </c>
      <c r="CW32">
        <v>1</v>
      </c>
      <c r="CX32">
        <v>0.5</v>
      </c>
      <c r="CY32">
        <v>0</v>
      </c>
      <c r="CZ32">
        <v>0</v>
      </c>
      <c r="DA32">
        <v>0</v>
      </c>
      <c r="DB32">
        <v>0</v>
      </c>
      <c r="DC32" s="1">
        <f>AVERAGE(Supplementary_Fig7!B32:DB32)</f>
        <v>0.41904761904761906</v>
      </c>
      <c r="DD32" s="1">
        <f t="shared" si="10"/>
        <v>7.4313255857513111E-2</v>
      </c>
      <c r="DZ32">
        <v>150223</v>
      </c>
      <c r="EA32">
        <v>3</v>
      </c>
      <c r="EB32">
        <v>0</v>
      </c>
      <c r="EK32">
        <f t="shared" si="1"/>
        <v>0</v>
      </c>
      <c r="EM32">
        <v>120224</v>
      </c>
      <c r="EN32">
        <v>7</v>
      </c>
      <c r="EO32">
        <v>1</v>
      </c>
      <c r="EX32">
        <f t="shared" si="2"/>
        <v>0</v>
      </c>
      <c r="FA32">
        <v>70622</v>
      </c>
      <c r="FB32">
        <v>8</v>
      </c>
      <c r="FC32">
        <v>0</v>
      </c>
      <c r="FL32">
        <f>SUM(Supplementary_Fig7!FD32:FK32)</f>
        <v>0</v>
      </c>
      <c r="FO32" t="s">
        <v>437</v>
      </c>
      <c r="FQ32">
        <v>45.29</v>
      </c>
      <c r="FS32" t="s">
        <v>437</v>
      </c>
      <c r="FU32">
        <f t="shared" si="8"/>
        <v>28.532699999999998</v>
      </c>
      <c r="FW32" t="s">
        <v>458</v>
      </c>
      <c r="FX32" t="s">
        <v>461</v>
      </c>
      <c r="FY32" t="s">
        <v>464</v>
      </c>
      <c r="FZ32" t="s">
        <v>467</v>
      </c>
      <c r="GA32" t="s">
        <v>470</v>
      </c>
      <c r="GB32" t="s">
        <v>473</v>
      </c>
      <c r="GH32" t="s">
        <v>415</v>
      </c>
      <c r="GJ32">
        <v>60.95</v>
      </c>
      <c r="GL32" t="s">
        <v>415</v>
      </c>
      <c r="GN32">
        <f t="shared" si="9"/>
        <v>38.398500000000006</v>
      </c>
      <c r="GQ32">
        <v>61.611199999999997</v>
      </c>
      <c r="GR32">
        <v>65.299000000000007</v>
      </c>
      <c r="GS32">
        <v>24.075099999999999</v>
      </c>
      <c r="GT32">
        <v>137.934</v>
      </c>
      <c r="GU32">
        <v>97.312899999999999</v>
      </c>
      <c r="GW32">
        <v>95.762500000000003</v>
      </c>
      <c r="GX32">
        <v>83.753900000000002</v>
      </c>
      <c r="GZ32" t="s">
        <v>439</v>
      </c>
      <c r="HB32">
        <v>66.55</v>
      </c>
      <c r="HD32" t="s">
        <v>439</v>
      </c>
      <c r="HF32">
        <f>63*Supplementary_Fig7!HB32/100</f>
        <v>41.926499999999997</v>
      </c>
      <c r="HV32" t="s">
        <v>434</v>
      </c>
      <c r="HW32">
        <v>94.39</v>
      </c>
      <c r="IA32">
        <v>75.277699999999996</v>
      </c>
      <c r="IB32">
        <v>76.808199999999999</v>
      </c>
      <c r="IC32">
        <v>81.880200000000002</v>
      </c>
      <c r="ID32">
        <v>68.661500000000004</v>
      </c>
      <c r="IE32">
        <v>49.35</v>
      </c>
      <c r="IF32">
        <v>67.515600000000006</v>
      </c>
      <c r="IG32">
        <v>90.6143</v>
      </c>
      <c r="IH32">
        <v>89.150999999999996</v>
      </c>
      <c r="II32">
        <v>77.371200000000002</v>
      </c>
      <c r="IJ32">
        <v>72.796599999999998</v>
      </c>
      <c r="IK32">
        <v>82.813999999999993</v>
      </c>
      <c r="IX32" t="s">
        <v>415</v>
      </c>
      <c r="IY32">
        <v>91.97</v>
      </c>
      <c r="JB32">
        <v>99.441500000000005</v>
      </c>
      <c r="JC32">
        <v>125.05</v>
      </c>
      <c r="JD32">
        <v>93.354799999999997</v>
      </c>
      <c r="JE32">
        <v>99.755899999999997</v>
      </c>
      <c r="JG32">
        <v>77.636700000000005</v>
      </c>
      <c r="JH32">
        <v>116.71299999999999</v>
      </c>
      <c r="JI32">
        <v>125.861</v>
      </c>
      <c r="JJ32">
        <v>95.498699999999999</v>
      </c>
      <c r="JK32">
        <v>84.475700000000003</v>
      </c>
      <c r="JL32">
        <v>94.268799999999999</v>
      </c>
      <c r="JM32">
        <v>99.890100000000004</v>
      </c>
      <c r="JO32">
        <v>95.005799999999994</v>
      </c>
      <c r="JQ32">
        <v>90.994299999999996</v>
      </c>
      <c r="JV32" t="s">
        <v>439</v>
      </c>
      <c r="JW32">
        <v>121.16</v>
      </c>
      <c r="JZ32">
        <v>111.798</v>
      </c>
      <c r="KA32">
        <v>106.035</v>
      </c>
      <c r="KB32">
        <f>AVERAGE(Supplementary_Fig7!KB23:KB31)</f>
        <v>95.405011111111108</v>
      </c>
      <c r="KC32">
        <v>99.844399999999993</v>
      </c>
      <c r="KD32">
        <v>100.023</v>
      </c>
      <c r="KE32">
        <v>70.846599999999995</v>
      </c>
      <c r="KG32">
        <v>89.520300000000006</v>
      </c>
      <c r="KK32">
        <v>117.188</v>
      </c>
      <c r="KM32">
        <v>78.291300000000007</v>
      </c>
      <c r="KO32">
        <v>89.2517</v>
      </c>
      <c r="KP32">
        <v>96.163899999999998</v>
      </c>
      <c r="KQ32">
        <v>95.584100000000007</v>
      </c>
      <c r="KT32" t="s">
        <v>434</v>
      </c>
      <c r="KU32">
        <v>2.109</v>
      </c>
      <c r="KY32">
        <v>2.0120800000000001</v>
      </c>
      <c r="KZ32">
        <v>2.0099</v>
      </c>
      <c r="LA32">
        <v>1.8693200000000001</v>
      </c>
      <c r="LB32">
        <v>3.1814300000000002</v>
      </c>
      <c r="LC32">
        <v>3.31393</v>
      </c>
      <c r="LD32">
        <v>3.0857700000000001</v>
      </c>
      <c r="LE32">
        <v>2.44814</v>
      </c>
      <c r="LF32">
        <v>1.69079</v>
      </c>
      <c r="LG32">
        <v>2.5950500000000001</v>
      </c>
      <c r="LH32">
        <v>2.13951</v>
      </c>
      <c r="LI32">
        <v>1.92319</v>
      </c>
      <c r="LJ32">
        <v>2.0529799999999998</v>
      </c>
      <c r="LK32">
        <v>1.9748699999999999</v>
      </c>
      <c r="LL32">
        <v>1.91828</v>
      </c>
      <c r="LM32">
        <v>2.5465300000000002</v>
      </c>
      <c r="LW32" t="s">
        <v>415</v>
      </c>
      <c r="LX32">
        <v>1.76</v>
      </c>
      <c r="MB32">
        <v>1.6653199999999999</v>
      </c>
      <c r="MC32">
        <v>1.6237600000000001</v>
      </c>
      <c r="MD32">
        <v>1.5587</v>
      </c>
      <c r="ME32">
        <v>1.48577</v>
      </c>
      <c r="MF32">
        <v>1.5715699999999999</v>
      </c>
      <c r="MG32">
        <v>1.73444</v>
      </c>
      <c r="MH32">
        <v>1.74556</v>
      </c>
      <c r="MI32">
        <f>AVERAGE(MI21:MI31)</f>
        <v>1.9352754545454545</v>
      </c>
      <c r="MJ32">
        <v>2.1884700000000001</v>
      </c>
      <c r="MK32">
        <v>1.75867</v>
      </c>
      <c r="ML32">
        <f>AVERAGE(ML21:ML31)</f>
        <v>1.7632800000000002</v>
      </c>
      <c r="MM32">
        <f>AVERAGE(MM21:MM31)</f>
        <v>1.8889581818181818</v>
      </c>
      <c r="MN32">
        <v>1.8049999999999999</v>
      </c>
      <c r="MO32">
        <v>1.8157300000000001</v>
      </c>
      <c r="MP32">
        <v>1.8770899999999999</v>
      </c>
      <c r="MQ32">
        <v>1.62175</v>
      </c>
      <c r="MR32">
        <v>1.46099</v>
      </c>
      <c r="MS32">
        <v>1.8087599999999999</v>
      </c>
      <c r="MT32">
        <v>1.6832</v>
      </c>
      <c r="MU32">
        <v>1.8024800000000001</v>
      </c>
      <c r="MV32">
        <v>0.96754200000000001</v>
      </c>
      <c r="MW32">
        <v>2.8684699999999999</v>
      </c>
      <c r="MZ32" t="s">
        <v>439</v>
      </c>
      <c r="NA32">
        <v>1.52</v>
      </c>
      <c r="ND32">
        <v>1.1495299999999999</v>
      </c>
      <c r="NE32">
        <v>1.40191</v>
      </c>
      <c r="NG32">
        <v>1.6097900000000001</v>
      </c>
      <c r="NK32">
        <v>1.5706</v>
      </c>
      <c r="NM32">
        <v>1.7896399999999999</v>
      </c>
      <c r="NO32">
        <v>1.43079</v>
      </c>
      <c r="NP32">
        <f>AVERAGE(Supplementary_Fig7!NP22:NP31)</f>
        <v>1.5019800000000001</v>
      </c>
      <c r="NQ32">
        <v>1.5412699999999999</v>
      </c>
      <c r="NZ32" t="s">
        <v>437</v>
      </c>
      <c r="OA32">
        <v>175.15299999999999</v>
      </c>
      <c r="OC32" t="s">
        <v>415</v>
      </c>
      <c r="OD32">
        <v>273.82600000000002</v>
      </c>
      <c r="OF32" t="s">
        <v>439</v>
      </c>
      <c r="OG32">
        <v>288.339</v>
      </c>
      <c r="OI32">
        <v>150223</v>
      </c>
      <c r="OJ32">
        <v>3</v>
      </c>
      <c r="OK32">
        <v>0</v>
      </c>
      <c r="PD32">
        <v>-89.33</v>
      </c>
      <c r="PE32">
        <v>6.08</v>
      </c>
      <c r="PH32">
        <v>120224</v>
      </c>
      <c r="PI32">
        <v>7</v>
      </c>
      <c r="PJ32">
        <v>1</v>
      </c>
      <c r="QC32">
        <v>-90.4</v>
      </c>
      <c r="QD32">
        <v>2.2799999999999998</v>
      </c>
      <c r="QF32">
        <v>70622</v>
      </c>
      <c r="QG32">
        <v>8</v>
      </c>
      <c r="QH32">
        <v>0</v>
      </c>
      <c r="QM32">
        <v>4.74</v>
      </c>
      <c r="QN32">
        <v>-81.73</v>
      </c>
      <c r="QO32">
        <v>5.07</v>
      </c>
      <c r="QP32">
        <v>-92.67</v>
      </c>
      <c r="QQ32">
        <v>7.56</v>
      </c>
      <c r="QR32">
        <v>-84.81</v>
      </c>
      <c r="QS32">
        <v>8.15</v>
      </c>
      <c r="QT32">
        <v>-96.66</v>
      </c>
      <c r="QU32">
        <v>10.1</v>
      </c>
      <c r="QV32">
        <v>-94.11</v>
      </c>
      <c r="QW32">
        <v>5.93</v>
      </c>
      <c r="QX32">
        <v>-93.09</v>
      </c>
      <c r="RA32">
        <v>-81.77</v>
      </c>
      <c r="RB32">
        <v>1.1399999999999999</v>
      </c>
    </row>
    <row r="33" spans="1:470" ht="13.15" x14ac:dyDescent="0.4">
      <c r="A33">
        <v>150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0.5</v>
      </c>
      <c r="I33">
        <v>0</v>
      </c>
      <c r="J33">
        <v>1</v>
      </c>
      <c r="K33">
        <v>1</v>
      </c>
      <c r="L33">
        <v>0</v>
      </c>
      <c r="M33">
        <v>1</v>
      </c>
      <c r="N33">
        <v>0</v>
      </c>
      <c r="O33">
        <v>1</v>
      </c>
      <c r="P33">
        <v>0.5</v>
      </c>
      <c r="Q33">
        <v>2</v>
      </c>
      <c r="R33">
        <v>0</v>
      </c>
      <c r="S33">
        <v>1.5</v>
      </c>
      <c r="T33">
        <v>0</v>
      </c>
      <c r="U33">
        <v>1</v>
      </c>
      <c r="V33">
        <v>1</v>
      </c>
      <c r="W33">
        <v>1</v>
      </c>
      <c r="X33">
        <v>0</v>
      </c>
      <c r="Y33">
        <v>1</v>
      </c>
      <c r="Z33">
        <v>0</v>
      </c>
      <c r="AA33">
        <v>0</v>
      </c>
      <c r="AB33">
        <v>0</v>
      </c>
      <c r="AC33">
        <v>2.5</v>
      </c>
      <c r="AD33">
        <v>0</v>
      </c>
      <c r="AE33">
        <v>3.5</v>
      </c>
      <c r="AF33">
        <v>0</v>
      </c>
      <c r="AG33">
        <v>1</v>
      </c>
      <c r="AH33">
        <v>0</v>
      </c>
      <c r="AI33">
        <v>1.5</v>
      </c>
      <c r="AJ33">
        <v>0</v>
      </c>
      <c r="AK33">
        <v>1.5</v>
      </c>
      <c r="AL33">
        <v>1</v>
      </c>
      <c r="AM33">
        <v>2.5</v>
      </c>
      <c r="AN33">
        <v>1.5</v>
      </c>
      <c r="AO33">
        <v>2</v>
      </c>
      <c r="AP33">
        <v>0.5</v>
      </c>
      <c r="AQ33">
        <v>1.5</v>
      </c>
      <c r="AR33">
        <v>1</v>
      </c>
      <c r="AS33">
        <v>1.5</v>
      </c>
      <c r="AT33">
        <v>1</v>
      </c>
      <c r="AU33">
        <v>1</v>
      </c>
      <c r="AV33">
        <v>1.5</v>
      </c>
      <c r="AW33">
        <v>1</v>
      </c>
      <c r="AX33">
        <v>0.5</v>
      </c>
      <c r="AY33">
        <v>2.5</v>
      </c>
      <c r="AZ33">
        <v>3</v>
      </c>
      <c r="BA33">
        <v>1.5</v>
      </c>
      <c r="BB33">
        <v>1</v>
      </c>
      <c r="BC33">
        <v>1.5</v>
      </c>
      <c r="BD33">
        <v>1</v>
      </c>
      <c r="BE33">
        <v>2</v>
      </c>
      <c r="BF33">
        <v>0</v>
      </c>
      <c r="BG33">
        <v>0</v>
      </c>
      <c r="BH33">
        <v>0</v>
      </c>
      <c r="BI33">
        <v>1</v>
      </c>
      <c r="BJ33">
        <v>1</v>
      </c>
      <c r="BK33">
        <v>13</v>
      </c>
      <c r="BL33">
        <v>0</v>
      </c>
      <c r="BM33">
        <v>1</v>
      </c>
      <c r="BN33">
        <v>0</v>
      </c>
      <c r="BO33">
        <v>0</v>
      </c>
      <c r="BP33">
        <v>0</v>
      </c>
      <c r="BQ33">
        <v>6</v>
      </c>
      <c r="BR33">
        <v>0</v>
      </c>
      <c r="BS33">
        <v>0</v>
      </c>
      <c r="BT33">
        <v>0</v>
      </c>
      <c r="BU33">
        <v>5</v>
      </c>
      <c r="BV33">
        <v>0</v>
      </c>
      <c r="BW33">
        <v>2</v>
      </c>
      <c r="BX33">
        <v>1</v>
      </c>
      <c r="BY33">
        <v>0</v>
      </c>
      <c r="BZ33">
        <v>0.5</v>
      </c>
      <c r="CA33">
        <v>1</v>
      </c>
      <c r="CB33">
        <v>0</v>
      </c>
      <c r="CC33">
        <v>0.5</v>
      </c>
      <c r="CD33">
        <v>0</v>
      </c>
      <c r="CE33">
        <v>3.5</v>
      </c>
      <c r="CF33">
        <v>2.5</v>
      </c>
      <c r="CG33">
        <v>0</v>
      </c>
      <c r="CH33">
        <v>0</v>
      </c>
      <c r="CI33">
        <v>0</v>
      </c>
      <c r="CJ33">
        <v>1</v>
      </c>
      <c r="CK33">
        <v>1</v>
      </c>
      <c r="CL33">
        <v>0.5</v>
      </c>
      <c r="CM33">
        <v>3.5</v>
      </c>
      <c r="CN33">
        <v>0</v>
      </c>
      <c r="CO33">
        <v>0</v>
      </c>
      <c r="CP33">
        <v>2.5</v>
      </c>
      <c r="CQ33">
        <v>0</v>
      </c>
      <c r="CR33">
        <v>1</v>
      </c>
      <c r="CS33">
        <v>0</v>
      </c>
      <c r="CT33">
        <v>1</v>
      </c>
      <c r="CU33">
        <v>0.5</v>
      </c>
      <c r="CV33">
        <v>0</v>
      </c>
      <c r="CW33">
        <v>1</v>
      </c>
      <c r="CX33">
        <v>1</v>
      </c>
      <c r="CY33">
        <v>0</v>
      </c>
      <c r="CZ33">
        <v>0</v>
      </c>
      <c r="DA33">
        <v>0</v>
      </c>
      <c r="DB33">
        <v>0</v>
      </c>
      <c r="DC33" s="1">
        <f>AVERAGE(Supplementary_Fig7!B33:DB33)</f>
        <v>0.97619047619047616</v>
      </c>
      <c r="DD33" s="1">
        <f t="shared" si="10"/>
        <v>0.16598085232675797</v>
      </c>
      <c r="DZ33">
        <v>1502232</v>
      </c>
      <c r="EA33">
        <v>8</v>
      </c>
      <c r="EB33">
        <v>0</v>
      </c>
      <c r="EC33">
        <v>1</v>
      </c>
      <c r="ED33">
        <v>1</v>
      </c>
      <c r="EH33">
        <v>1</v>
      </c>
      <c r="EK33">
        <f t="shared" si="1"/>
        <v>3</v>
      </c>
      <c r="EM33">
        <v>130224</v>
      </c>
      <c r="EN33">
        <v>6</v>
      </c>
      <c r="EO33">
        <v>0</v>
      </c>
      <c r="EP33" s="36"/>
      <c r="EX33">
        <f t="shared" si="2"/>
        <v>0</v>
      </c>
      <c r="FA33">
        <v>706222</v>
      </c>
      <c r="FB33">
        <v>7</v>
      </c>
      <c r="FC33">
        <v>1</v>
      </c>
      <c r="FL33">
        <f>SUM(Supplementary_Fig7!FD33:FK33)</f>
        <v>0</v>
      </c>
      <c r="FO33" t="s">
        <v>440</v>
      </c>
      <c r="FQ33">
        <v>75.16</v>
      </c>
      <c r="FS33" t="s">
        <v>440</v>
      </c>
      <c r="FU33">
        <f t="shared" si="8"/>
        <v>47.3508</v>
      </c>
      <c r="FW33">
        <v>66.625100000000003</v>
      </c>
      <c r="FX33">
        <v>65.697199999999995</v>
      </c>
      <c r="FY33">
        <v>51.733800000000002</v>
      </c>
      <c r="FZ33">
        <v>72.780199999999994</v>
      </c>
      <c r="GA33">
        <v>39.239600000000003</v>
      </c>
      <c r="GB33">
        <v>40.766100000000002</v>
      </c>
      <c r="GH33" t="s">
        <v>418</v>
      </c>
      <c r="GJ33">
        <v>49.45</v>
      </c>
      <c r="GL33" t="s">
        <v>418</v>
      </c>
      <c r="GN33">
        <f t="shared" si="9"/>
        <v>31.153500000000005</v>
      </c>
      <c r="GQ33">
        <v>39.677799999999998</v>
      </c>
      <c r="GR33">
        <v>85.276600000000002</v>
      </c>
      <c r="GS33">
        <v>76.151200000000003</v>
      </c>
      <c r="GT33">
        <v>85.221699999999998</v>
      </c>
      <c r="GU33">
        <v>78.156899999999993</v>
      </c>
      <c r="GW33">
        <v>73.209199999999996</v>
      </c>
      <c r="GX33">
        <v>71.522099999999995</v>
      </c>
      <c r="GZ33" t="s">
        <v>442</v>
      </c>
      <c r="HB33">
        <v>56.7</v>
      </c>
      <c r="HD33" t="s">
        <v>442</v>
      </c>
      <c r="HF33">
        <f>63*Supplementary_Fig7!HB33/100</f>
        <v>35.721000000000004</v>
      </c>
      <c r="HJ33" t="s">
        <v>439</v>
      </c>
      <c r="HK33" t="s">
        <v>442</v>
      </c>
      <c r="HL33" t="s">
        <v>445</v>
      </c>
      <c r="HM33" t="s">
        <v>448</v>
      </c>
      <c r="HN33" t="s">
        <v>451</v>
      </c>
      <c r="HO33" t="s">
        <v>454</v>
      </c>
      <c r="HV33" t="s">
        <v>437</v>
      </c>
      <c r="HW33">
        <v>82.38</v>
      </c>
      <c r="IA33">
        <v>75.325000000000003</v>
      </c>
      <c r="IB33">
        <v>77.963300000000004</v>
      </c>
      <c r="IC33">
        <v>83.438100000000006</v>
      </c>
      <c r="ID33">
        <v>69.134500000000003</v>
      </c>
      <c r="IE33">
        <v>51.4236</v>
      </c>
      <c r="IF33">
        <v>66.581699999999998</v>
      </c>
      <c r="IG33">
        <v>91.551199999999994</v>
      </c>
      <c r="IH33">
        <v>88.484200000000001</v>
      </c>
      <c r="II33">
        <v>76.951599999999999</v>
      </c>
      <c r="IJ33">
        <v>70.929000000000002</v>
      </c>
      <c r="IK33">
        <v>81.089799999999997</v>
      </c>
      <c r="IX33" t="s">
        <v>418</v>
      </c>
      <c r="IY33">
        <v>93.77</v>
      </c>
      <c r="JB33">
        <v>98.608400000000003</v>
      </c>
      <c r="JC33">
        <v>126.607</v>
      </c>
      <c r="JD33">
        <v>92.466700000000003</v>
      </c>
      <c r="JE33">
        <v>100.67400000000001</v>
      </c>
      <c r="JG33">
        <v>117.29</v>
      </c>
      <c r="JH33">
        <v>116.93899999999999</v>
      </c>
      <c r="JI33">
        <v>124.336</v>
      </c>
      <c r="JJ33">
        <v>93.881200000000007</v>
      </c>
      <c r="JK33">
        <v>83.537300000000002</v>
      </c>
      <c r="JL33">
        <v>94.326800000000006</v>
      </c>
      <c r="JM33">
        <v>100.182</v>
      </c>
      <c r="JO33">
        <v>97.67</v>
      </c>
      <c r="JQ33">
        <v>91.633600000000001</v>
      </c>
      <c r="JV33" t="s">
        <v>442</v>
      </c>
      <c r="JW33">
        <v>95.05</v>
      </c>
      <c r="JZ33">
        <f>AVERAGE(Supplementary_Fig7!JZ23:JZ32)</f>
        <v>108.65589</v>
      </c>
      <c r="KA33">
        <v>89.225800000000007</v>
      </c>
      <c r="KC33">
        <v>95.725999999999999</v>
      </c>
      <c r="KD33">
        <v>99.972499999999997</v>
      </c>
      <c r="KE33">
        <v>74.777199999999993</v>
      </c>
      <c r="KG33">
        <v>90.968299999999999</v>
      </c>
      <c r="KK33">
        <v>116.809</v>
      </c>
      <c r="KM33">
        <v>98.614500000000007</v>
      </c>
      <c r="KO33">
        <v>92.729200000000006</v>
      </c>
      <c r="KP33">
        <f>AVERAGE(Supplementary_Fig7!KP23:KP32)</f>
        <v>97.994110000000006</v>
      </c>
      <c r="KQ33">
        <v>112.515</v>
      </c>
      <c r="KT33" t="s">
        <v>437</v>
      </c>
      <c r="KU33">
        <v>2.06</v>
      </c>
      <c r="KY33">
        <v>1.9553400000000001</v>
      </c>
      <c r="KZ33">
        <v>1.9639899999999999</v>
      </c>
      <c r="LA33">
        <v>1.8039400000000001</v>
      </c>
      <c r="LB33">
        <v>3.25596</v>
      </c>
      <c r="LC33">
        <v>3.3276400000000002</v>
      </c>
      <c r="LD33">
        <v>3.3513600000000001</v>
      </c>
      <c r="LE33">
        <v>2.4516399999999998</v>
      </c>
      <c r="LF33">
        <v>1.68557</v>
      </c>
      <c r="LG33">
        <v>2.7210899999999998</v>
      </c>
      <c r="LH33">
        <v>2.1691099999999999</v>
      </c>
      <c r="LI33">
        <v>1.9022300000000001</v>
      </c>
      <c r="LJ33">
        <v>2.0190399999999999</v>
      </c>
      <c r="LK33">
        <v>1.98146</v>
      </c>
      <c r="LL33">
        <v>1.9501999999999999</v>
      </c>
      <c r="LM33">
        <v>2.41073</v>
      </c>
      <c r="LW33" t="s">
        <v>418</v>
      </c>
      <c r="LX33">
        <v>1.75</v>
      </c>
      <c r="MB33">
        <v>1.69001</v>
      </c>
      <c r="MC33">
        <v>1.63923</v>
      </c>
      <c r="MD33">
        <v>1.58087</v>
      </c>
      <c r="ME33">
        <v>1.4871099999999999</v>
      </c>
      <c r="MF33">
        <v>1.6396999999999999</v>
      </c>
      <c r="MG33">
        <v>1.9245300000000001</v>
      </c>
      <c r="MH33">
        <v>1.78471</v>
      </c>
      <c r="MJ33">
        <v>1.87829</v>
      </c>
      <c r="MN33">
        <v>1.73899</v>
      </c>
      <c r="MO33">
        <v>1.80217</v>
      </c>
      <c r="MP33">
        <v>1.89025</v>
      </c>
      <c r="MQ33">
        <v>1.62131</v>
      </c>
      <c r="MR33">
        <v>1.45608</v>
      </c>
      <c r="MS33">
        <v>1.7890999999999999</v>
      </c>
      <c r="MT33">
        <v>1.66089</v>
      </c>
      <c r="MU33">
        <v>1.7886500000000001</v>
      </c>
      <c r="MV33">
        <v>0.944021</v>
      </c>
      <c r="MW33">
        <v>2.2358099999999999</v>
      </c>
      <c r="MZ33" t="s">
        <v>442</v>
      </c>
      <c r="NA33">
        <v>1.8</v>
      </c>
      <c r="ND33">
        <v>1.1331100000000001</v>
      </c>
      <c r="NE33">
        <v>1.40865</v>
      </c>
      <c r="NG33">
        <v>1.6220399999999999</v>
      </c>
      <c r="NK33">
        <v>1.5932999999999999</v>
      </c>
      <c r="NM33">
        <v>1.8624099999999999</v>
      </c>
      <c r="NO33">
        <v>1.3623700000000001</v>
      </c>
      <c r="NQ33">
        <v>1.5534600000000001</v>
      </c>
      <c r="NZ33" t="s">
        <v>440</v>
      </c>
      <c r="OA33">
        <v>114.95699999999999</v>
      </c>
      <c r="OC33" t="s">
        <v>418</v>
      </c>
      <c r="OD33">
        <v>222.161</v>
      </c>
      <c r="OF33" t="s">
        <v>442</v>
      </c>
      <c r="OG33">
        <v>173.01599999999999</v>
      </c>
      <c r="OI33">
        <v>1502232</v>
      </c>
      <c r="OJ33">
        <v>8</v>
      </c>
      <c r="OK33">
        <v>0</v>
      </c>
      <c r="PD33">
        <v>-89.43</v>
      </c>
      <c r="PE33">
        <v>4.8899999999999997</v>
      </c>
      <c r="PH33">
        <v>130224</v>
      </c>
      <c r="PI33">
        <v>6</v>
      </c>
      <c r="PJ33">
        <v>0</v>
      </c>
      <c r="QC33">
        <v>-90.46</v>
      </c>
      <c r="QD33">
        <v>4.26</v>
      </c>
      <c r="QF33">
        <v>706222</v>
      </c>
      <c r="QG33">
        <v>7</v>
      </c>
      <c r="QH33">
        <v>1</v>
      </c>
      <c r="QK33">
        <v>4.45</v>
      </c>
      <c r="QL33">
        <v>-95.41</v>
      </c>
      <c r="QM33">
        <v>5.85</v>
      </c>
      <c r="QN33">
        <v>-92.43</v>
      </c>
      <c r="QO33">
        <v>3.13</v>
      </c>
      <c r="QP33">
        <v>-78.760000000000005</v>
      </c>
      <c r="QQ33">
        <v>4.03</v>
      </c>
      <c r="QR33">
        <v>-87.98</v>
      </c>
      <c r="QS33">
        <v>4.74</v>
      </c>
      <c r="QT33">
        <v>-92.11</v>
      </c>
      <c r="QU33">
        <v>2.5499999999999998</v>
      </c>
      <c r="QV33">
        <v>-83.63</v>
      </c>
      <c r="QW33">
        <v>5.3</v>
      </c>
      <c r="QX33">
        <v>-90.18</v>
      </c>
      <c r="RA33">
        <v>-81.78</v>
      </c>
      <c r="RB33">
        <v>1.76</v>
      </c>
    </row>
    <row r="34" spans="1:470" ht="13.15" x14ac:dyDescent="0.4">
      <c r="A34">
        <v>200</v>
      </c>
      <c r="B34">
        <v>0</v>
      </c>
      <c r="C34">
        <v>0</v>
      </c>
      <c r="D34">
        <v>0.5</v>
      </c>
      <c r="E34">
        <v>1</v>
      </c>
      <c r="F34">
        <v>0</v>
      </c>
      <c r="G34">
        <v>0</v>
      </c>
      <c r="H34">
        <v>1</v>
      </c>
      <c r="I34">
        <v>0</v>
      </c>
      <c r="J34">
        <v>2</v>
      </c>
      <c r="K34">
        <v>1.5</v>
      </c>
      <c r="L34">
        <v>0</v>
      </c>
      <c r="M34">
        <v>2</v>
      </c>
      <c r="N34">
        <v>1</v>
      </c>
      <c r="O34">
        <v>0.5</v>
      </c>
      <c r="P34">
        <v>0.5</v>
      </c>
      <c r="Q34">
        <v>3</v>
      </c>
      <c r="R34">
        <v>0.5</v>
      </c>
      <c r="S34">
        <v>3.5</v>
      </c>
      <c r="T34">
        <v>1</v>
      </c>
      <c r="U34">
        <v>1</v>
      </c>
      <c r="V34">
        <v>2</v>
      </c>
      <c r="W34">
        <v>1</v>
      </c>
      <c r="X34">
        <v>0</v>
      </c>
      <c r="Y34">
        <v>1</v>
      </c>
      <c r="Z34">
        <v>0</v>
      </c>
      <c r="AA34">
        <v>0</v>
      </c>
      <c r="AB34">
        <v>0</v>
      </c>
      <c r="AC34">
        <v>3.5</v>
      </c>
      <c r="AD34">
        <v>0</v>
      </c>
      <c r="AE34">
        <v>5</v>
      </c>
      <c r="AF34">
        <v>0</v>
      </c>
      <c r="AG34">
        <v>1.5</v>
      </c>
      <c r="AH34">
        <v>1</v>
      </c>
      <c r="AI34">
        <v>3</v>
      </c>
      <c r="AJ34">
        <v>1</v>
      </c>
      <c r="AK34">
        <v>5</v>
      </c>
      <c r="AL34">
        <v>1.5</v>
      </c>
      <c r="AM34">
        <v>4.5</v>
      </c>
      <c r="AN34">
        <v>3</v>
      </c>
      <c r="AO34">
        <v>3.5</v>
      </c>
      <c r="AP34">
        <v>1</v>
      </c>
      <c r="AQ34">
        <v>1.5</v>
      </c>
      <c r="AR34">
        <v>1.5</v>
      </c>
      <c r="AS34">
        <v>1.5</v>
      </c>
      <c r="AT34">
        <v>1.5</v>
      </c>
      <c r="AU34">
        <v>2.5</v>
      </c>
      <c r="AV34">
        <v>2.5</v>
      </c>
      <c r="AW34">
        <v>2</v>
      </c>
      <c r="AX34">
        <v>0.5</v>
      </c>
      <c r="AY34">
        <v>3</v>
      </c>
      <c r="AZ34">
        <v>5.5</v>
      </c>
      <c r="BA34">
        <v>1.5</v>
      </c>
      <c r="BB34">
        <v>1.5</v>
      </c>
      <c r="BC34">
        <v>1.5</v>
      </c>
      <c r="BD34">
        <v>1.5</v>
      </c>
      <c r="BE34">
        <v>4</v>
      </c>
      <c r="BF34">
        <v>0</v>
      </c>
      <c r="BG34">
        <v>0</v>
      </c>
      <c r="BH34">
        <v>0</v>
      </c>
      <c r="BI34">
        <v>3.5</v>
      </c>
      <c r="BJ34">
        <v>2</v>
      </c>
      <c r="BK34">
        <v>8.5</v>
      </c>
      <c r="BL34">
        <v>0</v>
      </c>
      <c r="BM34">
        <v>1</v>
      </c>
      <c r="BN34">
        <v>0.5</v>
      </c>
      <c r="BO34">
        <v>0</v>
      </c>
      <c r="BP34">
        <v>0.5</v>
      </c>
      <c r="BQ34">
        <v>9</v>
      </c>
      <c r="BR34">
        <v>0</v>
      </c>
      <c r="BS34">
        <v>0</v>
      </c>
      <c r="BT34">
        <v>0</v>
      </c>
      <c r="BU34">
        <v>5</v>
      </c>
      <c r="BV34">
        <v>0</v>
      </c>
      <c r="BW34">
        <v>3</v>
      </c>
      <c r="BX34">
        <v>0.5</v>
      </c>
      <c r="BY34">
        <v>0</v>
      </c>
      <c r="BZ34">
        <v>1</v>
      </c>
      <c r="CA34">
        <v>1.5</v>
      </c>
      <c r="CB34">
        <v>0</v>
      </c>
      <c r="CC34">
        <v>1</v>
      </c>
      <c r="CD34">
        <v>0.5</v>
      </c>
      <c r="CE34">
        <v>3</v>
      </c>
      <c r="CF34">
        <v>3.5</v>
      </c>
      <c r="CG34">
        <v>1</v>
      </c>
      <c r="CH34">
        <v>0.5</v>
      </c>
      <c r="CI34">
        <v>0</v>
      </c>
      <c r="CJ34">
        <v>1</v>
      </c>
      <c r="CK34">
        <v>2</v>
      </c>
      <c r="CL34">
        <v>1</v>
      </c>
      <c r="CM34">
        <v>5</v>
      </c>
      <c r="CN34">
        <v>0</v>
      </c>
      <c r="CO34">
        <v>0</v>
      </c>
      <c r="CP34">
        <v>2</v>
      </c>
      <c r="CQ34">
        <v>0</v>
      </c>
      <c r="CR34">
        <v>2</v>
      </c>
      <c r="CS34">
        <v>0</v>
      </c>
      <c r="CT34">
        <v>1</v>
      </c>
      <c r="CU34">
        <v>1</v>
      </c>
      <c r="CV34">
        <v>1</v>
      </c>
      <c r="CW34">
        <v>1.5</v>
      </c>
      <c r="CX34">
        <v>1.5</v>
      </c>
      <c r="CY34">
        <v>2</v>
      </c>
      <c r="CZ34">
        <v>0</v>
      </c>
      <c r="DA34">
        <v>0</v>
      </c>
      <c r="DB34">
        <v>0</v>
      </c>
      <c r="DC34" s="1">
        <f>AVERAGE(Supplementary_Fig7!B34:DB34)</f>
        <v>1.4761904761904763</v>
      </c>
      <c r="DD34" s="1">
        <f t="shared" si="10"/>
        <v>0.17647311621894116</v>
      </c>
      <c r="DZ34">
        <v>160223</v>
      </c>
      <c r="EA34">
        <v>7</v>
      </c>
      <c r="EB34">
        <v>0</v>
      </c>
      <c r="EF34">
        <v>1</v>
      </c>
      <c r="EK34">
        <f t="shared" si="1"/>
        <v>1</v>
      </c>
      <c r="EM34">
        <v>1302242</v>
      </c>
      <c r="EN34">
        <v>7</v>
      </c>
      <c r="EO34">
        <v>0</v>
      </c>
      <c r="EX34">
        <f t="shared" si="2"/>
        <v>0</v>
      </c>
      <c r="FA34">
        <v>90622</v>
      </c>
      <c r="FB34">
        <v>5</v>
      </c>
      <c r="FC34">
        <v>0</v>
      </c>
      <c r="FL34">
        <f>SUM(Supplementary_Fig7!FD34:FK34)</f>
        <v>0</v>
      </c>
      <c r="FO34" t="s">
        <v>443</v>
      </c>
      <c r="FQ34">
        <v>70.61</v>
      </c>
      <c r="FS34" t="s">
        <v>443</v>
      </c>
      <c r="FU34">
        <f t="shared" si="8"/>
        <v>44.484300000000005</v>
      </c>
      <c r="FW34">
        <v>75.789000000000001</v>
      </c>
      <c r="FX34">
        <v>66.751099999999994</v>
      </c>
      <c r="FY34">
        <v>106.86799999999999</v>
      </c>
      <c r="FZ34">
        <v>71.037800000000004</v>
      </c>
      <c r="GA34">
        <v>60.281700000000001</v>
      </c>
      <c r="GB34">
        <v>36.609499999999997</v>
      </c>
      <c r="GH34" t="s">
        <v>422</v>
      </c>
      <c r="GJ34">
        <v>70.89</v>
      </c>
      <c r="GL34" t="s">
        <v>422</v>
      </c>
      <c r="GN34">
        <f t="shared" si="9"/>
        <v>44.660699999999999</v>
      </c>
      <c r="GQ34">
        <v>49.9054</v>
      </c>
      <c r="GR34">
        <v>59.042299999999997</v>
      </c>
      <c r="GS34" s="8">
        <v>51.3994</v>
      </c>
      <c r="GZ34" t="s">
        <v>445</v>
      </c>
      <c r="HB34">
        <v>58.33</v>
      </c>
      <c r="HD34" t="s">
        <v>445</v>
      </c>
      <c r="HF34">
        <f>63*Supplementary_Fig7!HB34/100</f>
        <v>36.747900000000001</v>
      </c>
      <c r="HJ34">
        <v>66.801900000000003</v>
      </c>
      <c r="HK34">
        <v>58.892200000000003</v>
      </c>
      <c r="HL34">
        <v>64.594099999999997</v>
      </c>
      <c r="HM34">
        <v>101.979</v>
      </c>
      <c r="HN34">
        <v>56.043199999999999</v>
      </c>
      <c r="HO34">
        <v>44.341500000000003</v>
      </c>
      <c r="HV34" t="s">
        <v>440</v>
      </c>
      <c r="HW34">
        <v>82.34</v>
      </c>
      <c r="IA34">
        <v>73.965500000000006</v>
      </c>
      <c r="IB34">
        <v>78.642300000000006</v>
      </c>
      <c r="IC34">
        <v>82.9285</v>
      </c>
      <c r="ID34">
        <v>70.2988</v>
      </c>
      <c r="IE34">
        <v>50.596600000000002</v>
      </c>
      <c r="IF34">
        <v>82.473799999999997</v>
      </c>
      <c r="IG34">
        <v>90.165700000000001</v>
      </c>
      <c r="IH34">
        <v>89.344800000000006</v>
      </c>
      <c r="II34">
        <v>75.799599999999998</v>
      </c>
      <c r="IJ34">
        <v>68.653899999999993</v>
      </c>
      <c r="IK34">
        <v>80.549599999999998</v>
      </c>
      <c r="IX34" t="s">
        <v>422</v>
      </c>
      <c r="IY34">
        <v>97.25</v>
      </c>
      <c r="JB34">
        <v>120.52500000000001</v>
      </c>
      <c r="JC34">
        <v>126.12</v>
      </c>
      <c r="JD34">
        <v>91.867099999999994</v>
      </c>
      <c r="JE34">
        <v>100.23</v>
      </c>
      <c r="JG34">
        <v>119.119</v>
      </c>
      <c r="JH34">
        <v>119.383</v>
      </c>
      <c r="JI34">
        <v>125.18600000000001</v>
      </c>
      <c r="JJ34">
        <v>96.603399999999993</v>
      </c>
      <c r="JK34">
        <v>83.921800000000005</v>
      </c>
      <c r="JL34">
        <v>93.412800000000004</v>
      </c>
      <c r="JM34">
        <v>100.366</v>
      </c>
      <c r="JO34">
        <v>98.3673</v>
      </c>
      <c r="JQ34">
        <v>92.501800000000003</v>
      </c>
      <c r="JV34" t="s">
        <v>445</v>
      </c>
      <c r="JW34">
        <v>95.4</v>
      </c>
      <c r="KA34">
        <v>91.084299999999999</v>
      </c>
      <c r="KC34">
        <v>94.845600000000005</v>
      </c>
      <c r="KD34">
        <v>101.941</v>
      </c>
      <c r="KE34">
        <v>78.828400000000002</v>
      </c>
      <c r="KG34">
        <v>92.356899999999996</v>
      </c>
      <c r="KK34">
        <v>118.42</v>
      </c>
      <c r="KM34">
        <v>101.651</v>
      </c>
      <c r="KO34">
        <v>90.228300000000004</v>
      </c>
      <c r="KQ34">
        <v>115.70699999999999</v>
      </c>
      <c r="KT34" t="s">
        <v>440</v>
      </c>
      <c r="KU34">
        <v>3.05</v>
      </c>
      <c r="KY34">
        <v>1.87049</v>
      </c>
      <c r="KZ34">
        <f>AVERAGE(Supplementary_Fig7!KZ21:KZ33)</f>
        <v>2.0558823076923072</v>
      </c>
      <c r="LA34">
        <v>2.23427</v>
      </c>
      <c r="LB34">
        <v>2.2991299999999999</v>
      </c>
      <c r="LC34">
        <v>2.68391</v>
      </c>
      <c r="LD34">
        <v>2.6503000000000001</v>
      </c>
      <c r="LE34">
        <v>2.6073400000000002</v>
      </c>
      <c r="LF34">
        <v>1.6767300000000001</v>
      </c>
      <c r="LG34">
        <v>2.6836600000000002</v>
      </c>
      <c r="LH34">
        <v>2.1922299999999999</v>
      </c>
      <c r="LI34">
        <v>1.90117</v>
      </c>
      <c r="LJ34">
        <v>2.0117400000000001</v>
      </c>
      <c r="LK34">
        <v>1.96079</v>
      </c>
      <c r="LL34">
        <v>1.9185000000000001</v>
      </c>
      <c r="LM34">
        <v>2.6326499999999999</v>
      </c>
      <c r="LW34" t="s">
        <v>422</v>
      </c>
      <c r="LX34">
        <v>1.93</v>
      </c>
      <c r="MB34">
        <f>AVERAGE(MB21:MB33)</f>
        <v>1.6443276923076924</v>
      </c>
      <c r="MC34">
        <v>1.5651200000000001</v>
      </c>
      <c r="MD34">
        <v>1.6079699999999999</v>
      </c>
      <c r="ME34">
        <v>1.52955</v>
      </c>
      <c r="MF34">
        <v>1.75709</v>
      </c>
      <c r="MG34">
        <v>1.6960900000000001</v>
      </c>
      <c r="MH34">
        <v>1.7750300000000001</v>
      </c>
      <c r="MJ34">
        <v>1.8372299999999999</v>
      </c>
      <c r="MK34">
        <v>1.87968</v>
      </c>
      <c r="MN34">
        <f>AVERAGE(MN21:MN33)</f>
        <v>1.7600130769230768</v>
      </c>
      <c r="MO34">
        <v>1.87025</v>
      </c>
      <c r="MP34">
        <v>2.0182600000000002</v>
      </c>
      <c r="MQ34">
        <v>1.64717</v>
      </c>
      <c r="MR34">
        <v>1.50312</v>
      </c>
      <c r="MS34">
        <v>1.84175</v>
      </c>
      <c r="MT34">
        <v>1.69895</v>
      </c>
      <c r="MU34">
        <v>1.77559</v>
      </c>
      <c r="MV34">
        <v>0.97142799999999996</v>
      </c>
      <c r="MW34">
        <v>2.28687</v>
      </c>
      <c r="MZ34" t="s">
        <v>445</v>
      </c>
      <c r="NA34">
        <v>1.4</v>
      </c>
      <c r="ND34">
        <v>1.1331100000000001</v>
      </c>
      <c r="NE34">
        <v>1.4475899999999999</v>
      </c>
      <c r="NG34">
        <v>1.6420600000000001</v>
      </c>
      <c r="NK34">
        <v>1.6189899999999999</v>
      </c>
      <c r="NM34">
        <v>1.81484</v>
      </c>
      <c r="NO34">
        <v>1.37056</v>
      </c>
      <c r="NQ34">
        <v>1.56843</v>
      </c>
      <c r="NZ34" t="s">
        <v>443</v>
      </c>
      <c r="OA34">
        <v>228.69399999999999</v>
      </c>
      <c r="OC34" t="s">
        <v>422</v>
      </c>
      <c r="OD34">
        <v>284.93</v>
      </c>
      <c r="OF34" t="s">
        <v>445</v>
      </c>
      <c r="OG34">
        <v>288.83499999999998</v>
      </c>
      <c r="OI34">
        <v>160223</v>
      </c>
      <c r="OJ34">
        <v>7</v>
      </c>
      <c r="OK34">
        <v>0</v>
      </c>
      <c r="PD34">
        <v>-89.77</v>
      </c>
      <c r="PE34">
        <v>8.64</v>
      </c>
      <c r="PH34">
        <v>1302242</v>
      </c>
      <c r="PI34">
        <v>7</v>
      </c>
      <c r="PJ34">
        <v>0</v>
      </c>
      <c r="QC34">
        <v>-90.46</v>
      </c>
      <c r="QD34">
        <v>2.1800000000000002</v>
      </c>
      <c r="QF34">
        <v>90622</v>
      </c>
      <c r="QG34">
        <v>5</v>
      </c>
      <c r="QH34">
        <v>0</v>
      </c>
      <c r="RA34">
        <v>-81.86</v>
      </c>
      <c r="RB34">
        <v>1.69</v>
      </c>
    </row>
    <row r="35" spans="1:470" ht="13.15" x14ac:dyDescent="0.4">
      <c r="A35">
        <v>250</v>
      </c>
      <c r="B35">
        <v>0</v>
      </c>
      <c r="C35">
        <v>0.5</v>
      </c>
      <c r="D35">
        <v>1</v>
      </c>
      <c r="E35">
        <v>0.5</v>
      </c>
      <c r="F35">
        <v>0</v>
      </c>
      <c r="G35">
        <v>0</v>
      </c>
      <c r="H35">
        <v>1</v>
      </c>
      <c r="I35">
        <v>0</v>
      </c>
      <c r="J35">
        <v>3</v>
      </c>
      <c r="K35">
        <v>1</v>
      </c>
      <c r="L35">
        <v>0</v>
      </c>
      <c r="M35">
        <v>3</v>
      </c>
      <c r="N35">
        <v>1.5</v>
      </c>
      <c r="O35">
        <v>1</v>
      </c>
      <c r="P35">
        <v>1.5</v>
      </c>
      <c r="Q35">
        <v>3.5</v>
      </c>
      <c r="R35">
        <v>1.5</v>
      </c>
      <c r="S35">
        <v>2.5</v>
      </c>
      <c r="T35">
        <v>2</v>
      </c>
      <c r="U35">
        <v>1</v>
      </c>
      <c r="V35">
        <v>2</v>
      </c>
      <c r="W35">
        <v>1.5</v>
      </c>
      <c r="X35">
        <v>0</v>
      </c>
      <c r="Y35">
        <v>1</v>
      </c>
      <c r="Z35">
        <v>0</v>
      </c>
      <c r="AA35">
        <v>0</v>
      </c>
      <c r="AB35">
        <v>0</v>
      </c>
      <c r="AC35">
        <v>9.5</v>
      </c>
      <c r="AD35">
        <v>0</v>
      </c>
      <c r="AE35">
        <v>5.5</v>
      </c>
      <c r="AF35">
        <v>0</v>
      </c>
      <c r="AG35">
        <v>3.5</v>
      </c>
      <c r="AH35">
        <v>1</v>
      </c>
      <c r="AI35">
        <v>3.5</v>
      </c>
      <c r="AJ35">
        <v>1</v>
      </c>
      <c r="AK35">
        <v>7</v>
      </c>
      <c r="AL35">
        <v>1</v>
      </c>
      <c r="AM35">
        <v>6</v>
      </c>
      <c r="AN35">
        <v>3</v>
      </c>
      <c r="AO35">
        <v>4.5</v>
      </c>
      <c r="AP35">
        <v>2</v>
      </c>
      <c r="AQ35">
        <v>3</v>
      </c>
      <c r="AR35">
        <v>2</v>
      </c>
      <c r="AS35">
        <v>2</v>
      </c>
      <c r="AT35">
        <v>3</v>
      </c>
      <c r="AU35">
        <v>2.5</v>
      </c>
      <c r="AV35">
        <v>4</v>
      </c>
      <c r="AW35">
        <v>3.5</v>
      </c>
      <c r="AX35">
        <v>1</v>
      </c>
      <c r="AY35">
        <v>3.5</v>
      </c>
      <c r="AZ35">
        <v>7</v>
      </c>
      <c r="BA35">
        <v>3</v>
      </c>
      <c r="BB35">
        <v>2</v>
      </c>
      <c r="BC35">
        <v>2</v>
      </c>
      <c r="BD35">
        <v>3</v>
      </c>
      <c r="BE35">
        <v>5</v>
      </c>
      <c r="BF35">
        <v>0</v>
      </c>
      <c r="BG35">
        <v>0</v>
      </c>
      <c r="BH35">
        <v>0</v>
      </c>
      <c r="BI35">
        <v>5</v>
      </c>
      <c r="BJ35">
        <v>3</v>
      </c>
      <c r="BK35">
        <v>7</v>
      </c>
      <c r="BL35">
        <v>1</v>
      </c>
      <c r="BM35">
        <v>1</v>
      </c>
      <c r="BN35">
        <v>1.5</v>
      </c>
      <c r="BO35">
        <v>1</v>
      </c>
      <c r="BP35">
        <v>1</v>
      </c>
      <c r="BQ35">
        <v>11</v>
      </c>
      <c r="BR35">
        <v>1</v>
      </c>
      <c r="BS35">
        <v>0</v>
      </c>
      <c r="BT35">
        <v>0</v>
      </c>
      <c r="BU35">
        <v>7</v>
      </c>
      <c r="BV35">
        <v>1</v>
      </c>
      <c r="BW35">
        <v>4</v>
      </c>
      <c r="BX35">
        <v>1</v>
      </c>
      <c r="BY35">
        <v>0</v>
      </c>
      <c r="BZ35">
        <v>1</v>
      </c>
      <c r="CA35">
        <v>3</v>
      </c>
      <c r="CB35">
        <v>0.5</v>
      </c>
      <c r="CC35">
        <v>2</v>
      </c>
      <c r="CD35">
        <v>1</v>
      </c>
      <c r="CE35">
        <v>4</v>
      </c>
      <c r="CF35">
        <v>5.5</v>
      </c>
      <c r="CG35">
        <v>1</v>
      </c>
      <c r="CH35">
        <v>1</v>
      </c>
      <c r="CI35">
        <v>0</v>
      </c>
      <c r="CJ35">
        <v>1.5</v>
      </c>
      <c r="CK35">
        <v>2.5</v>
      </c>
      <c r="CL35">
        <v>1.5</v>
      </c>
      <c r="CM35">
        <v>6</v>
      </c>
      <c r="CN35">
        <v>0</v>
      </c>
      <c r="CO35">
        <v>0</v>
      </c>
      <c r="CP35">
        <v>2</v>
      </c>
      <c r="CQ35">
        <v>0</v>
      </c>
      <c r="CR35">
        <v>3.5</v>
      </c>
      <c r="CS35">
        <v>1</v>
      </c>
      <c r="CT35">
        <v>1</v>
      </c>
      <c r="CU35">
        <v>1.5</v>
      </c>
      <c r="CV35">
        <v>1</v>
      </c>
      <c r="CW35">
        <v>2</v>
      </c>
      <c r="CX35">
        <v>2</v>
      </c>
      <c r="CY35">
        <v>2.5</v>
      </c>
      <c r="CZ35">
        <v>1</v>
      </c>
      <c r="DA35">
        <v>0</v>
      </c>
      <c r="DB35">
        <v>0</v>
      </c>
      <c r="DC35" s="1">
        <f>AVERAGE(Supplementary_Fig7!B35:DB35)</f>
        <v>2.0619047619047617</v>
      </c>
      <c r="DD35" s="1">
        <f t="shared" si="10"/>
        <v>0.22015076244065185</v>
      </c>
      <c r="DZ35">
        <v>1602232</v>
      </c>
      <c r="EA35">
        <v>8</v>
      </c>
      <c r="EB35">
        <v>0</v>
      </c>
      <c r="EG35">
        <v>1</v>
      </c>
      <c r="EI35">
        <v>1</v>
      </c>
      <c r="EK35">
        <f t="shared" si="1"/>
        <v>2</v>
      </c>
      <c r="EM35">
        <v>150224</v>
      </c>
      <c r="EN35">
        <v>6</v>
      </c>
      <c r="EO35">
        <v>1</v>
      </c>
      <c r="ES35">
        <v>1</v>
      </c>
      <c r="EX35">
        <f t="shared" si="2"/>
        <v>1</v>
      </c>
      <c r="FA35">
        <v>906222</v>
      </c>
      <c r="FB35">
        <v>6</v>
      </c>
      <c r="FC35">
        <v>0</v>
      </c>
      <c r="FD35">
        <v>1</v>
      </c>
      <c r="FL35">
        <f>SUM(Supplementary_Fig7!FD35:FK35)</f>
        <v>1</v>
      </c>
      <c r="FO35" t="s">
        <v>446</v>
      </c>
      <c r="FQ35">
        <v>31.68</v>
      </c>
      <c r="FS35" t="s">
        <v>446</v>
      </c>
      <c r="FU35">
        <f t="shared" si="8"/>
        <v>19.958399999999997</v>
      </c>
      <c r="FW35">
        <v>43.62</v>
      </c>
      <c r="FY35">
        <v>40.893099999999997</v>
      </c>
      <c r="GA35">
        <v>55.138199999999998</v>
      </c>
      <c r="GH35" t="s">
        <v>1058</v>
      </c>
      <c r="GJ35">
        <v>50.54</v>
      </c>
      <c r="GL35" t="s">
        <v>1058</v>
      </c>
      <c r="GN35">
        <f t="shared" si="9"/>
        <v>31.840199999999999</v>
      </c>
      <c r="GQ35">
        <v>46.633400000000002</v>
      </c>
      <c r="GR35">
        <v>73.957099999999997</v>
      </c>
      <c r="GS35" s="1">
        <f>AVERAGE(GS32:GS34)</f>
        <v>50.541899999999998</v>
      </c>
      <c r="GZ35" t="s">
        <v>448</v>
      </c>
      <c r="HB35">
        <v>78.680000000000007</v>
      </c>
      <c r="HD35" t="s">
        <v>448</v>
      </c>
      <c r="HF35">
        <f>63*Supplementary_Fig7!HB35/100</f>
        <v>49.568400000000004</v>
      </c>
      <c r="HJ35">
        <v>76.610299999999995</v>
      </c>
      <c r="HK35">
        <v>70.953500000000005</v>
      </c>
      <c r="HL35">
        <v>59.238</v>
      </c>
      <c r="HM35">
        <v>80.6999</v>
      </c>
      <c r="HN35">
        <v>75.947299999999998</v>
      </c>
      <c r="HO35">
        <v>64.591499999999996</v>
      </c>
      <c r="HV35" t="s">
        <v>443</v>
      </c>
      <c r="HW35">
        <v>79.77</v>
      </c>
      <c r="IA35">
        <v>101.01600000000001</v>
      </c>
      <c r="IB35">
        <v>77.967799999999997</v>
      </c>
      <c r="IC35">
        <v>82.408100000000005</v>
      </c>
      <c r="ID35">
        <v>64.233400000000003</v>
      </c>
      <c r="IE35">
        <v>70.469700000000003</v>
      </c>
      <c r="IF35">
        <v>83.671599999999998</v>
      </c>
      <c r="IG35">
        <v>90.95</v>
      </c>
      <c r="IH35">
        <v>87.719700000000003</v>
      </c>
      <c r="II35">
        <v>78.837599999999995</v>
      </c>
      <c r="IJ35">
        <v>64.662199999999999</v>
      </c>
      <c r="IK35">
        <v>108.432</v>
      </c>
      <c r="IX35" t="s">
        <v>1058</v>
      </c>
      <c r="IY35">
        <v>85.17</v>
      </c>
      <c r="JB35">
        <v>121.20399999999999</v>
      </c>
      <c r="JC35">
        <v>128.43299999999999</v>
      </c>
      <c r="JD35">
        <v>108.188</v>
      </c>
      <c r="JE35">
        <v>99.005099999999999</v>
      </c>
      <c r="JG35">
        <v>122.672</v>
      </c>
      <c r="JH35">
        <v>119.916</v>
      </c>
      <c r="JI35">
        <v>127.51900000000001</v>
      </c>
      <c r="JJ35">
        <v>96.929900000000004</v>
      </c>
      <c r="JK35">
        <v>83.741799999999998</v>
      </c>
      <c r="JL35">
        <v>95.709199999999996</v>
      </c>
      <c r="JM35">
        <v>101.404</v>
      </c>
      <c r="JO35">
        <v>99.046300000000002</v>
      </c>
      <c r="JQ35">
        <v>88.670299999999997</v>
      </c>
      <c r="JV35" t="s">
        <v>448</v>
      </c>
      <c r="JW35">
        <v>90.42</v>
      </c>
      <c r="KA35">
        <v>87.103300000000004</v>
      </c>
      <c r="KC35">
        <v>93.675200000000004</v>
      </c>
      <c r="KD35">
        <v>101.364</v>
      </c>
      <c r="KE35">
        <v>85.351600000000005</v>
      </c>
      <c r="KG35">
        <v>92.967200000000005</v>
      </c>
      <c r="KK35">
        <v>117.271</v>
      </c>
      <c r="KM35">
        <v>98.284899999999993</v>
      </c>
      <c r="KO35">
        <v>89.891099999999994</v>
      </c>
      <c r="KQ35">
        <v>96.690399999999997</v>
      </c>
      <c r="KT35" t="s">
        <v>443</v>
      </c>
      <c r="KU35">
        <v>1.75</v>
      </c>
      <c r="KY35">
        <v>1.90351</v>
      </c>
      <c r="LA35">
        <v>2.0458500000000002</v>
      </c>
      <c r="LB35">
        <v>2.6276099999999998</v>
      </c>
      <c r="LC35">
        <v>2.9935</v>
      </c>
      <c r="LD35">
        <v>2.8001399999999999</v>
      </c>
      <c r="LE35">
        <v>2.5333600000000001</v>
      </c>
      <c r="LF35">
        <v>1.67622</v>
      </c>
      <c r="LG35">
        <v>2.7613300000000001</v>
      </c>
      <c r="LH35">
        <v>2.3335599999999999</v>
      </c>
      <c r="LI35">
        <v>1.88957</v>
      </c>
      <c r="LJ35">
        <v>2.0928599999999999</v>
      </c>
      <c r="LK35">
        <f>AVERAGE(Supplementary_Fig7!LK21:LK34)</f>
        <v>2.1091942857142851</v>
      </c>
      <c r="LL35">
        <v>1.91591</v>
      </c>
      <c r="LM35">
        <v>2.9186899999999998</v>
      </c>
      <c r="LW35" t="s">
        <v>1058</v>
      </c>
      <c r="LX35">
        <v>1.93</v>
      </c>
      <c r="MC35">
        <v>1.62798</v>
      </c>
      <c r="MD35">
        <f>AVERAGE(MD21:MD34)</f>
        <v>1.5522242857142861</v>
      </c>
      <c r="ME35">
        <f>AVERAGE(ME21:ME34)</f>
        <v>1.4940121428571429</v>
      </c>
      <c r="MF35">
        <f>AVERAGE(MF21:MF34)</f>
        <v>1.6790292857142861</v>
      </c>
      <c r="MG35">
        <v>1.6846699999999999</v>
      </c>
      <c r="MH35">
        <v>1.76573</v>
      </c>
      <c r="MJ35">
        <v>1.96621</v>
      </c>
      <c r="MK35">
        <v>1.8405199999999999</v>
      </c>
      <c r="MO35">
        <v>1.8309299999999999</v>
      </c>
      <c r="MP35">
        <v>2.0197099999999999</v>
      </c>
      <c r="MQ35">
        <v>1.65036</v>
      </c>
      <c r="MR35">
        <f>AVERAGE(MR21:MR34)</f>
        <v>1.4958408333333333</v>
      </c>
      <c r="MS35">
        <v>1.7361599999999999</v>
      </c>
      <c r="MT35">
        <v>1.6647000000000001</v>
      </c>
      <c r="MU35">
        <v>1.8568899999999999</v>
      </c>
      <c r="MV35">
        <v>1.0090399999999999</v>
      </c>
      <c r="MW35">
        <v>2.34788</v>
      </c>
      <c r="MZ35" t="s">
        <v>448</v>
      </c>
      <c r="NA35">
        <v>1.41</v>
      </c>
      <c r="ND35">
        <f>AVERAGE(Supplementary_Fig7!ND22:ND34)</f>
        <v>1.156256153846154</v>
      </c>
      <c r="NE35">
        <f>AVERAGE(Supplementary_Fig7!NE22:NE34)</f>
        <v>1.4090800000000003</v>
      </c>
      <c r="NG35">
        <v>1.64784</v>
      </c>
      <c r="NK35">
        <v>1.62826</v>
      </c>
      <c r="NM35">
        <f>AVERAGE(Supplementary_Fig7!NM22:NM34)</f>
        <v>1.8044007692307695</v>
      </c>
      <c r="NO35">
        <f>AVERAGE(Supplementary_Fig7!NO22:NO34)</f>
        <v>1.4128407692307692</v>
      </c>
      <c r="NQ35">
        <f>AVERAGE(Supplementary_Fig7!NQ22:NQ34)</f>
        <v>1.5528723076923077</v>
      </c>
      <c r="NZ35" t="s">
        <v>446</v>
      </c>
      <c r="OA35">
        <v>191.27</v>
      </c>
      <c r="OC35" t="s">
        <v>1058</v>
      </c>
      <c r="OD35">
        <v>139.56</v>
      </c>
      <c r="OF35" t="s">
        <v>448</v>
      </c>
      <c r="OG35">
        <v>351.404</v>
      </c>
      <c r="OI35">
        <v>1602232</v>
      </c>
      <c r="OJ35">
        <v>8</v>
      </c>
      <c r="OK35">
        <v>0</v>
      </c>
      <c r="PD35">
        <v>-90.35</v>
      </c>
      <c r="PE35">
        <v>3.54</v>
      </c>
      <c r="PH35">
        <v>150224</v>
      </c>
      <c r="PI35">
        <v>6</v>
      </c>
      <c r="PJ35">
        <v>1</v>
      </c>
      <c r="QC35">
        <v>-90.55</v>
      </c>
      <c r="QD35">
        <v>4.7300000000000004</v>
      </c>
      <c r="QF35">
        <v>906222</v>
      </c>
      <c r="QG35">
        <v>6</v>
      </c>
      <c r="QH35">
        <v>0</v>
      </c>
      <c r="RA35">
        <v>-82.05</v>
      </c>
      <c r="RB35">
        <v>1.1499999999999999</v>
      </c>
    </row>
    <row r="36" spans="1:470" ht="13.15" x14ac:dyDescent="0.4">
      <c r="A36">
        <v>300</v>
      </c>
      <c r="B36">
        <v>1</v>
      </c>
      <c r="C36">
        <v>1</v>
      </c>
      <c r="D36">
        <v>1</v>
      </c>
      <c r="E36">
        <v>1</v>
      </c>
      <c r="F36">
        <v>0.5</v>
      </c>
      <c r="G36">
        <v>1.5</v>
      </c>
      <c r="H36">
        <v>1</v>
      </c>
      <c r="I36">
        <v>1</v>
      </c>
      <c r="J36">
        <v>3</v>
      </c>
      <c r="K36">
        <v>1.5</v>
      </c>
      <c r="L36">
        <v>0</v>
      </c>
      <c r="M36">
        <v>4</v>
      </c>
      <c r="N36">
        <v>2</v>
      </c>
      <c r="O36">
        <v>2</v>
      </c>
      <c r="P36">
        <v>1</v>
      </c>
      <c r="Q36">
        <v>4.5</v>
      </c>
      <c r="R36">
        <v>1</v>
      </c>
      <c r="S36">
        <v>4</v>
      </c>
      <c r="T36">
        <v>1</v>
      </c>
      <c r="U36">
        <v>1</v>
      </c>
      <c r="V36">
        <v>3</v>
      </c>
      <c r="W36">
        <v>1</v>
      </c>
      <c r="X36">
        <v>1</v>
      </c>
      <c r="Y36">
        <v>1</v>
      </c>
      <c r="Z36">
        <v>0</v>
      </c>
      <c r="AA36">
        <v>0</v>
      </c>
      <c r="AB36">
        <v>0</v>
      </c>
      <c r="AC36">
        <v>7</v>
      </c>
      <c r="AD36">
        <v>0.5</v>
      </c>
      <c r="AE36">
        <v>6</v>
      </c>
      <c r="AF36">
        <v>0</v>
      </c>
      <c r="AG36">
        <v>4</v>
      </c>
      <c r="AH36">
        <v>2</v>
      </c>
      <c r="AI36">
        <v>3.5</v>
      </c>
      <c r="AJ36">
        <v>1.5</v>
      </c>
      <c r="AK36">
        <v>8</v>
      </c>
      <c r="AL36">
        <v>2</v>
      </c>
      <c r="AM36">
        <v>8</v>
      </c>
      <c r="AN36">
        <v>4</v>
      </c>
      <c r="AO36">
        <v>6.5</v>
      </c>
      <c r="AP36">
        <v>3</v>
      </c>
      <c r="AQ36">
        <v>2</v>
      </c>
      <c r="AR36">
        <v>3</v>
      </c>
      <c r="AS36">
        <v>2.5</v>
      </c>
      <c r="AT36">
        <v>3</v>
      </c>
      <c r="AU36">
        <v>2.5</v>
      </c>
      <c r="AV36">
        <v>5</v>
      </c>
      <c r="AW36">
        <v>4.5</v>
      </c>
      <c r="AX36">
        <v>2.5</v>
      </c>
      <c r="AY36">
        <v>3.5</v>
      </c>
      <c r="AZ36">
        <v>8.5</v>
      </c>
      <c r="BA36">
        <v>2</v>
      </c>
      <c r="BB36">
        <v>3</v>
      </c>
      <c r="BC36">
        <v>2.5</v>
      </c>
      <c r="BD36">
        <v>3</v>
      </c>
      <c r="BE36">
        <v>6</v>
      </c>
      <c r="BF36">
        <v>0</v>
      </c>
      <c r="BG36">
        <v>0</v>
      </c>
      <c r="BH36">
        <v>1</v>
      </c>
      <c r="BI36">
        <v>7.5</v>
      </c>
      <c r="BJ36">
        <v>4</v>
      </c>
      <c r="BK36">
        <v>6</v>
      </c>
      <c r="BL36">
        <v>1</v>
      </c>
      <c r="BM36">
        <v>1</v>
      </c>
      <c r="BN36">
        <v>1</v>
      </c>
      <c r="BO36">
        <v>1</v>
      </c>
      <c r="BP36">
        <v>1</v>
      </c>
      <c r="BQ36">
        <v>14</v>
      </c>
      <c r="BR36">
        <v>0</v>
      </c>
      <c r="BS36">
        <v>0</v>
      </c>
      <c r="BT36">
        <v>1</v>
      </c>
      <c r="BU36">
        <v>6.5</v>
      </c>
      <c r="BV36">
        <v>1</v>
      </c>
      <c r="BW36">
        <v>4.5</v>
      </c>
      <c r="BX36">
        <v>1.5</v>
      </c>
      <c r="BY36">
        <v>0</v>
      </c>
      <c r="BZ36">
        <v>1.5</v>
      </c>
      <c r="CA36">
        <v>3.5</v>
      </c>
      <c r="CB36">
        <v>1</v>
      </c>
      <c r="CC36">
        <v>3</v>
      </c>
      <c r="CD36">
        <v>1</v>
      </c>
      <c r="CE36">
        <v>3</v>
      </c>
      <c r="CF36">
        <v>7</v>
      </c>
      <c r="CG36">
        <v>1</v>
      </c>
      <c r="CH36">
        <v>1.5</v>
      </c>
      <c r="CI36">
        <v>1</v>
      </c>
      <c r="CJ36">
        <v>2</v>
      </c>
      <c r="CK36">
        <v>3</v>
      </c>
      <c r="CL36">
        <v>2.5</v>
      </c>
      <c r="CM36">
        <v>7</v>
      </c>
      <c r="CN36">
        <v>0</v>
      </c>
      <c r="CO36">
        <v>1</v>
      </c>
      <c r="CP36">
        <v>2.5</v>
      </c>
      <c r="CQ36">
        <v>0.5</v>
      </c>
      <c r="CR36">
        <v>4</v>
      </c>
      <c r="CS36">
        <v>1</v>
      </c>
      <c r="CT36">
        <v>2</v>
      </c>
      <c r="CU36">
        <v>1.5</v>
      </c>
      <c r="CV36">
        <v>2</v>
      </c>
      <c r="CW36">
        <v>1.5</v>
      </c>
      <c r="CX36">
        <v>2.5</v>
      </c>
      <c r="CY36">
        <v>3</v>
      </c>
      <c r="CZ36">
        <v>2</v>
      </c>
      <c r="DA36">
        <v>0.5</v>
      </c>
      <c r="DB36">
        <v>1</v>
      </c>
      <c r="DC36" s="1">
        <f>AVERAGE(Supplementary_Fig7!B36:DB36)</f>
        <v>2.5095238095238095</v>
      </c>
      <c r="DD36" s="1">
        <f t="shared" si="10"/>
        <v>0.24207906749255381</v>
      </c>
      <c r="DZ36">
        <v>170223</v>
      </c>
      <c r="EA36">
        <v>8</v>
      </c>
      <c r="EB36">
        <v>0</v>
      </c>
      <c r="EC36">
        <v>1</v>
      </c>
      <c r="ED36">
        <v>1</v>
      </c>
      <c r="EF36">
        <v>1</v>
      </c>
      <c r="EH36">
        <v>1</v>
      </c>
      <c r="EI36">
        <v>1</v>
      </c>
      <c r="EJ36">
        <v>1</v>
      </c>
      <c r="EK36">
        <f t="shared" ref="EK36:EK67" si="11">SUM(EC36:EJ36)</f>
        <v>6</v>
      </c>
      <c r="EM36">
        <v>190224</v>
      </c>
      <c r="EN36">
        <v>7</v>
      </c>
      <c r="EO36">
        <v>0</v>
      </c>
      <c r="EX36">
        <f t="shared" si="2"/>
        <v>0</v>
      </c>
      <c r="FA36">
        <v>210622</v>
      </c>
      <c r="FB36">
        <v>6</v>
      </c>
      <c r="FC36">
        <v>0</v>
      </c>
      <c r="FL36">
        <f>SUM(Supplementary_Fig7!FD36:FK36)</f>
        <v>0</v>
      </c>
      <c r="FO36" s="8" t="s">
        <v>449</v>
      </c>
      <c r="FQ36">
        <v>45.63</v>
      </c>
      <c r="FS36" s="8" t="s">
        <v>449</v>
      </c>
      <c r="FU36">
        <f t="shared" si="8"/>
        <v>28.7469</v>
      </c>
      <c r="FW36">
        <v>58.812199999999997</v>
      </c>
      <c r="FY36">
        <v>64.401899999999998</v>
      </c>
      <c r="GH36" t="s">
        <v>426</v>
      </c>
      <c r="GJ36">
        <v>111.57</v>
      </c>
      <c r="GL36" t="s">
        <v>426</v>
      </c>
      <c r="GN36">
        <f t="shared" si="9"/>
        <v>70.289100000000005</v>
      </c>
      <c r="GQ36" s="1">
        <f>AVERAGE(GQ32:GQ35)</f>
        <v>49.456949999999992</v>
      </c>
      <c r="GR36" s="1">
        <f>AVERAGE(GR32:GR35)</f>
        <v>70.893750000000011</v>
      </c>
      <c r="GT36" s="1">
        <f>AVERAGE(GT32:GT35)</f>
        <v>111.57785</v>
      </c>
      <c r="GU36" s="1">
        <f>AVERAGE(GU32:GU35)</f>
        <v>87.734899999999996</v>
      </c>
      <c r="GV36" s="1" t="e">
        <f>AVERAGE(GV32:GV35)</f>
        <v>#DIV/0!</v>
      </c>
      <c r="GW36" s="1">
        <f>AVERAGE(GW32:GW35)</f>
        <v>84.485849999999999</v>
      </c>
      <c r="GX36" s="1">
        <f>AVERAGE(GX32:GX35)</f>
        <v>77.638000000000005</v>
      </c>
      <c r="GZ36" t="s">
        <v>451</v>
      </c>
      <c r="HB36">
        <v>60.46</v>
      </c>
      <c r="HD36" t="s">
        <v>451</v>
      </c>
      <c r="HF36">
        <f>63*Supplementary_Fig7!HB36/100</f>
        <v>38.089799999999997</v>
      </c>
      <c r="HJ36">
        <v>56.137500000000003</v>
      </c>
      <c r="HK36">
        <v>40.276000000000003</v>
      </c>
      <c r="HL36">
        <v>55.333300000000001</v>
      </c>
      <c r="HM36">
        <v>50.832799999999999</v>
      </c>
      <c r="HN36">
        <v>51.669600000000003</v>
      </c>
      <c r="HO36">
        <v>68.143600000000006</v>
      </c>
      <c r="HV36" t="s">
        <v>446</v>
      </c>
      <c r="HW36">
        <v>86.94</v>
      </c>
      <c r="IA36">
        <v>97.518900000000002</v>
      </c>
      <c r="IB36">
        <f>AVERAGE(Supplementary_Fig7!IB22:IB35)</f>
        <v>77.212207142857139</v>
      </c>
      <c r="IC36">
        <v>81.416300000000007</v>
      </c>
      <c r="ID36">
        <v>62.6038</v>
      </c>
      <c r="IE36">
        <v>72.230500000000006</v>
      </c>
      <c r="IF36">
        <v>82.138099999999994</v>
      </c>
      <c r="IG36">
        <v>92.062399999999997</v>
      </c>
      <c r="IH36">
        <v>88.348399999999998</v>
      </c>
      <c r="II36">
        <v>78.666700000000006</v>
      </c>
      <c r="IJ36">
        <v>65.818799999999996</v>
      </c>
      <c r="IK36">
        <v>107.086</v>
      </c>
      <c r="IX36" t="s">
        <v>426</v>
      </c>
      <c r="IY36">
        <v>98.97</v>
      </c>
      <c r="JB36">
        <v>122.765</v>
      </c>
      <c r="JC36">
        <v>129.55600000000001</v>
      </c>
      <c r="JD36">
        <v>107.884</v>
      </c>
      <c r="JE36">
        <v>99.502600000000001</v>
      </c>
      <c r="JG36">
        <v>126.645</v>
      </c>
      <c r="JH36">
        <v>121.31</v>
      </c>
      <c r="JI36">
        <v>128.63300000000001</v>
      </c>
      <c r="JJ36">
        <v>97.006200000000007</v>
      </c>
      <c r="JK36">
        <v>85.023499999999999</v>
      </c>
      <c r="JL36">
        <v>94.685400000000001</v>
      </c>
      <c r="JM36">
        <v>100.624</v>
      </c>
      <c r="JO36">
        <v>123.376</v>
      </c>
      <c r="JQ36">
        <v>92.811599999999999</v>
      </c>
      <c r="JV36" t="s">
        <v>451</v>
      </c>
      <c r="JW36">
        <v>97.99</v>
      </c>
      <c r="KA36">
        <v>87.789900000000003</v>
      </c>
      <c r="KC36">
        <v>96.328699999999998</v>
      </c>
      <c r="KD36">
        <f>AVERAGE(Supplementary_Fig7!KD23:KD35)</f>
        <v>100.16427692307693</v>
      </c>
      <c r="KE36">
        <v>76.060500000000005</v>
      </c>
      <c r="KG36">
        <v>75.540199999999999</v>
      </c>
      <c r="KK36">
        <v>81.343100000000007</v>
      </c>
      <c r="KM36">
        <f>AVERAGE(Supplementary_Fig7!KM23:KM35)</f>
        <v>95.05882307692309</v>
      </c>
      <c r="KO36">
        <f>AVERAGE(Supplementary_Fig7!KO23:KO35)</f>
        <v>90.422876923076942</v>
      </c>
      <c r="KQ36">
        <f>AVERAGE(Supplementary_Fig7!KQ23:KQ35)</f>
        <v>99.52470000000001</v>
      </c>
      <c r="KT36" t="s">
        <v>446</v>
      </c>
      <c r="KU36">
        <v>1.87</v>
      </c>
      <c r="KY36">
        <v>1.88992</v>
      </c>
      <c r="LA36">
        <v>1.9785299999999999</v>
      </c>
      <c r="LB36">
        <v>2.5571299999999999</v>
      </c>
      <c r="LC36">
        <v>3.74939</v>
      </c>
      <c r="LD36">
        <v>2.87616</v>
      </c>
      <c r="LE36">
        <v>2.5509300000000001</v>
      </c>
      <c r="LF36">
        <v>1.67364</v>
      </c>
      <c r="LG36">
        <v>2.7767499999999998</v>
      </c>
      <c r="LH36">
        <v>2.22343</v>
      </c>
      <c r="LI36">
        <v>1.88676</v>
      </c>
      <c r="LJ36">
        <v>2.1597300000000001</v>
      </c>
      <c r="LL36">
        <v>1.88944</v>
      </c>
      <c r="LM36">
        <v>3.1267999999999998</v>
      </c>
      <c r="LW36" t="s">
        <v>426</v>
      </c>
      <c r="LX36">
        <v>1.8</v>
      </c>
      <c r="MC36">
        <f>AVERAGE(MC21:MC35)</f>
        <v>1.5899200000000002</v>
      </c>
      <c r="MG36">
        <f>AVERAGE(MG21:MG35)</f>
        <v>1.7696773333333335</v>
      </c>
      <c r="MH36">
        <f>AVERAGE(MH21:MH35)</f>
        <v>1.7576673333333337</v>
      </c>
      <c r="MJ36">
        <f>AVERAGE(MJ21:MJ35)</f>
        <v>1.9394826666666667</v>
      </c>
      <c r="MK36">
        <f>AVERAGE(MK21:MK35)</f>
        <v>1.8066499999999999</v>
      </c>
      <c r="MO36">
        <f>AVERAGE(MO21:MO35)</f>
        <v>1.8805233333333331</v>
      </c>
      <c r="MP36">
        <f>AVERAGE(MP21:MP35)</f>
        <v>1.8275846666666666</v>
      </c>
      <c r="MQ36">
        <v>1.6365000000000001</v>
      </c>
      <c r="MS36">
        <f>AVERAGE(MS21:MS35)</f>
        <v>1.7799392307692306</v>
      </c>
      <c r="MT36">
        <f>AVERAGE(MT21:MT35)</f>
        <v>1.6813971428571424</v>
      </c>
      <c r="MU36">
        <f>AVERAGE(MU21:MU35)</f>
        <v>1.8578515384615386</v>
      </c>
      <c r="MV36">
        <f>AVERAGE(MV21:MV35)</f>
        <v>1.0086519285714286</v>
      </c>
      <c r="MW36">
        <v>2.0942500000000002</v>
      </c>
      <c r="MZ36" t="s">
        <v>451</v>
      </c>
      <c r="NA36">
        <v>1.5</v>
      </c>
      <c r="NG36">
        <f>AVERAGE(Supplementary_Fig7!NG22:NG35)</f>
        <v>1.6567442857142856</v>
      </c>
      <c r="NK36">
        <f>AVERAGE(Supplementary_Fig7!NK22:NK35)</f>
        <v>1.5943299999999998</v>
      </c>
      <c r="NZ36" s="8" t="s">
        <v>449</v>
      </c>
      <c r="OA36">
        <v>192.55199999999999</v>
      </c>
      <c r="OC36" t="s">
        <v>426</v>
      </c>
      <c r="OD36">
        <v>276.69299999999998</v>
      </c>
      <c r="OF36" t="s">
        <v>451</v>
      </c>
      <c r="OG36">
        <v>334.32900000000001</v>
      </c>
      <c r="OI36">
        <v>170223</v>
      </c>
      <c r="OJ36">
        <v>8</v>
      </c>
      <c r="OK36">
        <v>0</v>
      </c>
      <c r="PD36">
        <v>-90.49</v>
      </c>
      <c r="PE36">
        <v>9.6300000000000008</v>
      </c>
      <c r="PH36">
        <v>190224</v>
      </c>
      <c r="PI36">
        <v>7</v>
      </c>
      <c r="PJ36">
        <v>0</v>
      </c>
      <c r="PK36">
        <v>2.1800000000000002</v>
      </c>
      <c r="PL36">
        <v>-89.49</v>
      </c>
      <c r="PQ36">
        <v>-84.61</v>
      </c>
      <c r="PR36">
        <v>1.9</v>
      </c>
      <c r="PS36">
        <v>3.43</v>
      </c>
      <c r="PT36">
        <v>-98.71</v>
      </c>
      <c r="PY36">
        <v>2.58</v>
      </c>
      <c r="PZ36">
        <v>-95.43</v>
      </c>
      <c r="QC36">
        <v>-90.68</v>
      </c>
      <c r="QD36">
        <v>3.69</v>
      </c>
      <c r="QF36">
        <v>210622</v>
      </c>
      <c r="QG36">
        <v>6</v>
      </c>
      <c r="QH36">
        <v>0</v>
      </c>
      <c r="QK36">
        <v>4.88</v>
      </c>
      <c r="QL36">
        <v>-86.79</v>
      </c>
      <c r="QQ36">
        <v>3.87</v>
      </c>
      <c r="QR36">
        <v>-91.51</v>
      </c>
      <c r="QU36">
        <v>3.06</v>
      </c>
      <c r="QV36">
        <v>-87.52</v>
      </c>
      <c r="RA36">
        <v>-82.33</v>
      </c>
      <c r="RB36">
        <v>2.15</v>
      </c>
    </row>
    <row r="37" spans="1:470" ht="13.15" x14ac:dyDescent="0.4">
      <c r="A37">
        <v>350</v>
      </c>
      <c r="B37">
        <v>1</v>
      </c>
      <c r="C37">
        <v>1</v>
      </c>
      <c r="D37">
        <v>1</v>
      </c>
      <c r="E37">
        <v>2</v>
      </c>
      <c r="F37">
        <v>1</v>
      </c>
      <c r="G37">
        <v>1</v>
      </c>
      <c r="H37">
        <v>1</v>
      </c>
      <c r="I37">
        <v>1.5</v>
      </c>
      <c r="J37">
        <v>3</v>
      </c>
      <c r="K37">
        <v>1.5</v>
      </c>
      <c r="L37">
        <v>1</v>
      </c>
      <c r="M37">
        <v>5</v>
      </c>
      <c r="N37">
        <v>1.5</v>
      </c>
      <c r="O37">
        <v>2.5</v>
      </c>
      <c r="P37">
        <v>2</v>
      </c>
      <c r="Q37">
        <v>5</v>
      </c>
      <c r="R37">
        <v>1</v>
      </c>
      <c r="S37">
        <v>4</v>
      </c>
      <c r="T37">
        <v>1</v>
      </c>
      <c r="U37">
        <v>1</v>
      </c>
      <c r="V37">
        <v>3.5</v>
      </c>
      <c r="W37">
        <v>1.5</v>
      </c>
      <c r="X37">
        <v>1</v>
      </c>
      <c r="Y37">
        <v>2</v>
      </c>
      <c r="Z37">
        <v>0</v>
      </c>
      <c r="AA37">
        <v>0</v>
      </c>
      <c r="AB37">
        <v>1</v>
      </c>
      <c r="AC37">
        <v>10</v>
      </c>
      <c r="AD37">
        <v>0</v>
      </c>
      <c r="AE37">
        <v>10</v>
      </c>
      <c r="AF37">
        <v>1</v>
      </c>
      <c r="AG37">
        <v>5.5</v>
      </c>
      <c r="AH37">
        <v>3.5</v>
      </c>
      <c r="AI37">
        <v>6</v>
      </c>
      <c r="AJ37">
        <v>1.5</v>
      </c>
      <c r="AK37">
        <v>10</v>
      </c>
      <c r="AL37">
        <v>2.5</v>
      </c>
      <c r="AM37">
        <v>9</v>
      </c>
      <c r="AN37">
        <v>5</v>
      </c>
      <c r="AO37">
        <v>7.5</v>
      </c>
      <c r="AP37">
        <v>4.5</v>
      </c>
      <c r="AQ37">
        <v>2.5</v>
      </c>
      <c r="AR37">
        <v>4</v>
      </c>
      <c r="AS37">
        <v>3</v>
      </c>
      <c r="AT37">
        <v>4</v>
      </c>
      <c r="AU37">
        <v>3.5</v>
      </c>
      <c r="AV37">
        <v>5.5</v>
      </c>
      <c r="AW37">
        <v>4.5</v>
      </c>
      <c r="AX37">
        <v>2.5</v>
      </c>
      <c r="AY37">
        <v>5</v>
      </c>
      <c r="AZ37">
        <v>8</v>
      </c>
      <c r="BA37">
        <v>3.5</v>
      </c>
      <c r="BB37">
        <v>5</v>
      </c>
      <c r="BC37">
        <v>3</v>
      </c>
      <c r="BD37">
        <v>3.5</v>
      </c>
      <c r="BE37">
        <v>8</v>
      </c>
      <c r="BF37">
        <v>1</v>
      </c>
      <c r="BG37">
        <v>1</v>
      </c>
      <c r="BH37">
        <v>2</v>
      </c>
      <c r="BI37">
        <v>8.5</v>
      </c>
      <c r="BJ37">
        <v>4.5</v>
      </c>
      <c r="BK37">
        <v>4</v>
      </c>
      <c r="BL37">
        <v>1</v>
      </c>
      <c r="BM37">
        <v>1</v>
      </c>
      <c r="BN37">
        <v>1.5</v>
      </c>
      <c r="BO37">
        <v>1</v>
      </c>
      <c r="BP37">
        <v>1</v>
      </c>
      <c r="BQ37">
        <v>13</v>
      </c>
      <c r="BR37">
        <v>0.5</v>
      </c>
      <c r="BS37">
        <v>0</v>
      </c>
      <c r="BT37">
        <v>1</v>
      </c>
      <c r="BU37">
        <v>10</v>
      </c>
      <c r="BV37">
        <v>1</v>
      </c>
      <c r="BW37">
        <v>5</v>
      </c>
      <c r="BX37">
        <v>4</v>
      </c>
      <c r="BY37">
        <v>0.5</v>
      </c>
      <c r="BZ37">
        <v>2</v>
      </c>
      <c r="CA37">
        <v>4.5</v>
      </c>
      <c r="CB37">
        <v>1</v>
      </c>
      <c r="CC37">
        <v>5</v>
      </c>
      <c r="CD37">
        <v>1.5</v>
      </c>
      <c r="CE37">
        <v>3</v>
      </c>
      <c r="CF37">
        <v>8.5</v>
      </c>
      <c r="CG37">
        <v>1.5</v>
      </c>
      <c r="CH37">
        <v>1</v>
      </c>
      <c r="CI37">
        <v>1.5</v>
      </c>
      <c r="CJ37">
        <v>2</v>
      </c>
      <c r="CK37">
        <v>3</v>
      </c>
      <c r="CL37">
        <v>3</v>
      </c>
      <c r="CM37">
        <v>9.5</v>
      </c>
      <c r="CN37">
        <v>0.5</v>
      </c>
      <c r="CO37">
        <v>1</v>
      </c>
      <c r="CP37">
        <v>3.5</v>
      </c>
      <c r="CQ37">
        <v>0.5</v>
      </c>
      <c r="CR37">
        <v>4.5</v>
      </c>
      <c r="CS37">
        <v>2</v>
      </c>
      <c r="CT37">
        <v>2.5</v>
      </c>
      <c r="CU37" s="8">
        <v>1.5</v>
      </c>
      <c r="CV37" s="8">
        <v>2</v>
      </c>
      <c r="CW37">
        <v>2.5</v>
      </c>
      <c r="CX37">
        <v>3</v>
      </c>
      <c r="CY37">
        <v>4</v>
      </c>
      <c r="CZ37">
        <v>2.5</v>
      </c>
      <c r="DA37">
        <v>1</v>
      </c>
      <c r="DB37">
        <v>1</v>
      </c>
      <c r="DC37" s="1">
        <f>AVERAGE(Supplementary_Fig7!B37:DB37)</f>
        <v>3.1333333333333333</v>
      </c>
      <c r="DD37" s="1">
        <f t="shared" si="10"/>
        <v>0.27892094952937796</v>
      </c>
      <c r="DZ37">
        <v>200223</v>
      </c>
      <c r="EA37">
        <v>8</v>
      </c>
      <c r="EB37">
        <v>0</v>
      </c>
      <c r="EC37">
        <v>1</v>
      </c>
      <c r="EF37">
        <v>1</v>
      </c>
      <c r="EK37">
        <f t="shared" si="11"/>
        <v>2</v>
      </c>
      <c r="EM37">
        <v>200224</v>
      </c>
      <c r="EN37">
        <v>5</v>
      </c>
      <c r="EO37">
        <v>0</v>
      </c>
      <c r="EX37">
        <f t="shared" si="2"/>
        <v>0</v>
      </c>
      <c r="FA37">
        <v>40722</v>
      </c>
      <c r="FB37">
        <v>7</v>
      </c>
      <c r="FC37">
        <v>0</v>
      </c>
      <c r="FL37">
        <f>SUM(Supplementary_Fig7!FD37:FK37)</f>
        <v>0</v>
      </c>
      <c r="FO37" t="s">
        <v>452</v>
      </c>
      <c r="FP37">
        <v>56</v>
      </c>
      <c r="FS37" t="s">
        <v>452</v>
      </c>
      <c r="FT37">
        <f>63*FP37/100</f>
        <v>35.28</v>
      </c>
      <c r="FW37" s="1">
        <f>AVERAGE(Supplementary_Fig7!FW33:FW36)</f>
        <v>61.211575000000003</v>
      </c>
      <c r="FX37" s="1">
        <f>AVERAGE(Supplementary_Fig7!FX33:FX36)</f>
        <v>66.224149999999995</v>
      </c>
      <c r="FY37" s="1">
        <f>AVERAGE(Supplementary_Fig7!FY33:FY36)</f>
        <v>65.974199999999996</v>
      </c>
      <c r="FZ37" s="1">
        <f>AVERAGE(Supplementary_Fig7!FZ33:FZ36)</f>
        <v>71.908999999999992</v>
      </c>
      <c r="GA37" s="1">
        <f>AVERAGE(Supplementary_Fig7!GA33:GA36)</f>
        <v>51.553166666666662</v>
      </c>
      <c r="GB37" s="1">
        <f>AVERAGE(Supplementary_Fig7!GB33:GB36)</f>
        <v>38.687799999999996</v>
      </c>
      <c r="GH37" t="s">
        <v>429</v>
      </c>
      <c r="GJ37">
        <v>87.73</v>
      </c>
      <c r="GL37" t="s">
        <v>429</v>
      </c>
      <c r="GN37">
        <f t="shared" si="9"/>
        <v>55.269900000000007</v>
      </c>
      <c r="GZ37" t="s">
        <v>454</v>
      </c>
      <c r="HB37">
        <v>59.02</v>
      </c>
      <c r="HD37" t="s">
        <v>454</v>
      </c>
      <c r="HF37">
        <f>63*Supplementary_Fig7!HB37/100</f>
        <v>37.182600000000001</v>
      </c>
      <c r="HJ37">
        <v>66.662899999999993</v>
      </c>
      <c r="HK37" s="1">
        <f>AVERAGE(Supplementary_Fig7!HK34:HK36)</f>
        <v>56.707233333333342</v>
      </c>
      <c r="HL37">
        <v>54.165500000000002</v>
      </c>
      <c r="HM37">
        <v>81.237399999999994</v>
      </c>
      <c r="HN37">
        <v>58.202300000000001</v>
      </c>
      <c r="HV37" s="8" t="s">
        <v>449</v>
      </c>
      <c r="HW37">
        <v>82.17</v>
      </c>
      <c r="IA37">
        <v>100.55200000000001</v>
      </c>
      <c r="IC37">
        <v>82.084699999999998</v>
      </c>
      <c r="ID37">
        <v>61.575299999999999</v>
      </c>
      <c r="IE37">
        <v>72.087100000000007</v>
      </c>
      <c r="IF37">
        <v>82.135000000000005</v>
      </c>
      <c r="IG37">
        <v>92.712400000000002</v>
      </c>
      <c r="IH37">
        <v>87.060500000000005</v>
      </c>
      <c r="II37">
        <v>81.520099999999999</v>
      </c>
      <c r="IJ37">
        <v>66.084299999999999</v>
      </c>
      <c r="IK37">
        <v>108.98</v>
      </c>
      <c r="IX37" t="s">
        <v>429</v>
      </c>
      <c r="IY37">
        <v>114.73</v>
      </c>
      <c r="JB37">
        <f>AVERAGE(JB23:JB36)</f>
        <v>106.53260714285716</v>
      </c>
      <c r="JC37">
        <f>AVERAGE(JC23:JC36)</f>
        <v>120.29662307692307</v>
      </c>
      <c r="JD37">
        <v>93.924000000000007</v>
      </c>
      <c r="JE37">
        <v>92.195099999999996</v>
      </c>
      <c r="JG37">
        <f>AVERAGE(JG23:JG36)</f>
        <v>105.49506923076923</v>
      </c>
      <c r="JH37">
        <f>AVERAGE(JH23:JH36)</f>
        <v>115.46155714285715</v>
      </c>
      <c r="JI37">
        <v>101.26600000000001</v>
      </c>
      <c r="JJ37">
        <f>AVERAGE(JJ23:JJ36)</f>
        <v>96.418321428571431</v>
      </c>
      <c r="JK37">
        <v>84.3964</v>
      </c>
      <c r="JL37">
        <v>98.757900000000006</v>
      </c>
      <c r="JM37">
        <v>102.29</v>
      </c>
      <c r="JO37">
        <v>100.902</v>
      </c>
      <c r="JQ37">
        <v>92.228700000000003</v>
      </c>
      <c r="JV37" t="s">
        <v>454</v>
      </c>
      <c r="JW37">
        <v>99.52</v>
      </c>
      <c r="KA37">
        <f>AVERAGE(Supplementary_Fig7!KA23:KA36)</f>
        <v>95.896192857142864</v>
      </c>
      <c r="KC37">
        <f>AVERAGE(Supplementary_Fig7!KC23:KC36)</f>
        <v>97.802500000000009</v>
      </c>
      <c r="KE37">
        <f>AVERAGE(Supplementary_Fig7!KE23:KE36)</f>
        <v>76.402935714285718</v>
      </c>
      <c r="KG37">
        <f>AVERAGE(Supplementary_Fig7!KG23:KG36)</f>
        <v>84.789064285714275</v>
      </c>
      <c r="KK37">
        <f>AVERAGE(Supplementary_Fig7!KK23:KK36)</f>
        <v>110.89227857142858</v>
      </c>
      <c r="KT37" s="8" t="s">
        <v>449</v>
      </c>
      <c r="KU37">
        <v>1.68</v>
      </c>
      <c r="KY37">
        <f>AVERAGE(Supplementary_Fig7!KY21:KY36)</f>
        <v>2.0130612500000002</v>
      </c>
      <c r="LA37">
        <f>AVERAGE(Supplementary_Fig7!LA21:LA36)</f>
        <v>2.09735</v>
      </c>
      <c r="LB37">
        <f>AVERAGE(Supplementary_Fig7!LB21:LB36)</f>
        <v>2.5679337499999995</v>
      </c>
      <c r="LC37">
        <f>AVERAGE(Supplementary_Fig7!LC21:LC36)</f>
        <v>3.1603356250000001</v>
      </c>
      <c r="LD37">
        <f>AVERAGE(Supplementary_Fig7!LD21:LD36)</f>
        <v>2.9308087499999997</v>
      </c>
      <c r="LE37">
        <f>AVERAGE(Supplementary_Fig7!LE21:LE36)</f>
        <v>2.5617187499999998</v>
      </c>
      <c r="LF37">
        <f>AVERAGE(Supplementary_Fig7!LF21:LF36)</f>
        <v>1.7069231249999999</v>
      </c>
      <c r="LG37">
        <f>AVERAGE(Supplementary_Fig7!LG21:LG36)</f>
        <v>2.7200346666666673</v>
      </c>
      <c r="LH37">
        <f>AVERAGE(Supplementary_Fig7!LH21:LH36)</f>
        <v>2.2066831249999996</v>
      </c>
      <c r="LI37">
        <f>AVERAGE(Supplementary_Fig7!LI21:LI36)</f>
        <v>1.9288081249999998</v>
      </c>
      <c r="LJ37">
        <f>AVERAGE(Supplementary_Fig7!LJ21:LJ36)</f>
        <v>2.3083050000000003</v>
      </c>
      <c r="LL37">
        <f>AVERAGE(Supplementary_Fig7!LL21:LL36)</f>
        <v>2.0688849999999999</v>
      </c>
      <c r="LM37">
        <f>AVERAGE(Supplementary_Fig7!LM21:LM36)</f>
        <v>3.0507981249999996</v>
      </c>
      <c r="LW37" t="s">
        <v>429</v>
      </c>
      <c r="LX37">
        <v>1.76</v>
      </c>
      <c r="MQ37">
        <f>AVERAGE(MQ21:MQ36)</f>
        <v>1.636525625</v>
      </c>
      <c r="MW37">
        <f>AVERAGE(MW21:MW36)</f>
        <v>2.2508226666666666</v>
      </c>
      <c r="MZ37" t="s">
        <v>454</v>
      </c>
      <c r="NA37">
        <v>1.55</v>
      </c>
      <c r="NZ37" t="s">
        <v>452</v>
      </c>
      <c r="OA37">
        <v>195.238</v>
      </c>
      <c r="OC37" t="s">
        <v>429</v>
      </c>
      <c r="OD37">
        <v>346.24799999999999</v>
      </c>
      <c r="OF37" t="s">
        <v>454</v>
      </c>
      <c r="OG37">
        <v>288.16399999999999</v>
      </c>
      <c r="OI37">
        <v>200223</v>
      </c>
      <c r="OJ37">
        <v>8</v>
      </c>
      <c r="OK37">
        <v>0</v>
      </c>
      <c r="PD37">
        <v>-90.96</v>
      </c>
      <c r="PE37">
        <v>5.57</v>
      </c>
      <c r="PH37">
        <v>200224</v>
      </c>
      <c r="PI37">
        <v>5</v>
      </c>
      <c r="PJ37">
        <v>0</v>
      </c>
      <c r="QC37">
        <v>-90.82</v>
      </c>
      <c r="QD37">
        <v>5</v>
      </c>
      <c r="QF37">
        <v>40722</v>
      </c>
      <c r="QG37">
        <v>7</v>
      </c>
      <c r="QH37">
        <v>0</v>
      </c>
      <c r="RA37">
        <v>-82.42</v>
      </c>
      <c r="RB37">
        <v>1.29</v>
      </c>
    </row>
    <row r="38" spans="1:470" ht="13.15" x14ac:dyDescent="0.4">
      <c r="A38">
        <v>400</v>
      </c>
      <c r="B38">
        <v>2</v>
      </c>
      <c r="C38">
        <v>1.5</v>
      </c>
      <c r="D38">
        <v>1.5</v>
      </c>
      <c r="E38">
        <v>2.5</v>
      </c>
      <c r="F38">
        <v>1</v>
      </c>
      <c r="G38">
        <v>1.5</v>
      </c>
      <c r="H38">
        <v>1</v>
      </c>
      <c r="I38">
        <v>2.5</v>
      </c>
      <c r="J38">
        <v>4.5</v>
      </c>
      <c r="K38">
        <v>2</v>
      </c>
      <c r="L38">
        <v>1</v>
      </c>
      <c r="M38">
        <v>3.5</v>
      </c>
      <c r="N38">
        <v>2</v>
      </c>
      <c r="O38">
        <v>2.5</v>
      </c>
      <c r="P38">
        <v>3.5</v>
      </c>
      <c r="Q38">
        <v>6.5</v>
      </c>
      <c r="R38">
        <v>1</v>
      </c>
      <c r="S38">
        <v>5</v>
      </c>
      <c r="T38">
        <v>1</v>
      </c>
      <c r="U38">
        <v>1</v>
      </c>
      <c r="V38">
        <v>3.5</v>
      </c>
      <c r="W38">
        <v>2.5</v>
      </c>
      <c r="X38">
        <v>1</v>
      </c>
      <c r="Y38">
        <v>2</v>
      </c>
      <c r="Z38">
        <v>0</v>
      </c>
      <c r="AA38" s="8">
        <v>0.5</v>
      </c>
      <c r="AB38">
        <v>1</v>
      </c>
      <c r="AC38">
        <v>9.5</v>
      </c>
      <c r="AD38">
        <v>1</v>
      </c>
      <c r="AE38">
        <v>11.5</v>
      </c>
      <c r="AF38">
        <v>1</v>
      </c>
      <c r="AG38">
        <v>7</v>
      </c>
      <c r="AH38">
        <v>5.25</v>
      </c>
      <c r="AI38">
        <v>5.25</v>
      </c>
      <c r="AJ38">
        <v>2</v>
      </c>
      <c r="AK38">
        <v>11</v>
      </c>
      <c r="AL38">
        <v>3</v>
      </c>
      <c r="AM38">
        <v>11</v>
      </c>
      <c r="AN38">
        <v>5</v>
      </c>
      <c r="AO38">
        <v>8.5</v>
      </c>
      <c r="AP38">
        <v>4.5</v>
      </c>
      <c r="AQ38">
        <v>3.5</v>
      </c>
      <c r="AR38">
        <v>5</v>
      </c>
      <c r="AS38">
        <v>3</v>
      </c>
      <c r="AT38">
        <v>3.5</v>
      </c>
      <c r="AU38">
        <v>4</v>
      </c>
      <c r="AV38">
        <v>6.5</v>
      </c>
      <c r="AW38">
        <v>6</v>
      </c>
      <c r="AX38">
        <v>2</v>
      </c>
      <c r="AY38">
        <v>4.5</v>
      </c>
      <c r="AZ38">
        <v>7</v>
      </c>
      <c r="BA38">
        <v>4.33</v>
      </c>
      <c r="BB38">
        <v>7.6</v>
      </c>
      <c r="BC38">
        <v>5</v>
      </c>
      <c r="BD38">
        <v>7</v>
      </c>
      <c r="BE38">
        <v>9.5</v>
      </c>
      <c r="BF38">
        <v>1</v>
      </c>
      <c r="BG38">
        <v>1.5</v>
      </c>
      <c r="BH38">
        <v>2.5</v>
      </c>
      <c r="BI38">
        <v>9.5</v>
      </c>
      <c r="BJ38">
        <v>6</v>
      </c>
      <c r="BK38">
        <v>5</v>
      </c>
      <c r="BL38">
        <v>1.5</v>
      </c>
      <c r="BM38">
        <v>1.5</v>
      </c>
      <c r="BN38">
        <v>2</v>
      </c>
      <c r="BO38">
        <v>2</v>
      </c>
      <c r="BP38">
        <v>1</v>
      </c>
      <c r="BQ38">
        <v>9.5</v>
      </c>
      <c r="BR38">
        <v>1</v>
      </c>
      <c r="BS38">
        <v>0.5</v>
      </c>
      <c r="BT38">
        <v>1</v>
      </c>
      <c r="BU38">
        <v>9.5</v>
      </c>
      <c r="BV38">
        <v>2.5</v>
      </c>
      <c r="BW38">
        <v>6</v>
      </c>
      <c r="BX38">
        <v>4</v>
      </c>
      <c r="BY38">
        <v>1</v>
      </c>
      <c r="BZ38">
        <v>2.5</v>
      </c>
      <c r="CA38">
        <v>6</v>
      </c>
      <c r="CB38">
        <v>1</v>
      </c>
      <c r="CC38">
        <v>5.5</v>
      </c>
      <c r="CD38">
        <v>2</v>
      </c>
      <c r="CE38">
        <v>2.5</v>
      </c>
      <c r="CF38">
        <v>9.5</v>
      </c>
      <c r="CG38">
        <v>1.5</v>
      </c>
      <c r="CH38">
        <v>1.5</v>
      </c>
      <c r="CI38">
        <v>2</v>
      </c>
      <c r="CJ38">
        <v>2.5</v>
      </c>
      <c r="CK38">
        <v>3.5</v>
      </c>
      <c r="CL38">
        <v>3.5</v>
      </c>
      <c r="CM38">
        <v>9.5</v>
      </c>
      <c r="CN38">
        <v>1</v>
      </c>
      <c r="CO38">
        <v>1</v>
      </c>
      <c r="CP38">
        <v>4</v>
      </c>
      <c r="CQ38">
        <v>1</v>
      </c>
      <c r="CR38">
        <v>5.5</v>
      </c>
      <c r="CS38" s="8">
        <v>2.5</v>
      </c>
      <c r="CT38" s="8">
        <v>2</v>
      </c>
      <c r="CU38">
        <v>2</v>
      </c>
      <c r="CV38">
        <v>3</v>
      </c>
      <c r="CW38">
        <v>2</v>
      </c>
      <c r="CX38">
        <v>4</v>
      </c>
      <c r="CY38">
        <v>5</v>
      </c>
      <c r="CZ38">
        <v>3</v>
      </c>
      <c r="DA38" s="8">
        <v>1</v>
      </c>
      <c r="DB38" s="8">
        <v>1.5</v>
      </c>
      <c r="DC38" s="1">
        <f>AVERAGE(Supplementary_Fig7!B38:DB38)</f>
        <v>3.6326666666666667</v>
      </c>
      <c r="DD38" s="1">
        <f t="shared" si="10"/>
        <v>0.28668598073843238</v>
      </c>
      <c r="DZ38">
        <v>2002232</v>
      </c>
      <c r="EA38">
        <v>7</v>
      </c>
      <c r="EB38">
        <v>0</v>
      </c>
      <c r="EF38">
        <v>1</v>
      </c>
      <c r="EK38">
        <f t="shared" si="11"/>
        <v>1</v>
      </c>
      <c r="EM38">
        <v>2002242</v>
      </c>
      <c r="EN38">
        <v>7</v>
      </c>
      <c r="EO38">
        <v>0</v>
      </c>
      <c r="EX38">
        <f t="shared" si="2"/>
        <v>0</v>
      </c>
      <c r="FA38">
        <v>110722</v>
      </c>
      <c r="FB38">
        <v>7</v>
      </c>
      <c r="FC38">
        <v>0</v>
      </c>
      <c r="FL38">
        <f>SUM(Supplementary_Fig7!FD38:FK38)</f>
        <v>0</v>
      </c>
      <c r="FO38" t="s">
        <v>455</v>
      </c>
      <c r="FP38">
        <v>76.67</v>
      </c>
      <c r="FS38" t="s">
        <v>455</v>
      </c>
      <c r="FT38">
        <f>63*FP38/100</f>
        <v>48.302100000000003</v>
      </c>
      <c r="GH38" t="s">
        <v>432</v>
      </c>
      <c r="GL38" t="s">
        <v>432</v>
      </c>
      <c r="GZ38" t="s">
        <v>457</v>
      </c>
      <c r="HB38">
        <v>52.1</v>
      </c>
      <c r="HD38" t="s">
        <v>457</v>
      </c>
      <c r="HF38">
        <f>63*Supplementary_Fig7!HB38/100</f>
        <v>32.823</v>
      </c>
      <c r="HJ38" s="1">
        <f>AVERAGE(Supplementary_Fig7!HJ34:HJ37)</f>
        <v>66.553149999999988</v>
      </c>
      <c r="HL38" s="1">
        <f>AVERAGE(Supplementary_Fig7!HL34:HL37)</f>
        <v>58.332725000000003</v>
      </c>
      <c r="HM38" s="1">
        <f>AVERAGE(Supplementary_Fig7!HM34:HM37)</f>
        <v>78.687275</v>
      </c>
      <c r="HN38" s="1">
        <f>AVERAGE(Supplementary_Fig7!HN34:HN37)</f>
        <v>60.465600000000002</v>
      </c>
      <c r="HO38" s="1">
        <f>AVERAGE(Supplementary_Fig7!HO34:HO37)</f>
        <v>59.025533333333328</v>
      </c>
      <c r="HV38" t="s">
        <v>452</v>
      </c>
      <c r="HW38">
        <v>79.06</v>
      </c>
      <c r="IA38">
        <f>AVERAGE(Supplementary_Fig7!IA22:IA37)</f>
        <v>84.454406250000005</v>
      </c>
      <c r="IC38">
        <f>AVERAGE(Supplementary_Fig7!IC22:IC37)</f>
        <v>78.865243749999991</v>
      </c>
      <c r="ID38">
        <f>AVERAGE(Supplementary_Fig7!ID22:ID37)</f>
        <v>70.5138125</v>
      </c>
      <c r="IE38">
        <f>AVERAGE(Supplementary_Fig7!IE22:IE37)</f>
        <v>61.338987499999995</v>
      </c>
      <c r="IF38">
        <f>AVERAGE(Supplementary_Fig7!IF22:IF37)</f>
        <v>75.669106249999984</v>
      </c>
      <c r="IG38">
        <f>AVERAGE(Supplementary_Fig7!IG22:IG37)</f>
        <v>85.891431249999982</v>
      </c>
      <c r="IH38">
        <f>AVERAGE(Supplementary_Fig7!IH22:IH37)</f>
        <v>89.137843750000016</v>
      </c>
      <c r="II38">
        <f>AVERAGE(Supplementary_Fig7!II22:II37)</f>
        <v>73.377900000000011</v>
      </c>
      <c r="IJ38">
        <f>AVERAGE(Supplementary_Fig7!IJ22:IJ37)</f>
        <v>68.650631249999989</v>
      </c>
      <c r="IK38">
        <f>AVERAGE(Supplementary_Fig7!IK22:IK37)</f>
        <v>90.966987500000002</v>
      </c>
      <c r="IX38" t="s">
        <v>432</v>
      </c>
      <c r="IY38">
        <v>115.17</v>
      </c>
      <c r="JD38">
        <v>92.239400000000003</v>
      </c>
      <c r="JE38">
        <f>AVERAGE(JE23:JE37)</f>
        <v>97.255706666666669</v>
      </c>
      <c r="JI38">
        <f>AVERAGE(JI23:JI37)</f>
        <v>119.43769333333334</v>
      </c>
      <c r="JK38">
        <f>AVERAGE(JK23:JK37)</f>
        <v>84.492393333333339</v>
      </c>
      <c r="JL38">
        <f>AVERAGE(JL23:JL37)</f>
        <v>95.521033333333349</v>
      </c>
      <c r="JM38">
        <f>AVERAGE(JM23:JM37)</f>
        <v>99.780133333333325</v>
      </c>
      <c r="JO38">
        <f>AVERAGE(JO23:JO37)</f>
        <v>103.67620666666667</v>
      </c>
      <c r="JQ38">
        <f>AVERAGE(JQ23:JQ37)</f>
        <v>91.970513333333329</v>
      </c>
      <c r="JV38" t="s">
        <v>457</v>
      </c>
      <c r="JW38">
        <v>106.19</v>
      </c>
      <c r="KT38" t="s">
        <v>452</v>
      </c>
      <c r="KU38">
        <v>1.69</v>
      </c>
      <c r="LW38" t="s">
        <v>432</v>
      </c>
      <c r="LX38">
        <v>1.88</v>
      </c>
      <c r="MB38" t="s">
        <v>462</v>
      </c>
      <c r="MC38" t="s">
        <v>465</v>
      </c>
      <c r="MD38" t="s">
        <v>468</v>
      </c>
      <c r="ME38" t="s">
        <v>471</v>
      </c>
      <c r="MF38" t="s">
        <v>474</v>
      </c>
      <c r="MG38" t="s">
        <v>477</v>
      </c>
      <c r="MH38" t="s">
        <v>480</v>
      </c>
      <c r="MI38" t="s">
        <v>483</v>
      </c>
      <c r="MJ38" t="s">
        <v>486</v>
      </c>
      <c r="MK38" t="s">
        <v>489</v>
      </c>
      <c r="ML38" t="s">
        <v>492</v>
      </c>
      <c r="MM38" t="s">
        <v>495</v>
      </c>
      <c r="MN38" t="s">
        <v>498</v>
      </c>
      <c r="MO38" t="s">
        <v>501</v>
      </c>
      <c r="MP38" t="s">
        <v>504</v>
      </c>
      <c r="MQ38" t="s">
        <v>1063</v>
      </c>
      <c r="MR38" t="s">
        <v>507</v>
      </c>
      <c r="MS38" t="s">
        <v>510</v>
      </c>
      <c r="MT38" t="s">
        <v>513</v>
      </c>
      <c r="MZ38" t="s">
        <v>457</v>
      </c>
      <c r="NA38">
        <v>1.2</v>
      </c>
      <c r="ND38" t="s">
        <v>457</v>
      </c>
      <c r="NE38" t="s">
        <v>460</v>
      </c>
      <c r="NF38" t="s">
        <v>463</v>
      </c>
      <c r="NG38" t="s">
        <v>466</v>
      </c>
      <c r="NH38" t="s">
        <v>469</v>
      </c>
      <c r="NI38" t="s">
        <v>472</v>
      </c>
      <c r="NJ38" t="s">
        <v>475</v>
      </c>
      <c r="NK38" t="s">
        <v>478</v>
      </c>
      <c r="NL38" t="s">
        <v>481</v>
      </c>
      <c r="NM38" t="s">
        <v>484</v>
      </c>
      <c r="NN38" t="s">
        <v>487</v>
      </c>
      <c r="NO38" t="s">
        <v>490</v>
      </c>
      <c r="NP38" t="s">
        <v>493</v>
      </c>
      <c r="NQ38" t="s">
        <v>496</v>
      </c>
      <c r="NR38" t="s">
        <v>499</v>
      </c>
      <c r="NS38" t="s">
        <v>502</v>
      </c>
      <c r="NT38" t="s">
        <v>505</v>
      </c>
      <c r="NZ38" t="s">
        <v>455</v>
      </c>
      <c r="OA38">
        <v>223.185</v>
      </c>
      <c r="OC38" t="s">
        <v>432</v>
      </c>
      <c r="OD38">
        <v>321.79500000000002</v>
      </c>
      <c r="OF38" t="s">
        <v>457</v>
      </c>
      <c r="OG38">
        <v>379.07299999999998</v>
      </c>
      <c r="OI38">
        <v>2002232</v>
      </c>
      <c r="OJ38">
        <v>7</v>
      </c>
      <c r="OK38">
        <v>0</v>
      </c>
      <c r="PD38">
        <v>-91.17</v>
      </c>
      <c r="PE38">
        <v>6.7</v>
      </c>
      <c r="PH38">
        <v>2002242</v>
      </c>
      <c r="PI38">
        <v>7</v>
      </c>
      <c r="PJ38">
        <v>0</v>
      </c>
      <c r="QC38">
        <v>-90.83</v>
      </c>
      <c r="QD38">
        <v>3.76</v>
      </c>
      <c r="QF38">
        <v>110722</v>
      </c>
      <c r="QG38">
        <v>7</v>
      </c>
      <c r="QH38">
        <v>0</v>
      </c>
      <c r="QK38">
        <v>3.61</v>
      </c>
      <c r="QL38">
        <v>-86.01</v>
      </c>
      <c r="QQ38">
        <v>5.0199999999999996</v>
      </c>
      <c r="QR38">
        <v>-97.51</v>
      </c>
      <c r="QU38">
        <v>6.47</v>
      </c>
      <c r="QV38">
        <v>-95.59</v>
      </c>
      <c r="RA38">
        <v>-82.65</v>
      </c>
      <c r="RB38">
        <v>3.97</v>
      </c>
    </row>
    <row r="39" spans="1:470" x14ac:dyDescent="0.35">
      <c r="A39">
        <v>600</v>
      </c>
      <c r="B39">
        <v>2.66</v>
      </c>
      <c r="C39">
        <v>4.33</v>
      </c>
      <c r="D39">
        <v>4</v>
      </c>
      <c r="E39">
        <v>10</v>
      </c>
      <c r="F39">
        <v>3</v>
      </c>
      <c r="G39">
        <v>4.33</v>
      </c>
      <c r="AD39">
        <v>2.66</v>
      </c>
      <c r="AE39">
        <v>15.33</v>
      </c>
      <c r="AF39">
        <v>1</v>
      </c>
      <c r="AG39">
        <v>9</v>
      </c>
      <c r="AH39">
        <v>6.33</v>
      </c>
      <c r="AI39">
        <v>6.33</v>
      </c>
      <c r="AQ39">
        <v>4.3</v>
      </c>
      <c r="AR39">
        <v>7.6</v>
      </c>
      <c r="AS39">
        <v>5</v>
      </c>
      <c r="AT39">
        <v>7</v>
      </c>
      <c r="BA39">
        <v>5.66</v>
      </c>
      <c r="BB39">
        <v>10</v>
      </c>
      <c r="BC39">
        <v>6.3</v>
      </c>
      <c r="BD39">
        <v>9</v>
      </c>
      <c r="DZ39">
        <v>210223</v>
      </c>
      <c r="EA39">
        <v>8</v>
      </c>
      <c r="EB39">
        <v>0</v>
      </c>
      <c r="EK39">
        <f t="shared" si="11"/>
        <v>0</v>
      </c>
      <c r="EM39">
        <v>210224</v>
      </c>
      <c r="EN39">
        <v>8</v>
      </c>
      <c r="EO39">
        <v>0</v>
      </c>
      <c r="ET39">
        <v>1</v>
      </c>
      <c r="EX39">
        <f t="shared" si="2"/>
        <v>1</v>
      </c>
      <c r="FA39">
        <v>120722</v>
      </c>
      <c r="FB39">
        <v>7</v>
      </c>
      <c r="FC39">
        <v>0</v>
      </c>
      <c r="FL39">
        <f>SUM(Supplementary_Fig7!FD39:FK39)</f>
        <v>0</v>
      </c>
      <c r="FO39" t="s">
        <v>458</v>
      </c>
      <c r="FQ39">
        <v>61.21</v>
      </c>
      <c r="FS39" t="s">
        <v>458</v>
      </c>
      <c r="FU39">
        <f t="shared" ref="FU39:FU45" si="12">63*FQ39/100</f>
        <v>38.5623</v>
      </c>
      <c r="FW39" t="s">
        <v>476</v>
      </c>
      <c r="FX39" t="s">
        <v>479</v>
      </c>
      <c r="FY39" t="s">
        <v>482</v>
      </c>
      <c r="FZ39" t="s">
        <v>485</v>
      </c>
      <c r="GA39" t="s">
        <v>488</v>
      </c>
      <c r="GB39" t="s">
        <v>491</v>
      </c>
      <c r="GC39" t="s">
        <v>494</v>
      </c>
      <c r="GH39" t="s">
        <v>435</v>
      </c>
      <c r="GJ39">
        <v>84.48</v>
      </c>
      <c r="GL39" t="s">
        <v>435</v>
      </c>
      <c r="GN39">
        <f t="shared" ref="GN39:GN46" si="13">63*GJ39/100</f>
        <v>53.222400000000007</v>
      </c>
      <c r="GQ39" t="s">
        <v>441</v>
      </c>
      <c r="GR39" t="s">
        <v>444</v>
      </c>
      <c r="GS39" t="s">
        <v>447</v>
      </c>
      <c r="GT39" t="s">
        <v>450</v>
      </c>
      <c r="GU39" t="s">
        <v>453</v>
      </c>
      <c r="GV39" t="s">
        <v>456</v>
      </c>
      <c r="GW39" t="s">
        <v>1059</v>
      </c>
      <c r="GX39" t="s">
        <v>459</v>
      </c>
      <c r="GZ39" t="s">
        <v>460</v>
      </c>
      <c r="HB39">
        <v>32.92</v>
      </c>
      <c r="HD39" t="s">
        <v>460</v>
      </c>
      <c r="HF39">
        <f>63*Supplementary_Fig7!HB39/100</f>
        <v>20.739599999999999</v>
      </c>
      <c r="HV39" t="s">
        <v>455</v>
      </c>
      <c r="HW39">
        <v>77.34</v>
      </c>
      <c r="IX39" t="s">
        <v>435</v>
      </c>
      <c r="IY39">
        <v>106.54</v>
      </c>
      <c r="JD39">
        <f>AVERAGE(JD23:JD38)</f>
        <v>96.010618749999992</v>
      </c>
      <c r="JV39" t="s">
        <v>460</v>
      </c>
      <c r="JW39">
        <v>110.18</v>
      </c>
      <c r="JZ39" t="s">
        <v>457</v>
      </c>
      <c r="KA39" t="s">
        <v>460</v>
      </c>
      <c r="KB39" t="s">
        <v>463</v>
      </c>
      <c r="KC39" t="s">
        <v>466</v>
      </c>
      <c r="KD39" t="s">
        <v>469</v>
      </c>
      <c r="KE39" t="s">
        <v>472</v>
      </c>
      <c r="KF39" t="s">
        <v>475</v>
      </c>
      <c r="KG39" t="s">
        <v>478</v>
      </c>
      <c r="KH39" t="s">
        <v>481</v>
      </c>
      <c r="KI39" t="s">
        <v>484</v>
      </c>
      <c r="KJ39" t="s">
        <v>487</v>
      </c>
      <c r="KK39" t="s">
        <v>490</v>
      </c>
      <c r="KL39" t="s">
        <v>493</v>
      </c>
      <c r="KM39" t="s">
        <v>496</v>
      </c>
      <c r="KN39" t="s">
        <v>499</v>
      </c>
      <c r="KO39" t="s">
        <v>502</v>
      </c>
      <c r="KP39" t="s">
        <v>505</v>
      </c>
      <c r="KT39" t="s">
        <v>455</v>
      </c>
      <c r="KU39">
        <v>1.768</v>
      </c>
      <c r="KY39" t="s">
        <v>443</v>
      </c>
      <c r="KZ39" t="s">
        <v>446</v>
      </c>
      <c r="LA39" s="8" t="s">
        <v>449</v>
      </c>
      <c r="LB39" t="s">
        <v>452</v>
      </c>
      <c r="LC39" t="s">
        <v>455</v>
      </c>
      <c r="LD39" t="s">
        <v>458</v>
      </c>
      <c r="LE39" t="s">
        <v>461</v>
      </c>
      <c r="LF39" t="s">
        <v>464</v>
      </c>
      <c r="LG39" t="s">
        <v>467</v>
      </c>
      <c r="LH39" t="s">
        <v>470</v>
      </c>
      <c r="LI39" t="s">
        <v>473</v>
      </c>
      <c r="LJ39" t="s">
        <v>476</v>
      </c>
      <c r="LK39" t="s">
        <v>479</v>
      </c>
      <c r="LL39" t="s">
        <v>482</v>
      </c>
      <c r="LM39" t="s">
        <v>485</v>
      </c>
      <c r="LN39" t="s">
        <v>488</v>
      </c>
      <c r="LO39" t="s">
        <v>491</v>
      </c>
      <c r="LP39" t="s">
        <v>494</v>
      </c>
      <c r="LW39" t="s">
        <v>435</v>
      </c>
      <c r="LX39">
        <v>1.76</v>
      </c>
      <c r="MB39">
        <v>1.64917</v>
      </c>
      <c r="MC39">
        <v>1.82856</v>
      </c>
      <c r="MD39">
        <v>1.68723</v>
      </c>
      <c r="ME39">
        <v>1.93597</v>
      </c>
      <c r="MF39">
        <v>1.8387100000000001</v>
      </c>
      <c r="MG39">
        <v>1.6794</v>
      </c>
      <c r="MH39">
        <v>1.3983300000000001</v>
      </c>
      <c r="MI39">
        <v>1.6505399999999999</v>
      </c>
      <c r="MJ39">
        <v>1.7542199999999999</v>
      </c>
      <c r="MK39">
        <v>1.7585599999999999</v>
      </c>
      <c r="ML39">
        <v>1.9858800000000001</v>
      </c>
      <c r="MM39">
        <v>1.56562</v>
      </c>
      <c r="MN39">
        <v>1.35711</v>
      </c>
      <c r="MO39">
        <v>1.6294500000000001</v>
      </c>
      <c r="MP39">
        <v>1.5900799999999999</v>
      </c>
      <c r="MQ39">
        <v>1.67466</v>
      </c>
      <c r="MR39">
        <v>1.67238</v>
      </c>
      <c r="MS39">
        <v>1.5063</v>
      </c>
      <c r="MT39">
        <v>1.88209</v>
      </c>
      <c r="MZ39" t="s">
        <v>460</v>
      </c>
      <c r="NA39">
        <v>1.29</v>
      </c>
      <c r="ND39">
        <v>1.21593</v>
      </c>
      <c r="NE39">
        <v>1.29939</v>
      </c>
      <c r="NF39">
        <v>1.3002499999999999</v>
      </c>
      <c r="NG39">
        <v>1.4355</v>
      </c>
      <c r="NH39">
        <v>1.21957</v>
      </c>
      <c r="NI39">
        <v>1.2383</v>
      </c>
      <c r="NJ39">
        <v>1.31366</v>
      </c>
      <c r="NK39">
        <v>1.48932</v>
      </c>
      <c r="NL39">
        <v>1.54217</v>
      </c>
      <c r="NM39">
        <v>1.49834</v>
      </c>
      <c r="NN39">
        <v>1.5073799999999999</v>
      </c>
      <c r="NO39">
        <v>1.4525999999999999</v>
      </c>
      <c r="NP39">
        <v>1.4716800000000001</v>
      </c>
      <c r="NQ39">
        <v>1.41855</v>
      </c>
      <c r="NR39">
        <v>1.27901</v>
      </c>
      <c r="NS39">
        <v>1.34571</v>
      </c>
      <c r="NT39">
        <v>1.4532700000000001</v>
      </c>
      <c r="NZ39" t="s">
        <v>458</v>
      </c>
      <c r="OA39">
        <v>255.86099999999999</v>
      </c>
      <c r="OC39" t="s">
        <v>435</v>
      </c>
      <c r="OD39">
        <v>323.99299999999999</v>
      </c>
      <c r="OF39" t="s">
        <v>460</v>
      </c>
      <c r="OG39">
        <v>424.03899999999999</v>
      </c>
      <c r="OI39">
        <v>210223</v>
      </c>
      <c r="OJ39">
        <v>8</v>
      </c>
      <c r="OK39">
        <v>0</v>
      </c>
      <c r="PD39">
        <v>-91.64</v>
      </c>
      <c r="PE39">
        <v>6.32</v>
      </c>
      <c r="PH39">
        <v>210224</v>
      </c>
      <c r="PI39">
        <v>8</v>
      </c>
      <c r="PJ39">
        <v>0</v>
      </c>
      <c r="QC39">
        <v>-90.84</v>
      </c>
      <c r="QD39">
        <v>5.04</v>
      </c>
      <c r="QF39">
        <v>120722</v>
      </c>
      <c r="QG39">
        <v>7</v>
      </c>
      <c r="QH39">
        <v>0</v>
      </c>
      <c r="QM39">
        <v>1.06</v>
      </c>
      <c r="QN39">
        <v>-79.23</v>
      </c>
      <c r="QO39">
        <v>1.49</v>
      </c>
      <c r="QP39">
        <v>-87.39</v>
      </c>
      <c r="QS39">
        <v>3.41</v>
      </c>
      <c r="QT39">
        <v>-91.46</v>
      </c>
      <c r="QW39">
        <v>2.66</v>
      </c>
      <c r="QX39">
        <v>-87.09</v>
      </c>
      <c r="RA39">
        <v>-82.67</v>
      </c>
      <c r="RB39">
        <v>5.59</v>
      </c>
    </row>
    <row r="40" spans="1:470" x14ac:dyDescent="0.35">
      <c r="A40">
        <v>800</v>
      </c>
      <c r="B40">
        <v>4.33</v>
      </c>
      <c r="C40">
        <v>6.33</v>
      </c>
      <c r="D40">
        <v>5</v>
      </c>
      <c r="E40">
        <v>13.3</v>
      </c>
      <c r="F40">
        <v>4</v>
      </c>
      <c r="G40">
        <v>5.66</v>
      </c>
      <c r="AQ40">
        <v>5.6</v>
      </c>
      <c r="AR40">
        <v>10</v>
      </c>
      <c r="AS40">
        <v>6.3</v>
      </c>
      <c r="AT40">
        <f>27/3</f>
        <v>9</v>
      </c>
      <c r="DZ40">
        <v>2102232</v>
      </c>
      <c r="EA40">
        <v>6</v>
      </c>
      <c r="EB40">
        <v>0</v>
      </c>
      <c r="EK40">
        <f t="shared" si="11"/>
        <v>0</v>
      </c>
      <c r="EM40">
        <v>270224</v>
      </c>
      <c r="EN40">
        <v>7</v>
      </c>
      <c r="EO40">
        <v>0</v>
      </c>
      <c r="EX40">
        <f t="shared" si="2"/>
        <v>0</v>
      </c>
      <c r="FA40">
        <v>51222</v>
      </c>
      <c r="FB40">
        <v>6</v>
      </c>
      <c r="FC40">
        <v>0</v>
      </c>
      <c r="FL40">
        <f>SUM(Supplementary_Fig7!FD40:FK40)</f>
        <v>0</v>
      </c>
      <c r="FO40" t="s">
        <v>461</v>
      </c>
      <c r="FQ40">
        <v>66.22</v>
      </c>
      <c r="FS40" t="s">
        <v>461</v>
      </c>
      <c r="FU40">
        <f t="shared" si="12"/>
        <v>41.718599999999995</v>
      </c>
      <c r="FW40">
        <v>60.2545</v>
      </c>
      <c r="FX40">
        <v>82.006699999999995</v>
      </c>
      <c r="FY40">
        <v>55.315800000000003</v>
      </c>
      <c r="FZ40">
        <v>94.799000000000007</v>
      </c>
      <c r="GA40">
        <v>48.139099999999999</v>
      </c>
      <c r="GB40">
        <v>88.976799999999997</v>
      </c>
      <c r="GC40">
        <v>46.046700000000001</v>
      </c>
      <c r="GH40" t="s">
        <v>438</v>
      </c>
      <c r="GJ40">
        <v>77.63</v>
      </c>
      <c r="GL40" t="s">
        <v>438</v>
      </c>
      <c r="GN40">
        <f t="shared" si="13"/>
        <v>48.906899999999993</v>
      </c>
      <c r="GQ40">
        <v>51.34</v>
      </c>
      <c r="GR40">
        <v>45.856200000000001</v>
      </c>
      <c r="GS40">
        <v>59.357300000000002</v>
      </c>
      <c r="GT40">
        <v>77.628399999999999</v>
      </c>
      <c r="GU40">
        <v>69.540400000000005</v>
      </c>
      <c r="GV40">
        <v>69.948499999999996</v>
      </c>
      <c r="GX40">
        <v>118.098</v>
      </c>
      <c r="GZ40" t="s">
        <v>463</v>
      </c>
      <c r="HB40">
        <v>23.78</v>
      </c>
      <c r="HD40" t="s">
        <v>463</v>
      </c>
      <c r="HF40">
        <f>63*Supplementary_Fig7!HB40/100</f>
        <v>14.981400000000001</v>
      </c>
      <c r="HJ40" t="s">
        <v>457</v>
      </c>
      <c r="HK40" t="s">
        <v>460</v>
      </c>
      <c r="HL40" t="s">
        <v>463</v>
      </c>
      <c r="HM40" t="s">
        <v>466</v>
      </c>
      <c r="HN40" t="s">
        <v>469</v>
      </c>
      <c r="HO40" t="s">
        <v>472</v>
      </c>
      <c r="HP40" t="s">
        <v>475</v>
      </c>
      <c r="HV40" t="s">
        <v>458</v>
      </c>
      <c r="HW40">
        <v>95.14</v>
      </c>
      <c r="HZ40" t="s">
        <v>431</v>
      </c>
      <c r="IA40" t="s">
        <v>434</v>
      </c>
      <c r="IB40" t="s">
        <v>437</v>
      </c>
      <c r="IC40" t="s">
        <v>440</v>
      </c>
      <c r="ID40" t="s">
        <v>443</v>
      </c>
      <c r="IE40" t="s">
        <v>446</v>
      </c>
      <c r="IF40" s="8" t="s">
        <v>449</v>
      </c>
      <c r="IG40" t="s">
        <v>452</v>
      </c>
      <c r="IH40" t="s">
        <v>455</v>
      </c>
      <c r="II40" t="s">
        <v>458</v>
      </c>
      <c r="IJ40" t="s">
        <v>461</v>
      </c>
      <c r="IK40" t="s">
        <v>464</v>
      </c>
      <c r="IL40" t="s">
        <v>467</v>
      </c>
      <c r="IM40" t="s">
        <v>470</v>
      </c>
      <c r="IN40" t="s">
        <v>473</v>
      </c>
      <c r="IX40" t="s">
        <v>438</v>
      </c>
      <c r="IY40">
        <v>97.13</v>
      </c>
      <c r="JV40" t="s">
        <v>463</v>
      </c>
      <c r="JW40">
        <v>97.69</v>
      </c>
      <c r="JZ40">
        <v>101.898</v>
      </c>
      <c r="KA40">
        <v>98.1995</v>
      </c>
      <c r="KB40">
        <v>96.070899999999995</v>
      </c>
      <c r="KC40">
        <v>89.102199999999996</v>
      </c>
      <c r="KD40">
        <v>108.82</v>
      </c>
      <c r="KE40">
        <v>101.44499999999999</v>
      </c>
      <c r="KF40">
        <v>95.843500000000006</v>
      </c>
      <c r="KG40">
        <v>93.249499999999998</v>
      </c>
      <c r="KH40">
        <v>97.726399999999998</v>
      </c>
      <c r="KI40">
        <v>94.483900000000006</v>
      </c>
      <c r="KJ40">
        <v>92.504900000000006</v>
      </c>
      <c r="KK40">
        <v>96.821600000000004</v>
      </c>
      <c r="KL40">
        <v>96.551500000000004</v>
      </c>
      <c r="KM40">
        <v>96.858199999999997</v>
      </c>
      <c r="KN40">
        <v>107.39400000000001</v>
      </c>
      <c r="KO40">
        <v>86.215199999999996</v>
      </c>
      <c r="KP40">
        <v>85.8322</v>
      </c>
      <c r="KT40" t="s">
        <v>458</v>
      </c>
      <c r="KU40">
        <v>1.63</v>
      </c>
      <c r="KY40">
        <v>1.85727</v>
      </c>
      <c r="KZ40">
        <v>1.9635400000000001</v>
      </c>
      <c r="LA40">
        <v>1.73159</v>
      </c>
      <c r="LB40">
        <v>1.72295</v>
      </c>
      <c r="LC40">
        <v>1.6922999999999999</v>
      </c>
      <c r="LD40">
        <v>1.6263099999999999</v>
      </c>
      <c r="LE40">
        <v>3.4475799999999999</v>
      </c>
      <c r="LF40">
        <v>1.8088</v>
      </c>
      <c r="LG40">
        <v>2.4031500000000001</v>
      </c>
      <c r="LH40">
        <v>3.8599199999999998</v>
      </c>
      <c r="LI40">
        <v>1.5929899999999999</v>
      </c>
      <c r="LJ40">
        <v>1.5459499999999999</v>
      </c>
      <c r="LK40">
        <v>1.92187</v>
      </c>
      <c r="LL40">
        <v>2.1231100000000001</v>
      </c>
      <c r="LM40">
        <v>1.82131</v>
      </c>
      <c r="LN40">
        <v>2.0905900000000002</v>
      </c>
      <c r="LO40">
        <v>1.55121</v>
      </c>
      <c r="LP40">
        <v>1.61446</v>
      </c>
      <c r="LW40" t="s">
        <v>438</v>
      </c>
      <c r="LX40">
        <v>1.88</v>
      </c>
      <c r="MB40">
        <v>1.68441</v>
      </c>
      <c r="MC40">
        <v>1.8327</v>
      </c>
      <c r="MD40">
        <v>1.7065699999999999</v>
      </c>
      <c r="ME40">
        <v>1.9881500000000001</v>
      </c>
      <c r="MF40">
        <v>1.82395</v>
      </c>
      <c r="MG40">
        <v>1.6771400000000001</v>
      </c>
      <c r="MH40">
        <v>1.3654299999999999</v>
      </c>
      <c r="MI40">
        <v>1.5964700000000001</v>
      </c>
      <c r="MJ40">
        <v>1.66747</v>
      </c>
      <c r="MK40">
        <v>1.80969</v>
      </c>
      <c r="ML40">
        <v>1.9462999999999999</v>
      </c>
      <c r="MM40">
        <v>1.5302800000000001</v>
      </c>
      <c r="MN40">
        <v>1.3157099999999999</v>
      </c>
      <c r="MO40">
        <v>1.6511400000000001</v>
      </c>
      <c r="MP40">
        <v>1.6133</v>
      </c>
      <c r="MQ40">
        <v>1.7129099999999999</v>
      </c>
      <c r="MR40">
        <v>1.6912199999999999</v>
      </c>
      <c r="MS40">
        <v>1.50884</v>
      </c>
      <c r="MT40">
        <v>1.8786099999999999</v>
      </c>
      <c r="MZ40" t="s">
        <v>463</v>
      </c>
      <c r="NA40">
        <v>1.29</v>
      </c>
      <c r="ND40">
        <v>1.2028399999999999</v>
      </c>
      <c r="NE40">
        <v>1.2738400000000001</v>
      </c>
      <c r="NF40">
        <v>1.29233</v>
      </c>
      <c r="NG40">
        <v>1.4558199999999999</v>
      </c>
      <c r="NH40">
        <v>1.2210399999999999</v>
      </c>
      <c r="NI40">
        <v>1.19573</v>
      </c>
      <c r="NJ40">
        <v>1.3250999999999999</v>
      </c>
      <c r="NK40">
        <v>1.48522</v>
      </c>
      <c r="NL40">
        <v>1.5050699999999999</v>
      </c>
      <c r="NM40">
        <v>1.50803</v>
      </c>
      <c r="NN40">
        <v>1.5243899999999999</v>
      </c>
      <c r="NO40">
        <v>1.4497</v>
      </c>
      <c r="NP40">
        <v>1.4709300000000001</v>
      </c>
      <c r="NQ40">
        <v>1.34358</v>
      </c>
      <c r="NR40">
        <v>1.3073699999999999</v>
      </c>
      <c r="NS40">
        <v>1.3515999999999999</v>
      </c>
      <c r="NT40">
        <v>1.45153</v>
      </c>
      <c r="NZ40" t="s">
        <v>461</v>
      </c>
      <c r="OA40">
        <v>76.510099999999994</v>
      </c>
      <c r="OC40" t="s">
        <v>438</v>
      </c>
      <c r="OD40">
        <v>197.071</v>
      </c>
      <c r="OF40" t="s">
        <v>463</v>
      </c>
      <c r="OG40">
        <v>321.30599999999998</v>
      </c>
      <c r="OI40">
        <v>2102232</v>
      </c>
      <c r="OJ40">
        <v>6</v>
      </c>
      <c r="OK40">
        <v>0</v>
      </c>
      <c r="PD40">
        <v>-91.75</v>
      </c>
      <c r="PE40">
        <v>6.13</v>
      </c>
      <c r="PH40">
        <v>270224</v>
      </c>
      <c r="PI40">
        <v>7</v>
      </c>
      <c r="PJ40">
        <v>0</v>
      </c>
      <c r="PK40">
        <v>4.07</v>
      </c>
      <c r="PL40">
        <v>-95.65</v>
      </c>
      <c r="PM40">
        <v>2.3199999999999998</v>
      </c>
      <c r="PN40">
        <v>-93.22</v>
      </c>
      <c r="PU40">
        <v>3.86</v>
      </c>
      <c r="PV40">
        <v>-99.75</v>
      </c>
      <c r="PW40">
        <v>4.68</v>
      </c>
      <c r="PX40">
        <v>-100</v>
      </c>
      <c r="PY40">
        <v>4.4400000000000004</v>
      </c>
      <c r="PZ40">
        <v>-100</v>
      </c>
      <c r="QC40">
        <v>-91.04</v>
      </c>
      <c r="QD40">
        <v>3.86</v>
      </c>
      <c r="QF40">
        <v>51222</v>
      </c>
      <c r="QG40">
        <v>6</v>
      </c>
      <c r="QH40">
        <v>0</v>
      </c>
      <c r="RA40">
        <v>-82.7</v>
      </c>
      <c r="RB40">
        <v>2.46</v>
      </c>
    </row>
    <row r="41" spans="1:470" x14ac:dyDescent="0.35">
      <c r="DZ41">
        <v>220223</v>
      </c>
      <c r="EA41">
        <v>7</v>
      </c>
      <c r="EB41">
        <v>0</v>
      </c>
      <c r="EK41">
        <f t="shared" si="11"/>
        <v>0</v>
      </c>
      <c r="EM41">
        <v>280224</v>
      </c>
      <c r="EN41">
        <v>8</v>
      </c>
      <c r="EO41">
        <v>0</v>
      </c>
      <c r="EX41">
        <f t="shared" si="2"/>
        <v>0</v>
      </c>
      <c r="FA41">
        <v>61222</v>
      </c>
      <c r="FB41">
        <v>8</v>
      </c>
      <c r="FC41">
        <v>0</v>
      </c>
      <c r="FE41">
        <v>1</v>
      </c>
      <c r="FL41">
        <f>SUM(Supplementary_Fig7!FD41:FK41)</f>
        <v>1</v>
      </c>
      <c r="FO41" t="s">
        <v>464</v>
      </c>
      <c r="FQ41">
        <v>65.97</v>
      </c>
      <c r="FS41" t="s">
        <v>464</v>
      </c>
      <c r="FU41">
        <f t="shared" si="12"/>
        <v>41.561099999999996</v>
      </c>
      <c r="FW41">
        <v>33.261299999999999</v>
      </c>
      <c r="FX41">
        <v>82.699299999999994</v>
      </c>
      <c r="FY41">
        <v>41.9163</v>
      </c>
      <c r="FZ41">
        <v>61.975900000000003</v>
      </c>
      <c r="GA41">
        <v>53.341099999999997</v>
      </c>
      <c r="GB41">
        <v>61.407299999999999</v>
      </c>
      <c r="GC41">
        <v>56.279000000000003</v>
      </c>
      <c r="GH41" t="s">
        <v>441</v>
      </c>
      <c r="GJ41">
        <v>51.67</v>
      </c>
      <c r="GL41" t="s">
        <v>441</v>
      </c>
      <c r="GN41">
        <f t="shared" si="13"/>
        <v>32.552100000000003</v>
      </c>
      <c r="GQ41">
        <v>62.606999999999999</v>
      </c>
      <c r="GR41">
        <v>46.2639</v>
      </c>
      <c r="GS41">
        <v>52.853700000000003</v>
      </c>
      <c r="GT41">
        <v>96.775599999999997</v>
      </c>
      <c r="GU41">
        <v>87.787700000000001</v>
      </c>
      <c r="GV41">
        <v>77.584999999999994</v>
      </c>
      <c r="GX41">
        <v>64.191800000000001</v>
      </c>
      <c r="GZ41" t="s">
        <v>466</v>
      </c>
      <c r="HB41">
        <v>41.65</v>
      </c>
      <c r="HD41" t="s">
        <v>466</v>
      </c>
      <c r="HF41">
        <f>63*Supplementary_Fig7!HB41/100</f>
        <v>26.2395</v>
      </c>
      <c r="HJ41">
        <v>44.568399999999997</v>
      </c>
      <c r="HK41">
        <v>31.866399999999999</v>
      </c>
      <c r="HL41">
        <v>26.0274</v>
      </c>
      <c r="HM41">
        <v>42.1815</v>
      </c>
      <c r="HN41">
        <v>37.823</v>
      </c>
      <c r="HO41">
        <v>48.501399999999997</v>
      </c>
      <c r="HP41">
        <v>36.817500000000003</v>
      </c>
      <c r="HV41" t="s">
        <v>461</v>
      </c>
      <c r="HW41">
        <v>71.790000000000006</v>
      </c>
      <c r="HZ41">
        <v>78.626999999999995</v>
      </c>
      <c r="IA41">
        <v>83.000200000000007</v>
      </c>
      <c r="IB41">
        <v>79.229699999999994</v>
      </c>
      <c r="IC41">
        <v>75.132800000000003</v>
      </c>
      <c r="ID41">
        <v>86.260999999999996</v>
      </c>
      <c r="IE41">
        <v>79.6631</v>
      </c>
      <c r="IF41">
        <v>81.254599999999996</v>
      </c>
      <c r="IG41">
        <v>78.662099999999995</v>
      </c>
      <c r="IH41">
        <v>80.868499999999997</v>
      </c>
      <c r="II41">
        <v>89.494299999999996</v>
      </c>
      <c r="IJ41">
        <v>58.499099999999999</v>
      </c>
      <c r="IK41">
        <v>92.919899999999998</v>
      </c>
      <c r="IL41">
        <v>68.632499999999993</v>
      </c>
      <c r="IM41">
        <v>60.629300000000001</v>
      </c>
      <c r="IN41">
        <v>88.169899999999998</v>
      </c>
      <c r="IX41" t="s">
        <v>441</v>
      </c>
      <c r="IY41">
        <v>99.68</v>
      </c>
      <c r="JB41" t="s">
        <v>418</v>
      </c>
      <c r="JC41" t="s">
        <v>422</v>
      </c>
      <c r="JD41" t="s">
        <v>1058</v>
      </c>
      <c r="JE41" t="s">
        <v>426</v>
      </c>
      <c r="JF41" t="s">
        <v>429</v>
      </c>
      <c r="JG41" t="s">
        <v>432</v>
      </c>
      <c r="JH41" t="s">
        <v>435</v>
      </c>
      <c r="JI41" t="s">
        <v>438</v>
      </c>
      <c r="JJ41" t="s">
        <v>441</v>
      </c>
      <c r="JK41" t="s">
        <v>444</v>
      </c>
      <c r="JL41" t="s">
        <v>447</v>
      </c>
      <c r="JM41" t="s">
        <v>450</v>
      </c>
      <c r="JN41" t="s">
        <v>453</v>
      </c>
      <c r="JO41" t="s">
        <v>456</v>
      </c>
      <c r="JP41" t="s">
        <v>1059</v>
      </c>
      <c r="JQ41" t="s">
        <v>459</v>
      </c>
      <c r="JV41" t="s">
        <v>466</v>
      </c>
      <c r="JW41">
        <v>87.28</v>
      </c>
      <c r="JZ41">
        <v>101.836</v>
      </c>
      <c r="KA41">
        <v>100.90900000000001</v>
      </c>
      <c r="KB41">
        <v>96.144099999999995</v>
      </c>
      <c r="KC41">
        <v>88.392600000000002</v>
      </c>
      <c r="KD41">
        <v>108.922</v>
      </c>
      <c r="KE41">
        <v>116.05200000000001</v>
      </c>
      <c r="KF41">
        <v>96.402000000000001</v>
      </c>
      <c r="KG41">
        <v>92.939800000000005</v>
      </c>
      <c r="KH41">
        <v>96.566800000000001</v>
      </c>
      <c r="KI41">
        <v>93.933099999999996</v>
      </c>
      <c r="KJ41">
        <v>93.876599999999996</v>
      </c>
      <c r="KK41">
        <v>97.755399999999995</v>
      </c>
      <c r="KL41">
        <v>96.244799999999998</v>
      </c>
      <c r="KM41">
        <v>98.4268</v>
      </c>
      <c r="KN41">
        <v>107.878</v>
      </c>
      <c r="KO41">
        <v>85.952799999999996</v>
      </c>
      <c r="KP41">
        <v>89.433300000000003</v>
      </c>
      <c r="KT41" t="s">
        <v>461</v>
      </c>
      <c r="KU41">
        <v>3.68</v>
      </c>
      <c r="KY41">
        <v>1.72481</v>
      </c>
      <c r="KZ41">
        <v>1.8431900000000001</v>
      </c>
      <c r="LA41">
        <v>1.75074</v>
      </c>
      <c r="LB41">
        <v>1.6714199999999999</v>
      </c>
      <c r="LC41">
        <v>1.6930700000000001</v>
      </c>
      <c r="LD41">
        <v>1.66534</v>
      </c>
      <c r="LE41">
        <v>3.4408099999999999</v>
      </c>
      <c r="LF41">
        <v>1.78637</v>
      </c>
      <c r="LG41">
        <v>2.3972199999999999</v>
      </c>
      <c r="LH41">
        <v>3.5711900000000001</v>
      </c>
      <c r="LI41">
        <v>1.6454299999999999</v>
      </c>
      <c r="LJ41">
        <v>1.4511700000000001</v>
      </c>
      <c r="LK41">
        <v>1.8870800000000001</v>
      </c>
      <c r="LL41">
        <v>1.96384</v>
      </c>
      <c r="LM41">
        <v>1.84626</v>
      </c>
      <c r="LN41">
        <v>2.0428099999999998</v>
      </c>
      <c r="LO41">
        <v>1.49576</v>
      </c>
      <c r="LP41">
        <v>1.50017</v>
      </c>
      <c r="LW41" t="s">
        <v>441</v>
      </c>
      <c r="LX41">
        <v>1.82</v>
      </c>
      <c r="MB41">
        <v>1.67388</v>
      </c>
      <c r="MC41">
        <v>1.82786</v>
      </c>
      <c r="MD41">
        <v>1.6876</v>
      </c>
      <c r="ME41">
        <v>1.9629099999999999</v>
      </c>
      <c r="MF41">
        <v>1.8165500000000001</v>
      </c>
      <c r="MG41">
        <v>1.67205</v>
      </c>
      <c r="MH41">
        <v>1.3614900000000001</v>
      </c>
      <c r="MI41">
        <v>1.5404899999999999</v>
      </c>
      <c r="MJ41">
        <v>1.70522</v>
      </c>
      <c r="MK41">
        <v>1.8124199999999999</v>
      </c>
      <c r="ML41">
        <v>1.9412700000000001</v>
      </c>
      <c r="MM41">
        <v>1.53735</v>
      </c>
      <c r="MN41">
        <v>1.27783</v>
      </c>
      <c r="MO41">
        <v>1.599</v>
      </c>
      <c r="MP41">
        <v>1.6131</v>
      </c>
      <c r="MQ41">
        <v>1.8047200000000001</v>
      </c>
      <c r="MR41">
        <v>1.7128699999999999</v>
      </c>
      <c r="MS41">
        <v>1.50465</v>
      </c>
      <c r="MT41">
        <v>1.85524</v>
      </c>
      <c r="MZ41" t="s">
        <v>466</v>
      </c>
      <c r="NA41">
        <v>1.48</v>
      </c>
      <c r="ND41">
        <v>1.2083200000000001</v>
      </c>
      <c r="NE41">
        <v>1.29017</v>
      </c>
      <c r="NF41">
        <v>1.3132999999999999</v>
      </c>
      <c r="NG41">
        <v>1.45007</v>
      </c>
      <c r="NH41">
        <v>1.22332</v>
      </c>
      <c r="NI41">
        <v>1.1983600000000001</v>
      </c>
      <c r="NJ41">
        <v>1.3036000000000001</v>
      </c>
      <c r="NK41">
        <v>1.48858</v>
      </c>
      <c r="NL41">
        <v>1.54457</v>
      </c>
      <c r="NM41">
        <v>1.5043599999999999</v>
      </c>
      <c r="NN41">
        <v>1.44614</v>
      </c>
      <c r="NO41">
        <v>1.4550700000000001</v>
      </c>
      <c r="NP41">
        <v>1.4703200000000001</v>
      </c>
      <c r="NQ41">
        <v>1.3567100000000001</v>
      </c>
      <c r="NR41">
        <v>1.30881</v>
      </c>
      <c r="NS41">
        <v>1.36338</v>
      </c>
      <c r="NT41">
        <v>1.4719500000000001</v>
      </c>
      <c r="NZ41" t="s">
        <v>464</v>
      </c>
      <c r="OA41">
        <v>302.01499999999999</v>
      </c>
      <c r="OC41" t="s">
        <v>441</v>
      </c>
      <c r="OD41">
        <v>202.31800000000001</v>
      </c>
      <c r="OF41" t="s">
        <v>466</v>
      </c>
      <c r="OG41">
        <v>292.00700000000001</v>
      </c>
      <c r="OI41">
        <v>220223</v>
      </c>
      <c r="OJ41">
        <v>7</v>
      </c>
      <c r="OK41">
        <v>0</v>
      </c>
      <c r="PD41">
        <v>-91.92</v>
      </c>
      <c r="PE41">
        <v>7</v>
      </c>
      <c r="PH41">
        <v>280224</v>
      </c>
      <c r="PI41">
        <v>8</v>
      </c>
      <c r="PJ41">
        <v>0</v>
      </c>
      <c r="PK41">
        <v>3.28</v>
      </c>
      <c r="PL41">
        <v>-84.6</v>
      </c>
      <c r="PM41">
        <v>1.38</v>
      </c>
      <c r="PN41">
        <v>-81.13</v>
      </c>
      <c r="PO41">
        <v>2.81</v>
      </c>
      <c r="PP41">
        <v>-87.62</v>
      </c>
      <c r="PS41">
        <v>7.17</v>
      </c>
      <c r="PT41">
        <v>-91.66</v>
      </c>
      <c r="PU41">
        <v>5.44</v>
      </c>
      <c r="PV41">
        <v>-96.08</v>
      </c>
      <c r="PW41">
        <v>2.27</v>
      </c>
      <c r="PX41">
        <v>-88.6</v>
      </c>
      <c r="PY41">
        <v>2.41</v>
      </c>
      <c r="PZ41">
        <v>-88.45</v>
      </c>
      <c r="QC41">
        <v>-91.08</v>
      </c>
      <c r="QD41">
        <v>3.23</v>
      </c>
      <c r="QF41">
        <v>61222</v>
      </c>
      <c r="QG41">
        <v>8</v>
      </c>
      <c r="QH41">
        <v>0</v>
      </c>
      <c r="RA41">
        <v>-82.86</v>
      </c>
      <c r="RB41">
        <v>3.09</v>
      </c>
    </row>
    <row r="42" spans="1:470" ht="13.15" x14ac:dyDescent="0.4">
      <c r="A42" s="35" t="s">
        <v>1064</v>
      </c>
      <c r="DZ42">
        <v>240223</v>
      </c>
      <c r="EA42">
        <v>7</v>
      </c>
      <c r="EB42">
        <v>0</v>
      </c>
      <c r="EF42">
        <v>1</v>
      </c>
      <c r="EG42">
        <v>1</v>
      </c>
      <c r="EK42">
        <f t="shared" si="11"/>
        <v>2</v>
      </c>
      <c r="EM42">
        <v>290224</v>
      </c>
      <c r="EN42">
        <v>7</v>
      </c>
      <c r="EO42">
        <v>0</v>
      </c>
      <c r="EV42">
        <v>1</v>
      </c>
      <c r="EX42">
        <f t="shared" si="2"/>
        <v>1</v>
      </c>
      <c r="FA42">
        <v>191222</v>
      </c>
      <c r="FB42">
        <v>6</v>
      </c>
      <c r="FC42">
        <v>0</v>
      </c>
      <c r="FL42">
        <f>SUM(Supplementary_Fig7!FD42:FK42)</f>
        <v>0</v>
      </c>
      <c r="FO42" t="s">
        <v>467</v>
      </c>
      <c r="FQ42">
        <v>71.900000000000006</v>
      </c>
      <c r="FS42" t="s">
        <v>467</v>
      </c>
      <c r="FU42">
        <f t="shared" si="12"/>
        <v>45.297000000000004</v>
      </c>
      <c r="FW42">
        <v>41.4086</v>
      </c>
      <c r="FX42">
        <v>61.6205</v>
      </c>
      <c r="GA42">
        <v>32.0578</v>
      </c>
      <c r="GC42">
        <v>44.867800000000003</v>
      </c>
      <c r="GH42" t="s">
        <v>444</v>
      </c>
      <c r="GJ42">
        <v>46.06</v>
      </c>
      <c r="GL42" t="s">
        <v>444</v>
      </c>
      <c r="GN42">
        <f t="shared" si="13"/>
        <v>29.017800000000001</v>
      </c>
      <c r="GQ42">
        <v>42.172699999999999</v>
      </c>
      <c r="GS42">
        <v>72.596800000000002</v>
      </c>
      <c r="GT42">
        <v>84.506600000000006</v>
      </c>
      <c r="GU42">
        <v>69.4054</v>
      </c>
      <c r="GV42">
        <v>66.899100000000004</v>
      </c>
      <c r="GZ42" t="s">
        <v>469</v>
      </c>
      <c r="HB42">
        <v>40.36</v>
      </c>
      <c r="HD42" t="s">
        <v>469</v>
      </c>
      <c r="HF42">
        <f>63*Supplementary_Fig7!HB42/100</f>
        <v>25.4268</v>
      </c>
      <c r="HJ42">
        <v>57.7898</v>
      </c>
      <c r="HK42">
        <v>41.793100000000003</v>
      </c>
      <c r="HL42">
        <v>18.374300000000002</v>
      </c>
      <c r="HM42">
        <v>48.036499999999997</v>
      </c>
      <c r="HN42">
        <v>49.713000000000001</v>
      </c>
      <c r="HO42">
        <v>43.49</v>
      </c>
      <c r="HP42">
        <v>50.580300000000001</v>
      </c>
      <c r="HV42" t="s">
        <v>464</v>
      </c>
      <c r="HW42">
        <v>102.09</v>
      </c>
      <c r="HZ42">
        <v>76.414500000000004</v>
      </c>
      <c r="IA42">
        <v>80.404700000000005</v>
      </c>
      <c r="IB42">
        <v>77.136200000000002</v>
      </c>
      <c r="IC42">
        <v>70.176699999999997</v>
      </c>
      <c r="ID42">
        <v>85.711699999999993</v>
      </c>
      <c r="IE42">
        <v>78.582800000000006</v>
      </c>
      <c r="IF42">
        <v>81.851200000000006</v>
      </c>
      <c r="IG42">
        <v>77.024799999999999</v>
      </c>
      <c r="IH42">
        <v>79.373199999999997</v>
      </c>
      <c r="II42">
        <v>88.780199999999994</v>
      </c>
      <c r="IJ42">
        <v>56.4285</v>
      </c>
      <c r="IK42">
        <v>89.985699999999994</v>
      </c>
      <c r="IL42">
        <v>66.554299999999998</v>
      </c>
      <c r="IM42">
        <v>58.799700000000001</v>
      </c>
      <c r="IN42">
        <v>85.882599999999996</v>
      </c>
      <c r="IX42" t="s">
        <v>444</v>
      </c>
      <c r="IY42">
        <v>99.4</v>
      </c>
      <c r="JB42">
        <v>91.131600000000006</v>
      </c>
      <c r="JC42">
        <v>97.700500000000005</v>
      </c>
      <c r="JD42">
        <v>75.726299999999995</v>
      </c>
      <c r="JE42">
        <v>101.541</v>
      </c>
      <c r="JF42">
        <v>105.06100000000001</v>
      </c>
      <c r="JG42">
        <v>130.73400000000001</v>
      </c>
      <c r="JH42">
        <v>98.808300000000003</v>
      </c>
      <c r="JI42">
        <v>84.951800000000006</v>
      </c>
      <c r="JJ42">
        <v>81.677199999999999</v>
      </c>
      <c r="JK42">
        <v>86.883499999999998</v>
      </c>
      <c r="JL42">
        <v>102.89</v>
      </c>
      <c r="JM42">
        <v>88.937399999999997</v>
      </c>
      <c r="JN42">
        <v>93.220500000000001</v>
      </c>
      <c r="JO42">
        <v>80.480999999999995</v>
      </c>
      <c r="JQ42">
        <v>79.269400000000005</v>
      </c>
      <c r="JV42" t="s">
        <v>469</v>
      </c>
      <c r="JW42">
        <v>108.13</v>
      </c>
      <c r="JZ42">
        <v>103.11</v>
      </c>
      <c r="KA42">
        <v>101.627</v>
      </c>
      <c r="KB42">
        <v>94.610600000000005</v>
      </c>
      <c r="KC42">
        <v>88.160700000000006</v>
      </c>
      <c r="KD42">
        <v>106.55500000000001</v>
      </c>
      <c r="KE42">
        <v>115.43600000000001</v>
      </c>
      <c r="KF42">
        <v>110.858</v>
      </c>
      <c r="KG42">
        <v>106.378</v>
      </c>
      <c r="KH42">
        <v>94.883700000000005</v>
      </c>
      <c r="KI42">
        <v>95.457499999999996</v>
      </c>
      <c r="KJ42">
        <v>93.345600000000005</v>
      </c>
      <c r="KK42">
        <v>97.634900000000002</v>
      </c>
      <c r="KL42">
        <v>97.549400000000006</v>
      </c>
      <c r="KM42">
        <v>96.8994</v>
      </c>
      <c r="KN42">
        <v>107.547</v>
      </c>
      <c r="KO42">
        <v>85.325599999999994</v>
      </c>
      <c r="KP42">
        <v>90.403700000000001</v>
      </c>
      <c r="KT42" t="s">
        <v>464</v>
      </c>
      <c r="KU42">
        <v>1.69</v>
      </c>
      <c r="KY42">
        <v>1.7077100000000001</v>
      </c>
      <c r="KZ42">
        <v>1.75349</v>
      </c>
      <c r="LA42">
        <v>1.7847200000000001</v>
      </c>
      <c r="LB42">
        <v>1.62378</v>
      </c>
      <c r="LC42">
        <v>1.68649</v>
      </c>
      <c r="LD42">
        <v>1.64459</v>
      </c>
      <c r="LE42">
        <v>3.76051</v>
      </c>
      <c r="LF42">
        <v>1.7446299999999999</v>
      </c>
      <c r="LG42">
        <v>2.39554</v>
      </c>
      <c r="LH42">
        <v>3.74411</v>
      </c>
      <c r="LI42">
        <v>1.6273500000000001</v>
      </c>
      <c r="LJ42">
        <v>1.5164800000000001</v>
      </c>
      <c r="LK42">
        <v>1.74613</v>
      </c>
      <c r="LL42">
        <v>1.88635</v>
      </c>
      <c r="LM42">
        <v>1.8493200000000001</v>
      </c>
      <c r="LN42">
        <v>2.0712100000000002</v>
      </c>
      <c r="LO42">
        <v>1.4583999999999999</v>
      </c>
      <c r="LP42">
        <v>1.5005500000000001</v>
      </c>
      <c r="LW42" t="s">
        <v>444</v>
      </c>
      <c r="LX42">
        <v>1.63</v>
      </c>
      <c r="MB42">
        <v>1.67621</v>
      </c>
      <c r="MC42">
        <v>1.82904</v>
      </c>
      <c r="MD42">
        <v>1.69225</v>
      </c>
      <c r="ME42">
        <v>2.0293399999999999</v>
      </c>
      <c r="MF42">
        <v>1.8806400000000001</v>
      </c>
      <c r="MG42">
        <v>1.6155999999999999</v>
      </c>
      <c r="MH42">
        <v>1.38429</v>
      </c>
      <c r="MI42">
        <v>1.53952</v>
      </c>
      <c r="MJ42">
        <v>1.5997399999999999</v>
      </c>
      <c r="MK42">
        <v>1.77989</v>
      </c>
      <c r="ML42">
        <v>1.9290400000000001</v>
      </c>
      <c r="MM42">
        <v>1.583</v>
      </c>
      <c r="MN42">
        <v>1.2848299999999999</v>
      </c>
      <c r="MO42">
        <v>1.61093</v>
      </c>
      <c r="MP42">
        <v>1.6321699999999999</v>
      </c>
      <c r="MQ42">
        <v>1.66632</v>
      </c>
      <c r="MR42">
        <v>1.70828</v>
      </c>
      <c r="MS42">
        <v>1.51403</v>
      </c>
      <c r="MT42">
        <v>1.8706799999999999</v>
      </c>
      <c r="MZ42" t="s">
        <v>469</v>
      </c>
      <c r="NA42">
        <v>1.24</v>
      </c>
      <c r="ND42">
        <v>1.21529</v>
      </c>
      <c r="NE42">
        <v>1.28843</v>
      </c>
      <c r="NF42">
        <v>1.29705</v>
      </c>
      <c r="NG42">
        <v>1.4350400000000001</v>
      </c>
      <c r="NH42">
        <v>1.2371099999999999</v>
      </c>
      <c r="NI42">
        <v>1.1894899999999999</v>
      </c>
      <c r="NJ42">
        <v>1.30141</v>
      </c>
      <c r="NK42">
        <v>1.4967999999999999</v>
      </c>
      <c r="NL42">
        <v>1.54097</v>
      </c>
      <c r="NM42">
        <v>1.5171300000000001</v>
      </c>
      <c r="NN42">
        <v>1.45522</v>
      </c>
      <c r="NO42">
        <v>1.46035</v>
      </c>
      <c r="NP42">
        <v>1.4773799999999999</v>
      </c>
      <c r="NQ42">
        <v>1.33179</v>
      </c>
      <c r="NR42">
        <v>1.3101100000000001</v>
      </c>
      <c r="NS42">
        <v>1.3627</v>
      </c>
      <c r="NT42">
        <v>1.46712</v>
      </c>
      <c r="NZ42" t="s">
        <v>467</v>
      </c>
      <c r="OA42">
        <v>122.161</v>
      </c>
      <c r="OC42" t="s">
        <v>444</v>
      </c>
      <c r="OD42">
        <v>309.21899999999999</v>
      </c>
      <c r="OF42" t="s">
        <v>469</v>
      </c>
      <c r="OG42">
        <v>416.60599999999999</v>
      </c>
      <c r="OI42">
        <v>240223</v>
      </c>
      <c r="OJ42">
        <v>7</v>
      </c>
      <c r="OK42">
        <v>0</v>
      </c>
      <c r="PD42">
        <v>-92.48</v>
      </c>
      <c r="PE42">
        <v>9.56</v>
      </c>
      <c r="PH42">
        <v>290224</v>
      </c>
      <c r="PI42">
        <v>7</v>
      </c>
      <c r="PJ42">
        <v>0</v>
      </c>
      <c r="PS42">
        <v>2.06</v>
      </c>
      <c r="PT42">
        <v>-89.96</v>
      </c>
      <c r="QC42">
        <v>-91.11</v>
      </c>
      <c r="QD42">
        <v>3.68</v>
      </c>
      <c r="QF42">
        <v>191222</v>
      </c>
      <c r="QG42">
        <v>6</v>
      </c>
      <c r="QH42">
        <v>0</v>
      </c>
      <c r="RA42">
        <v>-82.93</v>
      </c>
      <c r="RB42">
        <v>3.33</v>
      </c>
    </row>
    <row r="43" spans="1:470" ht="13.15" x14ac:dyDescent="0.4">
      <c r="DZ43">
        <v>60423</v>
      </c>
      <c r="EA43">
        <v>5</v>
      </c>
      <c r="EB43">
        <v>1</v>
      </c>
      <c r="ED43">
        <v>1</v>
      </c>
      <c r="EG43">
        <v>1</v>
      </c>
      <c r="EH43">
        <v>1</v>
      </c>
      <c r="EJ43">
        <v>1</v>
      </c>
      <c r="EK43">
        <f t="shared" si="11"/>
        <v>4</v>
      </c>
      <c r="EM43">
        <v>140624</v>
      </c>
      <c r="EN43">
        <v>7</v>
      </c>
      <c r="EO43">
        <v>0</v>
      </c>
      <c r="EQ43">
        <v>1</v>
      </c>
      <c r="EX43">
        <f t="shared" si="2"/>
        <v>1</v>
      </c>
      <c r="FA43">
        <v>211222</v>
      </c>
      <c r="FB43">
        <v>6</v>
      </c>
      <c r="FC43">
        <v>0</v>
      </c>
      <c r="FE43">
        <v>1</v>
      </c>
      <c r="FL43">
        <f>SUM(Supplementary_Fig7!FD43:FK43)</f>
        <v>1</v>
      </c>
      <c r="FO43" t="s">
        <v>470</v>
      </c>
      <c r="FQ43">
        <v>51.55</v>
      </c>
      <c r="FS43" t="s">
        <v>470</v>
      </c>
      <c r="FU43">
        <f t="shared" si="12"/>
        <v>32.476499999999994</v>
      </c>
      <c r="FX43">
        <v>81.301100000000005</v>
      </c>
      <c r="GA43">
        <v>39.189300000000003</v>
      </c>
      <c r="GB43" s="1">
        <f>AVERAGE(Supplementary_Fig7!GB40:GB42)</f>
        <v>75.192049999999995</v>
      </c>
      <c r="GC43">
        <v>49.585599999999999</v>
      </c>
      <c r="GH43" t="s">
        <v>447</v>
      </c>
      <c r="GJ43">
        <v>63</v>
      </c>
      <c r="GL43" t="s">
        <v>447</v>
      </c>
      <c r="GN43">
        <f t="shared" si="13"/>
        <v>39.69</v>
      </c>
      <c r="GQ43">
        <v>50.590800000000002</v>
      </c>
      <c r="GS43">
        <v>67.211200000000005</v>
      </c>
      <c r="GZ43" t="s">
        <v>472</v>
      </c>
      <c r="HB43">
        <v>46.07</v>
      </c>
      <c r="HD43" t="s">
        <v>472</v>
      </c>
      <c r="HF43">
        <f>63*Supplementary_Fig7!HB43/100</f>
        <v>29.024099999999997</v>
      </c>
      <c r="HJ43">
        <v>49.998199999999997</v>
      </c>
      <c r="HK43">
        <v>25.126000000000001</v>
      </c>
      <c r="HL43">
        <v>26.348800000000001</v>
      </c>
      <c r="HM43">
        <v>35.267800000000001</v>
      </c>
      <c r="HN43">
        <v>33.571100000000001</v>
      </c>
      <c r="HO43">
        <v>40.377299999999998</v>
      </c>
      <c r="HP43">
        <v>40.140599999999999</v>
      </c>
      <c r="HV43" t="s">
        <v>467</v>
      </c>
      <c r="HW43">
        <v>71.31</v>
      </c>
      <c r="HZ43">
        <v>73.693799999999996</v>
      </c>
      <c r="IA43">
        <v>80.650300000000001</v>
      </c>
      <c r="IB43">
        <v>79.048199999999994</v>
      </c>
      <c r="IC43">
        <v>70.4422</v>
      </c>
      <c r="ID43">
        <v>83.181799999999996</v>
      </c>
      <c r="IE43">
        <v>76.4191</v>
      </c>
      <c r="IF43">
        <v>80.516099999999994</v>
      </c>
      <c r="IG43">
        <v>74.285899999999998</v>
      </c>
      <c r="IH43">
        <v>78.596500000000006</v>
      </c>
      <c r="II43">
        <v>85.542299999999997</v>
      </c>
      <c r="IJ43">
        <v>56.3187</v>
      </c>
      <c r="IK43">
        <v>85.510300000000001</v>
      </c>
      <c r="IL43">
        <v>65.173299999999998</v>
      </c>
      <c r="IM43">
        <v>58.883699999999997</v>
      </c>
      <c r="IN43">
        <v>84.3369</v>
      </c>
      <c r="IX43" t="s">
        <v>447</v>
      </c>
      <c r="IY43">
        <v>123.35</v>
      </c>
      <c r="JB43">
        <v>90.588399999999993</v>
      </c>
      <c r="JC43">
        <v>96.6614</v>
      </c>
      <c r="JD43">
        <v>85.595699999999994</v>
      </c>
      <c r="JE43">
        <v>100.05</v>
      </c>
      <c r="JF43">
        <v>100.816</v>
      </c>
      <c r="JG43">
        <v>129.643</v>
      </c>
      <c r="JH43">
        <v>101.453</v>
      </c>
      <c r="JI43">
        <v>84.780900000000003</v>
      </c>
      <c r="JJ43">
        <v>100.96</v>
      </c>
      <c r="JK43">
        <v>86.109899999999996</v>
      </c>
      <c r="JL43">
        <v>125.465</v>
      </c>
      <c r="JM43">
        <v>86.650099999999995</v>
      </c>
      <c r="JN43">
        <v>92.527799999999999</v>
      </c>
      <c r="JO43">
        <v>80.892899999999997</v>
      </c>
      <c r="JQ43">
        <v>111.90600000000001</v>
      </c>
      <c r="JV43" t="s">
        <v>472</v>
      </c>
      <c r="JW43">
        <v>108.35</v>
      </c>
      <c r="JZ43">
        <v>102.45399999999999</v>
      </c>
      <c r="KA43">
        <v>103.56</v>
      </c>
      <c r="KB43">
        <v>95.275899999999993</v>
      </c>
      <c r="KC43">
        <v>87.5916</v>
      </c>
      <c r="KD43">
        <v>105.464</v>
      </c>
      <c r="KE43">
        <v>114.319</v>
      </c>
      <c r="KF43">
        <v>110.283</v>
      </c>
      <c r="KG43">
        <v>106.31399999999999</v>
      </c>
      <c r="KH43">
        <v>92.927599999999998</v>
      </c>
      <c r="KI43">
        <v>93.984999999999999</v>
      </c>
      <c r="KJ43">
        <v>94.570899999999995</v>
      </c>
      <c r="KK43">
        <v>112.306</v>
      </c>
      <c r="KL43">
        <v>98.495500000000007</v>
      </c>
      <c r="KM43">
        <v>97.628799999999998</v>
      </c>
      <c r="KN43">
        <v>106.63500000000001</v>
      </c>
      <c r="KO43">
        <v>84.805300000000003</v>
      </c>
      <c r="KP43">
        <v>91.784700000000001</v>
      </c>
      <c r="KT43" t="s">
        <v>467</v>
      </c>
      <c r="KU43">
        <v>2.41</v>
      </c>
      <c r="KY43">
        <v>1.69512</v>
      </c>
      <c r="KZ43">
        <v>1.68123</v>
      </c>
      <c r="LA43">
        <v>1.7058599999999999</v>
      </c>
      <c r="LB43">
        <v>1.58849</v>
      </c>
      <c r="LC43">
        <v>1.7160599999999999</v>
      </c>
      <c r="LD43">
        <v>1.6176900000000001</v>
      </c>
      <c r="LE43">
        <v>3.7637800000000001</v>
      </c>
      <c r="LF43">
        <v>1.7346200000000001</v>
      </c>
      <c r="LG43">
        <v>2.3575499999999998</v>
      </c>
      <c r="LH43">
        <v>4.7314999999999996</v>
      </c>
      <c r="LI43">
        <v>1.64557</v>
      </c>
      <c r="LJ43">
        <v>1.48238</v>
      </c>
      <c r="LK43">
        <v>1.7894600000000001</v>
      </c>
      <c r="LL43">
        <v>1.95116</v>
      </c>
      <c r="LM43">
        <v>1.8648800000000001</v>
      </c>
      <c r="LN43">
        <v>2.1217800000000002</v>
      </c>
      <c r="LO43">
        <v>1.48824</v>
      </c>
      <c r="LP43">
        <v>1.50125</v>
      </c>
      <c r="LW43" t="s">
        <v>447</v>
      </c>
      <c r="LX43">
        <v>1.49</v>
      </c>
      <c r="MB43">
        <v>1.6966399999999999</v>
      </c>
      <c r="MC43">
        <v>1.8375300000000001</v>
      </c>
      <c r="MD43">
        <v>1.6770700000000001</v>
      </c>
      <c r="ME43">
        <v>1.9464399999999999</v>
      </c>
      <c r="MF43">
        <v>1.8127800000000001</v>
      </c>
      <c r="MG43">
        <v>1.65435</v>
      </c>
      <c r="MH43">
        <v>1.37294</v>
      </c>
      <c r="MI43">
        <v>1.5695699999999999</v>
      </c>
      <c r="MJ43">
        <v>1.74441</v>
      </c>
      <c r="MK43">
        <v>1.84596</v>
      </c>
      <c r="ML43">
        <v>1.93557</v>
      </c>
      <c r="MM43">
        <v>1.5605599999999999</v>
      </c>
      <c r="MN43">
        <v>1.2564500000000001</v>
      </c>
      <c r="MO43">
        <v>1.6676</v>
      </c>
      <c r="MP43">
        <v>1.6285499999999999</v>
      </c>
      <c r="MQ43">
        <v>1.7090099999999999</v>
      </c>
      <c r="MR43">
        <v>1.69445</v>
      </c>
      <c r="MS43">
        <v>1.49803</v>
      </c>
      <c r="MT43">
        <v>1.89734</v>
      </c>
      <c r="MZ43" t="s">
        <v>472</v>
      </c>
      <c r="NA43">
        <v>1.21</v>
      </c>
      <c r="ND43">
        <v>1.22749</v>
      </c>
      <c r="NE43">
        <v>1.2790600000000001</v>
      </c>
      <c r="NF43">
        <v>1.3050900000000001</v>
      </c>
      <c r="NG43">
        <v>1.4307799999999999</v>
      </c>
      <c r="NH43">
        <v>1.22044</v>
      </c>
      <c r="NI43">
        <v>1.2025699999999999</v>
      </c>
      <c r="NJ43">
        <v>1.3042</v>
      </c>
      <c r="NK43">
        <v>1.4982200000000001</v>
      </c>
      <c r="NL43">
        <v>1.44689</v>
      </c>
      <c r="NM43">
        <v>1.5149600000000001</v>
      </c>
      <c r="NN43">
        <v>1.4482600000000001</v>
      </c>
      <c r="NO43">
        <v>1.46408</v>
      </c>
      <c r="NP43">
        <v>1.49065</v>
      </c>
      <c r="NQ43">
        <v>1.3310299999999999</v>
      </c>
      <c r="NR43">
        <v>1.2885899999999999</v>
      </c>
      <c r="NS43">
        <v>1.3525199999999999</v>
      </c>
      <c r="NT43">
        <v>1.46943</v>
      </c>
      <c r="NZ43" t="s">
        <v>470</v>
      </c>
      <c r="OA43">
        <v>67.968299999999999</v>
      </c>
      <c r="OC43" t="s">
        <v>447</v>
      </c>
      <c r="OD43">
        <v>397.863</v>
      </c>
      <c r="OF43" t="s">
        <v>472</v>
      </c>
      <c r="OG43">
        <v>391.524</v>
      </c>
      <c r="OI43">
        <v>60423</v>
      </c>
      <c r="OJ43">
        <v>5</v>
      </c>
      <c r="OK43">
        <v>1</v>
      </c>
      <c r="PD43">
        <v>-92.53</v>
      </c>
      <c r="PE43">
        <v>5.63</v>
      </c>
      <c r="PH43">
        <v>140624</v>
      </c>
      <c r="PI43">
        <v>7</v>
      </c>
      <c r="PJ43">
        <v>0</v>
      </c>
      <c r="QC43">
        <v>-91.23</v>
      </c>
      <c r="QD43">
        <v>3.52</v>
      </c>
      <c r="QF43">
        <v>211222</v>
      </c>
      <c r="QG43">
        <v>6</v>
      </c>
      <c r="QH43">
        <v>0</v>
      </c>
      <c r="RA43">
        <v>-83.04</v>
      </c>
      <c r="RB43">
        <v>1.34</v>
      </c>
    </row>
    <row r="44" spans="1:470" ht="13.15" x14ac:dyDescent="0.4">
      <c r="DZ44">
        <v>604232</v>
      </c>
      <c r="EA44">
        <v>8</v>
      </c>
      <c r="EB44">
        <v>0</v>
      </c>
      <c r="EF44">
        <v>1</v>
      </c>
      <c r="EG44">
        <v>1</v>
      </c>
      <c r="EK44">
        <f t="shared" si="11"/>
        <v>2</v>
      </c>
      <c r="EN44" s="1">
        <f>SUM(EN4:EN43)</f>
        <v>279</v>
      </c>
      <c r="EX44" s="1">
        <f>SUM(EX4:EX43)</f>
        <v>9</v>
      </c>
      <c r="FA44">
        <v>110123</v>
      </c>
      <c r="FB44">
        <v>5</v>
      </c>
      <c r="FC44">
        <v>0</v>
      </c>
      <c r="FL44">
        <f>SUM(Supplementary_Fig7!FD44:FK44)</f>
        <v>0</v>
      </c>
      <c r="FO44" t="s">
        <v>473</v>
      </c>
      <c r="FQ44">
        <v>38.68</v>
      </c>
      <c r="FS44" t="s">
        <v>473</v>
      </c>
      <c r="FU44">
        <f t="shared" si="12"/>
        <v>24.368400000000001</v>
      </c>
      <c r="FW44" s="1">
        <f>AVERAGE(Supplementary_Fig7!FW40:FW43)</f>
        <v>44.974799999999995</v>
      </c>
      <c r="FX44" s="1">
        <f>AVERAGE(Supplementary_Fig7!FX40:FX43)</f>
        <v>76.906899999999993</v>
      </c>
      <c r="FY44" s="1">
        <f>AVERAGE(Supplementary_Fig7!FY40:FY43)</f>
        <v>48.616050000000001</v>
      </c>
      <c r="FZ44" s="1">
        <f>AVERAGE(Supplementary_Fig7!FZ40:FZ43)</f>
        <v>78.387450000000001</v>
      </c>
      <c r="GA44" s="1">
        <f>AVERAGE(Supplementary_Fig7!GA40:GA43)</f>
        <v>43.181825000000003</v>
      </c>
      <c r="GC44" s="1">
        <f>AVERAGE(Supplementary_Fig7!GC40:GC43)</f>
        <v>49.194775000000007</v>
      </c>
      <c r="GH44" t="s">
        <v>450</v>
      </c>
      <c r="GJ44">
        <v>86.3</v>
      </c>
      <c r="GL44" t="s">
        <v>450</v>
      </c>
      <c r="GN44">
        <f t="shared" si="13"/>
        <v>54.369</v>
      </c>
      <c r="GQ44" s="1">
        <f t="shared" ref="GQ44:GV44" si="14">AVERAGE(GQ40:GQ43)</f>
        <v>51.677624999999999</v>
      </c>
      <c r="GR44" s="1">
        <f t="shared" si="14"/>
        <v>46.060050000000004</v>
      </c>
      <c r="GS44" s="1">
        <f t="shared" si="14"/>
        <v>63.004750000000001</v>
      </c>
      <c r="GT44" s="1">
        <f t="shared" si="14"/>
        <v>86.303533333333334</v>
      </c>
      <c r="GU44" s="1">
        <f t="shared" si="14"/>
        <v>75.577833333333331</v>
      </c>
      <c r="GV44" s="1">
        <f t="shared" si="14"/>
        <v>71.477533333333341</v>
      </c>
      <c r="GX44" s="1">
        <f>AVERAGE(GX40:GX43)</f>
        <v>91.144900000000007</v>
      </c>
      <c r="GZ44" t="s">
        <v>475</v>
      </c>
      <c r="HB44">
        <v>44.6</v>
      </c>
      <c r="HD44" t="s">
        <v>475</v>
      </c>
      <c r="HF44">
        <f>63*Supplementary_Fig7!HB44/100</f>
        <v>28.098000000000003</v>
      </c>
      <c r="HJ44">
        <v>56.049500000000002</v>
      </c>
      <c r="HK44" s="1">
        <f>AVERAGE(Supplementary_Fig7!HK41:HK43)</f>
        <v>32.928500000000007</v>
      </c>
      <c r="HL44">
        <v>24.373799999999999</v>
      </c>
      <c r="HM44">
        <v>41.116999999999997</v>
      </c>
      <c r="HN44" s="1">
        <f>AVERAGE(Supplementary_Fig7!HN41:HN43)</f>
        <v>40.369033333333334</v>
      </c>
      <c r="HO44">
        <v>51.921399999999998</v>
      </c>
      <c r="HP44">
        <v>50.880699999999997</v>
      </c>
      <c r="HV44" t="s">
        <v>470</v>
      </c>
      <c r="HW44">
        <v>65.72</v>
      </c>
      <c r="HZ44">
        <v>84.075900000000004</v>
      </c>
      <c r="IA44">
        <v>80.046099999999996</v>
      </c>
      <c r="IB44">
        <v>74.096699999999998</v>
      </c>
      <c r="IC44">
        <v>71.423299999999998</v>
      </c>
      <c r="ID44">
        <v>81.942700000000002</v>
      </c>
      <c r="IE44">
        <v>77.653499999999994</v>
      </c>
      <c r="IF44">
        <v>81.132499999999993</v>
      </c>
      <c r="IG44">
        <v>72.996499999999997</v>
      </c>
      <c r="IH44">
        <v>76.077299999999994</v>
      </c>
      <c r="II44">
        <v>86.190799999999996</v>
      </c>
      <c r="IJ44">
        <v>75.775099999999995</v>
      </c>
      <c r="IK44">
        <v>84.869399999999999</v>
      </c>
      <c r="IL44">
        <v>64.564499999999995</v>
      </c>
      <c r="IM44">
        <v>54.930100000000003</v>
      </c>
      <c r="IN44">
        <v>102.417</v>
      </c>
      <c r="IX44" t="s">
        <v>450</v>
      </c>
      <c r="IY44">
        <v>87.31</v>
      </c>
      <c r="JB44">
        <v>87.806700000000006</v>
      </c>
      <c r="JC44">
        <v>96.324200000000005</v>
      </c>
      <c r="JD44">
        <v>85.023499999999999</v>
      </c>
      <c r="JE44">
        <v>99.630700000000004</v>
      </c>
      <c r="JF44">
        <v>99.614000000000004</v>
      </c>
      <c r="JG44">
        <v>130.68100000000001</v>
      </c>
      <c r="JH44">
        <v>117.645</v>
      </c>
      <c r="JI44">
        <v>95.799300000000002</v>
      </c>
      <c r="JJ44">
        <v>102.678</v>
      </c>
      <c r="JK44">
        <v>87.930300000000003</v>
      </c>
      <c r="JL44">
        <v>125.166</v>
      </c>
      <c r="JM44">
        <v>87.023899999999998</v>
      </c>
      <c r="JN44">
        <v>90.225200000000001</v>
      </c>
      <c r="JO44">
        <v>80.159000000000006</v>
      </c>
      <c r="JQ44">
        <v>115.34</v>
      </c>
      <c r="JV44" t="s">
        <v>475</v>
      </c>
      <c r="JW44">
        <v>103.47</v>
      </c>
      <c r="JZ44">
        <v>101.004</v>
      </c>
      <c r="KA44">
        <v>103.636</v>
      </c>
      <c r="KB44">
        <v>94.935599999999994</v>
      </c>
      <c r="KC44">
        <v>88.346900000000005</v>
      </c>
      <c r="KD44">
        <v>105.06399999999999</v>
      </c>
      <c r="KE44">
        <v>113.383</v>
      </c>
      <c r="KF44">
        <v>108.459</v>
      </c>
      <c r="KG44">
        <v>108.241</v>
      </c>
      <c r="KH44">
        <v>123.184</v>
      </c>
      <c r="KI44">
        <v>93.438699999999997</v>
      </c>
      <c r="KJ44">
        <v>93.650800000000004</v>
      </c>
      <c r="KK44">
        <v>110.039</v>
      </c>
      <c r="KL44">
        <v>97.711200000000005</v>
      </c>
      <c r="KM44">
        <v>97.807299999999998</v>
      </c>
      <c r="KN44">
        <v>105.26300000000001</v>
      </c>
      <c r="KO44">
        <v>88.568100000000001</v>
      </c>
      <c r="KP44">
        <v>90.051299999999998</v>
      </c>
      <c r="KT44" t="s">
        <v>470</v>
      </c>
      <c r="KU44">
        <v>3.16</v>
      </c>
      <c r="KY44">
        <v>1.67486</v>
      </c>
      <c r="KZ44">
        <v>1.69842</v>
      </c>
      <c r="LA44">
        <v>1.7134199999999999</v>
      </c>
      <c r="LB44">
        <v>1.58761</v>
      </c>
      <c r="LC44">
        <v>1.70675</v>
      </c>
      <c r="LD44">
        <v>1.6346799999999999</v>
      </c>
      <c r="LE44">
        <v>3.8421799999999999</v>
      </c>
      <c r="LF44">
        <v>1.6076999999999999</v>
      </c>
      <c r="LG44">
        <v>2.36748</v>
      </c>
      <c r="LH44">
        <v>4.0205700000000002</v>
      </c>
      <c r="LI44">
        <v>1.6582600000000001</v>
      </c>
      <c r="LJ44">
        <v>1.4217200000000001</v>
      </c>
      <c r="LK44">
        <v>1.7472000000000001</v>
      </c>
      <c r="LL44">
        <v>1.9355100000000001</v>
      </c>
      <c r="LM44">
        <v>1.8862699999999999</v>
      </c>
      <c r="LN44">
        <v>2.2226400000000002</v>
      </c>
      <c r="LO44">
        <v>1.49657</v>
      </c>
      <c r="LP44">
        <v>1.5138</v>
      </c>
      <c r="LW44" t="s">
        <v>450</v>
      </c>
      <c r="LX44">
        <v>1.77</v>
      </c>
      <c r="MB44">
        <v>1.59781</v>
      </c>
      <c r="MC44">
        <v>1.8340700000000001</v>
      </c>
      <c r="MD44">
        <v>1.67076</v>
      </c>
      <c r="ME44">
        <v>2.01952</v>
      </c>
      <c r="MG44">
        <v>1.6033299999999999</v>
      </c>
      <c r="MH44">
        <v>1.3779699999999999</v>
      </c>
      <c r="MI44">
        <v>1.5619400000000001</v>
      </c>
      <c r="MJ44">
        <v>1.65371</v>
      </c>
      <c r="MK44">
        <v>1.80281</v>
      </c>
      <c r="ML44">
        <v>1.9785200000000001</v>
      </c>
      <c r="MM44">
        <v>1.60188</v>
      </c>
      <c r="MN44">
        <v>1.2801499999999999</v>
      </c>
      <c r="MO44">
        <v>1.6119300000000001</v>
      </c>
      <c r="MP44">
        <v>1.6309899999999999</v>
      </c>
      <c r="MQ44">
        <v>1.6558200000000001</v>
      </c>
      <c r="MR44">
        <v>1.6986000000000001</v>
      </c>
      <c r="MS44">
        <v>1.4888300000000001</v>
      </c>
      <c r="MT44">
        <v>1.9018299999999999</v>
      </c>
      <c r="MZ44" t="s">
        <v>475</v>
      </c>
      <c r="NA44">
        <v>1.32</v>
      </c>
      <c r="ND44">
        <v>1.1873800000000001</v>
      </c>
      <c r="NE44">
        <v>1.3190900000000001</v>
      </c>
      <c r="NF44">
        <v>1.26908</v>
      </c>
      <c r="NG44">
        <v>1.5594399999999999</v>
      </c>
      <c r="NH44">
        <v>1.22871</v>
      </c>
      <c r="NI44">
        <v>1.2002299999999999</v>
      </c>
      <c r="NJ44">
        <v>1.3594599999999999</v>
      </c>
      <c r="NK44">
        <v>1.5111699999999999</v>
      </c>
      <c r="NL44">
        <v>1.4783299999999999</v>
      </c>
      <c r="NM44">
        <v>1.5139800000000001</v>
      </c>
      <c r="NN44">
        <v>1.4623299999999999</v>
      </c>
      <c r="NO44">
        <v>1.45855</v>
      </c>
      <c r="NP44">
        <v>1.49647</v>
      </c>
      <c r="NQ44">
        <v>1.30999</v>
      </c>
      <c r="NR44">
        <v>1.3201799999999999</v>
      </c>
      <c r="NS44">
        <v>1.37551</v>
      </c>
      <c r="NT44">
        <v>1.4909699999999999</v>
      </c>
      <c r="NZ44" t="s">
        <v>473</v>
      </c>
      <c r="OA44">
        <v>266.99200000000002</v>
      </c>
      <c r="OC44" t="s">
        <v>450</v>
      </c>
      <c r="OD44">
        <v>246.215</v>
      </c>
      <c r="OF44" t="s">
        <v>475</v>
      </c>
      <c r="OG44">
        <v>311.53100000000001</v>
      </c>
      <c r="OI44">
        <v>604232</v>
      </c>
      <c r="OJ44">
        <v>8</v>
      </c>
      <c r="OK44">
        <v>0</v>
      </c>
      <c r="PD44">
        <v>-92.66</v>
      </c>
      <c r="PE44">
        <v>4.45</v>
      </c>
      <c r="QB44">
        <v>2</v>
      </c>
      <c r="QC44">
        <v>-91.24</v>
      </c>
      <c r="QD44">
        <v>3.87</v>
      </c>
      <c r="QF44">
        <v>110123</v>
      </c>
      <c r="QG44">
        <v>5</v>
      </c>
      <c r="QH44">
        <v>0</v>
      </c>
      <c r="RA44">
        <v>-83.07</v>
      </c>
      <c r="RB44">
        <v>2.36</v>
      </c>
    </row>
    <row r="45" spans="1:470" ht="13.15" x14ac:dyDescent="0.4">
      <c r="DZ45">
        <v>120423</v>
      </c>
      <c r="EA45">
        <v>7</v>
      </c>
      <c r="EB45">
        <v>0</v>
      </c>
      <c r="EE45">
        <v>1</v>
      </c>
      <c r="EH45">
        <v>1</v>
      </c>
      <c r="EK45">
        <f t="shared" si="11"/>
        <v>2</v>
      </c>
      <c r="EX45" s="1">
        <f>EX44*100/EN44</f>
        <v>3.225806451612903</v>
      </c>
      <c r="EY45" s="1" t="s">
        <v>1065</v>
      </c>
      <c r="FA45">
        <v>120123</v>
      </c>
      <c r="FB45">
        <v>5</v>
      </c>
      <c r="FC45">
        <v>0</v>
      </c>
      <c r="FJ45">
        <v>1</v>
      </c>
      <c r="FL45">
        <f>SUM(Supplementary_Fig7!FD45:FK45)</f>
        <v>1</v>
      </c>
      <c r="FO45" t="s">
        <v>476</v>
      </c>
      <c r="FQ45">
        <v>44.97</v>
      </c>
      <c r="FS45" t="s">
        <v>476</v>
      </c>
      <c r="FU45">
        <f t="shared" si="12"/>
        <v>28.331100000000003</v>
      </c>
      <c r="GH45" t="s">
        <v>453</v>
      </c>
      <c r="GJ45">
        <v>75.569999999999993</v>
      </c>
      <c r="GL45" t="s">
        <v>453</v>
      </c>
      <c r="GN45">
        <f t="shared" si="13"/>
        <v>47.609099999999998</v>
      </c>
      <c r="GZ45" t="s">
        <v>478</v>
      </c>
      <c r="HB45">
        <v>54.63</v>
      </c>
      <c r="HD45" t="s">
        <v>478</v>
      </c>
      <c r="HF45">
        <f>63*Supplementary_Fig7!HB45/100</f>
        <v>34.416899999999998</v>
      </c>
      <c r="HJ45" s="1">
        <f>AVERAGE(Supplementary_Fig7!HJ41:HJ44)</f>
        <v>52.101475000000001</v>
      </c>
      <c r="HL45" s="1">
        <f>AVERAGE(Supplementary_Fig7!HL41:HL44)</f>
        <v>23.781075000000001</v>
      </c>
      <c r="HM45" s="1">
        <f>AVERAGE(Supplementary_Fig7!HM41:HM44)</f>
        <v>41.650699999999993</v>
      </c>
      <c r="HO45" s="1">
        <f>AVERAGE(Supplementary_Fig7!HO41:HO44)</f>
        <v>46.072524999999999</v>
      </c>
      <c r="HP45" s="1">
        <f>AVERAGE(Supplementary_Fig7!HP41:HP44)</f>
        <v>44.604774999999997</v>
      </c>
      <c r="HV45" t="s">
        <v>473</v>
      </c>
      <c r="HW45">
        <v>96.91</v>
      </c>
      <c r="HZ45">
        <v>80.474900000000005</v>
      </c>
      <c r="IA45">
        <v>109.392</v>
      </c>
      <c r="IB45">
        <v>71.061700000000002</v>
      </c>
      <c r="IC45">
        <v>79.527299999999997</v>
      </c>
      <c r="ID45">
        <v>82.028199999999998</v>
      </c>
      <c r="IE45">
        <v>75.740099999999998</v>
      </c>
      <c r="IF45">
        <v>81.532300000000006</v>
      </c>
      <c r="IG45">
        <v>72.0779</v>
      </c>
      <c r="IH45">
        <v>76.275599999999997</v>
      </c>
      <c r="II45">
        <v>103.03</v>
      </c>
      <c r="IJ45">
        <v>77.388000000000005</v>
      </c>
      <c r="IK45">
        <v>112.105</v>
      </c>
      <c r="IL45">
        <v>62.698399999999999</v>
      </c>
      <c r="IM45">
        <v>58.224499999999999</v>
      </c>
      <c r="IN45">
        <v>103.246</v>
      </c>
      <c r="IX45" t="s">
        <v>453</v>
      </c>
      <c r="IY45">
        <v>91.59</v>
      </c>
      <c r="JB45">
        <v>88.528400000000005</v>
      </c>
      <c r="JC45">
        <v>97.622699999999995</v>
      </c>
      <c r="JD45">
        <v>87.850999999999999</v>
      </c>
      <c r="JE45">
        <v>100.206</v>
      </c>
      <c r="JF45">
        <v>123.398</v>
      </c>
      <c r="JG45">
        <v>130.64099999999999</v>
      </c>
      <c r="JH45">
        <v>119.01600000000001</v>
      </c>
      <c r="JI45">
        <v>95.256</v>
      </c>
      <c r="JJ45">
        <v>104.477</v>
      </c>
      <c r="JK45">
        <v>87.779200000000003</v>
      </c>
      <c r="JL45">
        <v>126.55200000000001</v>
      </c>
      <c r="JM45">
        <v>89.039599999999993</v>
      </c>
      <c r="JN45">
        <v>92.953500000000005</v>
      </c>
      <c r="JO45">
        <v>79.339600000000004</v>
      </c>
      <c r="JQ45">
        <v>117.767</v>
      </c>
      <c r="JV45" t="s">
        <v>478</v>
      </c>
      <c r="JW45">
        <v>105.75</v>
      </c>
      <c r="JZ45">
        <v>100.613</v>
      </c>
      <c r="KA45">
        <v>95.468100000000007</v>
      </c>
      <c r="KB45">
        <v>94.909700000000001</v>
      </c>
      <c r="KC45">
        <v>86.637900000000002</v>
      </c>
      <c r="KD45">
        <v>107.973</v>
      </c>
      <c r="KE45">
        <v>100.73099999999999</v>
      </c>
      <c r="KF45">
        <v>92.474400000000003</v>
      </c>
      <c r="KG45">
        <v>108.11799999999999</v>
      </c>
      <c r="KH45">
        <v>124.1</v>
      </c>
      <c r="KI45">
        <v>93.984999999999999</v>
      </c>
      <c r="KJ45">
        <v>95.085099999999997</v>
      </c>
      <c r="KK45">
        <v>111.246</v>
      </c>
      <c r="KL45">
        <v>115.38500000000001</v>
      </c>
      <c r="KM45">
        <v>98.828100000000006</v>
      </c>
      <c r="KN45">
        <v>104.03400000000001</v>
      </c>
      <c r="KO45">
        <v>87.614400000000003</v>
      </c>
      <c r="KP45">
        <v>110.81399999999999</v>
      </c>
      <c r="KT45" t="s">
        <v>473</v>
      </c>
      <c r="KU45">
        <v>1.64</v>
      </c>
      <c r="KY45">
        <v>1.70614</v>
      </c>
      <c r="KZ45">
        <v>1.7182900000000001</v>
      </c>
      <c r="LA45">
        <v>1.5971299999999999</v>
      </c>
      <c r="LB45">
        <v>1.5758700000000001</v>
      </c>
      <c r="LC45">
        <v>1.72062</v>
      </c>
      <c r="LD45">
        <v>1.6307</v>
      </c>
      <c r="LE45">
        <v>3.8440599999999998</v>
      </c>
      <c r="LF45">
        <v>1.5860300000000001</v>
      </c>
      <c r="LG45">
        <v>2.42849</v>
      </c>
      <c r="LH45">
        <v>4.1068499999999997</v>
      </c>
      <c r="LI45">
        <v>1.63568</v>
      </c>
      <c r="LJ45">
        <v>1.5014099999999999</v>
      </c>
      <c r="LK45">
        <v>1.7321</v>
      </c>
      <c r="LL45">
        <v>1.93825</v>
      </c>
      <c r="LM45">
        <v>1.8987400000000001</v>
      </c>
      <c r="LN45">
        <v>2.2228400000000001</v>
      </c>
      <c r="LO45">
        <v>1.5071099999999999</v>
      </c>
      <c r="LP45">
        <v>1.5216799999999999</v>
      </c>
      <c r="LW45" t="s">
        <v>453</v>
      </c>
      <c r="LX45">
        <v>1.68</v>
      </c>
      <c r="MB45">
        <v>1.69523</v>
      </c>
      <c r="MC45">
        <v>1.82805</v>
      </c>
      <c r="MD45">
        <v>1.7014800000000001</v>
      </c>
      <c r="ME45">
        <v>2.01241</v>
      </c>
      <c r="MF45">
        <v>1.82307</v>
      </c>
      <c r="MG45">
        <v>1.6426099999999999</v>
      </c>
      <c r="MH45">
        <v>1.3831500000000001</v>
      </c>
      <c r="MJ45">
        <v>1.6913</v>
      </c>
      <c r="MK45">
        <v>1.7987500000000001</v>
      </c>
      <c r="MM45">
        <v>1.5728</v>
      </c>
      <c r="MN45">
        <v>1.28189</v>
      </c>
      <c r="MO45">
        <v>1.6087899999999999</v>
      </c>
      <c r="MP45">
        <v>1.63805</v>
      </c>
      <c r="MQ45">
        <v>1.6893400000000001</v>
      </c>
      <c r="MR45">
        <v>1.6736200000000001</v>
      </c>
      <c r="MS45">
        <v>1.5055700000000001</v>
      </c>
      <c r="MT45">
        <v>1.9011899999999999</v>
      </c>
      <c r="MZ45" t="s">
        <v>478</v>
      </c>
      <c r="NA45">
        <v>1.49</v>
      </c>
      <c r="ND45">
        <v>1.1932700000000001</v>
      </c>
      <c r="NE45">
        <v>1.2641</v>
      </c>
      <c r="NF45">
        <v>1.3017399999999999</v>
      </c>
      <c r="NG45">
        <v>1.5399700000000001</v>
      </c>
      <c r="NH45">
        <v>1.2501</v>
      </c>
      <c r="NI45">
        <v>1.2032499999999999</v>
      </c>
      <c r="NJ45">
        <v>1.2824599999999999</v>
      </c>
      <c r="NK45">
        <v>1.4855400000000001</v>
      </c>
      <c r="NL45">
        <v>1.59239</v>
      </c>
      <c r="NM45">
        <v>1.5360499999999999</v>
      </c>
      <c r="NN45">
        <v>1.5355700000000001</v>
      </c>
      <c r="NO45">
        <v>1.4793000000000001</v>
      </c>
      <c r="NP45">
        <v>1.4863900000000001</v>
      </c>
      <c r="NQ45">
        <v>1.3496600000000001</v>
      </c>
      <c r="NR45">
        <v>1.2955099999999999</v>
      </c>
      <c r="NS45">
        <v>1.38751</v>
      </c>
      <c r="NT45">
        <v>1.5129699999999999</v>
      </c>
      <c r="NZ45" t="s">
        <v>476</v>
      </c>
      <c r="OA45">
        <v>264.46899999999999</v>
      </c>
      <c r="OC45" t="s">
        <v>453</v>
      </c>
      <c r="OD45">
        <v>317.81599999999997</v>
      </c>
      <c r="OF45" t="s">
        <v>478</v>
      </c>
      <c r="OG45">
        <v>283.77100000000002</v>
      </c>
      <c r="OI45">
        <v>120423</v>
      </c>
      <c r="OJ45">
        <v>7</v>
      </c>
      <c r="OK45">
        <v>0</v>
      </c>
      <c r="PD45">
        <v>-92.76</v>
      </c>
      <c r="PE45">
        <v>2.63</v>
      </c>
      <c r="QC45">
        <v>-91.29</v>
      </c>
      <c r="QD45">
        <v>2</v>
      </c>
      <c r="QF45">
        <v>120123</v>
      </c>
      <c r="QG45">
        <v>5</v>
      </c>
      <c r="QH45">
        <v>0</v>
      </c>
      <c r="RA45">
        <v>-83.47</v>
      </c>
      <c r="RB45">
        <v>1.51</v>
      </c>
    </row>
    <row r="46" spans="1:470" x14ac:dyDescent="0.35">
      <c r="DZ46">
        <v>130423</v>
      </c>
      <c r="EA46">
        <v>3</v>
      </c>
      <c r="EB46">
        <v>0</v>
      </c>
      <c r="EE46">
        <v>1</v>
      </c>
      <c r="EK46">
        <f t="shared" si="11"/>
        <v>1</v>
      </c>
      <c r="FA46">
        <v>170123</v>
      </c>
      <c r="FB46">
        <v>5</v>
      </c>
      <c r="FC46">
        <v>0</v>
      </c>
      <c r="FL46">
        <f>SUM(Supplementary_Fig7!FD46:FK46)</f>
        <v>0</v>
      </c>
      <c r="FO46" t="s">
        <v>479</v>
      </c>
      <c r="FP46">
        <v>76.900000000000006</v>
      </c>
      <c r="FS46" t="s">
        <v>479</v>
      </c>
      <c r="FT46">
        <f>63*FP46/100</f>
        <v>48.44700000000001</v>
      </c>
      <c r="FW46" t="s">
        <v>740</v>
      </c>
      <c r="FX46" t="s">
        <v>497</v>
      </c>
      <c r="FY46" t="s">
        <v>500</v>
      </c>
      <c r="FZ46" t="s">
        <v>503</v>
      </c>
      <c r="GA46" t="s">
        <v>506</v>
      </c>
      <c r="GH46" t="s">
        <v>456</v>
      </c>
      <c r="GJ46">
        <v>71.47</v>
      </c>
      <c r="GL46" t="s">
        <v>456</v>
      </c>
      <c r="GN46">
        <f t="shared" si="13"/>
        <v>45.0261</v>
      </c>
      <c r="GZ46" t="s">
        <v>481</v>
      </c>
      <c r="HA46">
        <v>83.24</v>
      </c>
      <c r="HD46" t="s">
        <v>481</v>
      </c>
      <c r="HE46">
        <f>63*Supplementary_Fig7!HA46/100</f>
        <v>52.441200000000002</v>
      </c>
      <c r="HV46" t="s">
        <v>476</v>
      </c>
      <c r="HW46">
        <v>84.88</v>
      </c>
      <c r="HZ46">
        <v>81.831400000000002</v>
      </c>
      <c r="IA46">
        <v>111.65900000000001</v>
      </c>
      <c r="IB46">
        <v>97.233599999999996</v>
      </c>
      <c r="IC46">
        <v>87.646500000000003</v>
      </c>
      <c r="ID46">
        <v>81.506299999999996</v>
      </c>
      <c r="IE46">
        <v>105.267</v>
      </c>
      <c r="IF46">
        <v>81.750500000000002</v>
      </c>
      <c r="IG46">
        <v>91.938800000000001</v>
      </c>
      <c r="IH46">
        <v>74.636799999999994</v>
      </c>
      <c r="II46">
        <v>103.346</v>
      </c>
      <c r="IJ46">
        <v>81.497200000000007</v>
      </c>
      <c r="IK46">
        <v>112.56699999999999</v>
      </c>
      <c r="IL46">
        <v>62.780799999999999</v>
      </c>
      <c r="IM46">
        <v>55.78</v>
      </c>
      <c r="IN46">
        <v>104.01900000000001</v>
      </c>
      <c r="IX46" t="s">
        <v>456</v>
      </c>
      <c r="IY46">
        <v>83.15</v>
      </c>
      <c r="JB46">
        <v>98.046899999999994</v>
      </c>
      <c r="JC46">
        <v>98.625200000000007</v>
      </c>
      <c r="JD46">
        <v>81.030299999999997</v>
      </c>
      <c r="JE46">
        <v>99.229399999999998</v>
      </c>
      <c r="JF46">
        <v>123.355</v>
      </c>
      <c r="JG46">
        <v>130.22300000000001</v>
      </c>
      <c r="JH46">
        <v>120.41500000000001</v>
      </c>
      <c r="JI46">
        <v>97.840900000000005</v>
      </c>
      <c r="JJ46">
        <v>105.971</v>
      </c>
      <c r="JK46">
        <v>120.923</v>
      </c>
      <c r="JL46">
        <v>123.839</v>
      </c>
      <c r="JM46">
        <v>89.18</v>
      </c>
      <c r="JN46">
        <v>91.795299999999997</v>
      </c>
      <c r="JO46">
        <v>78.385900000000007</v>
      </c>
      <c r="JQ46">
        <v>120.538</v>
      </c>
      <c r="JV46" t="s">
        <v>481</v>
      </c>
      <c r="JW46">
        <v>104.74</v>
      </c>
      <c r="JZ46">
        <v>100.777</v>
      </c>
      <c r="KA46">
        <v>129.84800000000001</v>
      </c>
      <c r="KB46">
        <v>96.917699999999996</v>
      </c>
      <c r="KC46">
        <v>85.395799999999994</v>
      </c>
      <c r="KD46">
        <v>108.49299999999999</v>
      </c>
      <c r="KE46">
        <v>99.575800000000001</v>
      </c>
      <c r="KF46">
        <v>97.320599999999999</v>
      </c>
      <c r="KG46">
        <v>109.23</v>
      </c>
      <c r="KH46">
        <v>96.7941</v>
      </c>
      <c r="KI46">
        <v>94.758600000000001</v>
      </c>
      <c r="KJ46">
        <v>94.451899999999995</v>
      </c>
      <c r="KK46">
        <v>112.541</v>
      </c>
      <c r="KL46">
        <v>114.592</v>
      </c>
      <c r="KM46">
        <v>99.011200000000002</v>
      </c>
      <c r="KN46">
        <v>110.968</v>
      </c>
      <c r="KO46">
        <v>86.644000000000005</v>
      </c>
      <c r="KP46">
        <v>111.28400000000001</v>
      </c>
      <c r="KT46" t="s">
        <v>476</v>
      </c>
      <c r="KU46">
        <v>1.49</v>
      </c>
      <c r="KY46">
        <v>1.6989300000000001</v>
      </c>
      <c r="KZ46">
        <v>1.7313799999999999</v>
      </c>
      <c r="LA46">
        <v>1.6664699999999999</v>
      </c>
      <c r="LB46">
        <v>1.5779300000000001</v>
      </c>
      <c r="LC46">
        <v>1.7282299999999999</v>
      </c>
      <c r="LD46">
        <v>1.64592</v>
      </c>
      <c r="LE46">
        <v>3.9485399999999999</v>
      </c>
      <c r="LF46">
        <v>1.52118</v>
      </c>
      <c r="LG46">
        <v>2.51322</v>
      </c>
      <c r="LH46">
        <v>4.0392900000000003</v>
      </c>
      <c r="LI46">
        <v>1.6635800000000001</v>
      </c>
      <c r="LJ46">
        <v>1.5097</v>
      </c>
      <c r="LK46">
        <v>2.0372599999999998</v>
      </c>
      <c r="LL46">
        <v>2.3009200000000001</v>
      </c>
      <c r="LM46">
        <v>1.7362599999999999</v>
      </c>
      <c r="LN46">
        <v>2.12914</v>
      </c>
      <c r="LO46">
        <v>1.6613899999999999</v>
      </c>
      <c r="LP46">
        <v>1.7764599999999999</v>
      </c>
      <c r="LW46" t="s">
        <v>456</v>
      </c>
      <c r="LX46">
        <v>1.85</v>
      </c>
      <c r="MB46">
        <v>1.7408300000000001</v>
      </c>
      <c r="MC46">
        <v>1.8278300000000001</v>
      </c>
      <c r="MD46">
        <v>1.7171099999999999</v>
      </c>
      <c r="ME46">
        <v>2.01695</v>
      </c>
      <c r="MF46">
        <v>1.83785</v>
      </c>
      <c r="MG46">
        <v>1.6312500000000001</v>
      </c>
      <c r="MH46">
        <v>1.39306</v>
      </c>
      <c r="MI46">
        <v>1.6308100000000001</v>
      </c>
      <c r="MJ46">
        <v>1.67683</v>
      </c>
      <c r="MK46">
        <v>1.8211599999999999</v>
      </c>
      <c r="ML46">
        <v>1.72438</v>
      </c>
      <c r="MN46">
        <v>1.4454</v>
      </c>
      <c r="MO46">
        <v>1.5866400000000001</v>
      </c>
      <c r="MP46">
        <v>1.6549499999999999</v>
      </c>
      <c r="MQ46">
        <v>1.68506</v>
      </c>
      <c r="MR46">
        <v>1.7160200000000001</v>
      </c>
      <c r="MS46">
        <v>1.4975799999999999</v>
      </c>
      <c r="MT46">
        <v>1.9458</v>
      </c>
      <c r="MZ46" t="s">
        <v>481</v>
      </c>
      <c r="NA46">
        <v>1.53</v>
      </c>
      <c r="ND46">
        <v>1.1887000000000001</v>
      </c>
      <c r="NE46">
        <v>1.2656000000000001</v>
      </c>
      <c r="NF46">
        <v>1.2872699999999999</v>
      </c>
      <c r="NG46">
        <v>1.50664</v>
      </c>
      <c r="NH46">
        <v>1.3062800000000001</v>
      </c>
      <c r="NI46">
        <v>1.17744</v>
      </c>
      <c r="NJ46">
        <v>1.31785</v>
      </c>
      <c r="NK46">
        <v>1.5300100000000001</v>
      </c>
      <c r="NL46">
        <v>1.5656600000000001</v>
      </c>
      <c r="NM46">
        <v>1.49299</v>
      </c>
      <c r="NN46">
        <v>1.5133099999999999</v>
      </c>
      <c r="NO46">
        <v>1.4533199999999999</v>
      </c>
      <c r="NP46">
        <v>1.4551499999999999</v>
      </c>
      <c r="NQ46">
        <v>1.27525</v>
      </c>
      <c r="NR46">
        <v>1.3120099999999999</v>
      </c>
      <c r="NS46">
        <v>1.3545499999999999</v>
      </c>
      <c r="NT46">
        <v>1.5518000000000001</v>
      </c>
      <c r="NZ46" t="s">
        <v>479</v>
      </c>
      <c r="OA46">
        <v>247.19200000000001</v>
      </c>
      <c r="OC46" t="s">
        <v>456</v>
      </c>
      <c r="OD46">
        <v>230.28100000000001</v>
      </c>
      <c r="OF46" t="s">
        <v>481</v>
      </c>
      <c r="OG46">
        <v>331.80700000000002</v>
      </c>
      <c r="OI46">
        <v>130423</v>
      </c>
      <c r="OJ46">
        <v>3</v>
      </c>
      <c r="OK46">
        <v>0</v>
      </c>
      <c r="PD46">
        <v>-93.25</v>
      </c>
      <c r="PE46">
        <v>6.33</v>
      </c>
      <c r="QC46">
        <v>-91.63</v>
      </c>
      <c r="QD46">
        <v>4.6399999999999997</v>
      </c>
      <c r="QF46">
        <v>170123</v>
      </c>
      <c r="QG46">
        <v>5</v>
      </c>
      <c r="QH46">
        <v>0</v>
      </c>
      <c r="RA46">
        <v>-83.53</v>
      </c>
      <c r="RB46">
        <v>5.1100000000000003</v>
      </c>
    </row>
    <row r="47" spans="1:470" x14ac:dyDescent="0.35">
      <c r="DZ47">
        <v>1304232</v>
      </c>
      <c r="EA47">
        <v>6</v>
      </c>
      <c r="EB47">
        <v>0</v>
      </c>
      <c r="EH47">
        <v>1</v>
      </c>
      <c r="EK47">
        <f t="shared" si="11"/>
        <v>1</v>
      </c>
      <c r="FA47">
        <v>180123</v>
      </c>
      <c r="FB47">
        <v>5</v>
      </c>
      <c r="FC47">
        <v>0</v>
      </c>
      <c r="FL47">
        <f>SUM(Supplementary_Fig7!FD47:FK47)</f>
        <v>0</v>
      </c>
      <c r="FO47" t="s">
        <v>482</v>
      </c>
      <c r="FP47">
        <v>48.61</v>
      </c>
      <c r="FS47" t="s">
        <v>482</v>
      </c>
      <c r="FT47">
        <f>63*FP47/100</f>
        <v>30.624299999999998</v>
      </c>
      <c r="FX47">
        <v>89.713099999999997</v>
      </c>
      <c r="FY47">
        <v>32.775700000000001</v>
      </c>
      <c r="FZ47">
        <v>31.853400000000001</v>
      </c>
      <c r="GA47">
        <v>59.475700000000003</v>
      </c>
      <c r="GH47" t="s">
        <v>1059</v>
      </c>
      <c r="GL47" t="s">
        <v>1059</v>
      </c>
      <c r="GQ47" t="s">
        <v>462</v>
      </c>
      <c r="GR47" t="s">
        <v>465</v>
      </c>
      <c r="GS47" t="s">
        <v>468</v>
      </c>
      <c r="GT47" t="s">
        <v>471</v>
      </c>
      <c r="GU47" t="s">
        <v>474</v>
      </c>
      <c r="GV47" t="s">
        <v>477</v>
      </c>
      <c r="GZ47" t="s">
        <v>484</v>
      </c>
      <c r="HB47">
        <v>74.2</v>
      </c>
      <c r="HD47" t="s">
        <v>484</v>
      </c>
      <c r="HF47">
        <f>63*Supplementary_Fig7!HB47/100</f>
        <v>46.746000000000002</v>
      </c>
      <c r="HJ47" t="s">
        <v>478</v>
      </c>
      <c r="HK47" t="s">
        <v>481</v>
      </c>
      <c r="HL47" t="s">
        <v>484</v>
      </c>
      <c r="HM47" t="s">
        <v>487</v>
      </c>
      <c r="HN47" t="s">
        <v>490</v>
      </c>
      <c r="HO47" t="s">
        <v>493</v>
      </c>
      <c r="HP47" t="s">
        <v>496</v>
      </c>
      <c r="HQ47" t="s">
        <v>499</v>
      </c>
      <c r="HR47" t="s">
        <v>502</v>
      </c>
      <c r="HS47" t="s">
        <v>505</v>
      </c>
      <c r="HV47" t="s">
        <v>479</v>
      </c>
      <c r="HW47">
        <v>84.63</v>
      </c>
      <c r="HZ47">
        <v>76.944000000000003</v>
      </c>
      <c r="IA47">
        <v>111.85599999999999</v>
      </c>
      <c r="IB47">
        <v>95.844999999999999</v>
      </c>
      <c r="IC47">
        <v>89.125100000000003</v>
      </c>
      <c r="ID47">
        <v>81.131</v>
      </c>
      <c r="IE47">
        <v>104.858</v>
      </c>
      <c r="IF47">
        <v>81.516999999999996</v>
      </c>
      <c r="IG47">
        <v>89.976500000000001</v>
      </c>
      <c r="IH47">
        <v>76.147499999999994</v>
      </c>
      <c r="II47">
        <v>96.664400000000001</v>
      </c>
      <c r="IJ47">
        <v>82.408100000000005</v>
      </c>
      <c r="IK47">
        <v>111.023</v>
      </c>
      <c r="IL47">
        <v>89.573700000000002</v>
      </c>
      <c r="IM47">
        <v>71.446200000000005</v>
      </c>
      <c r="IN47">
        <v>105.038</v>
      </c>
      <c r="IX47" t="s">
        <v>1059</v>
      </c>
      <c r="JB47">
        <v>98.216200000000001</v>
      </c>
      <c r="JC47">
        <v>98.310900000000004</v>
      </c>
      <c r="JD47">
        <v>79.435699999999997</v>
      </c>
      <c r="JE47">
        <v>100.584</v>
      </c>
      <c r="JF47">
        <v>122.754</v>
      </c>
      <c r="JG47">
        <v>129.30500000000001</v>
      </c>
      <c r="JH47">
        <v>114.925</v>
      </c>
      <c r="JI47">
        <v>99.226399999999998</v>
      </c>
      <c r="JJ47">
        <v>108.61799999999999</v>
      </c>
      <c r="JK47">
        <v>119.554</v>
      </c>
      <c r="JL47">
        <v>124.014</v>
      </c>
      <c r="JM47">
        <v>86.610399999999998</v>
      </c>
      <c r="JN47">
        <v>92.291300000000007</v>
      </c>
      <c r="JO47">
        <v>80.503799999999998</v>
      </c>
      <c r="JQ47">
        <v>122.755</v>
      </c>
      <c r="JV47" t="s">
        <v>484</v>
      </c>
      <c r="JW47">
        <v>94.06</v>
      </c>
      <c r="JZ47">
        <v>116.64100000000001</v>
      </c>
      <c r="KA47">
        <v>131.63</v>
      </c>
      <c r="KB47">
        <v>97.827100000000002</v>
      </c>
      <c r="KC47">
        <v>83.879099999999994</v>
      </c>
      <c r="KD47">
        <v>118.37</v>
      </c>
      <c r="KE47">
        <v>114.85899999999999</v>
      </c>
      <c r="KF47">
        <v>111.151</v>
      </c>
      <c r="KG47">
        <v>91.293300000000002</v>
      </c>
      <c r="KH47">
        <v>94.232200000000006</v>
      </c>
      <c r="KI47">
        <v>92.698700000000002</v>
      </c>
      <c r="KJ47">
        <v>92.771900000000002</v>
      </c>
      <c r="KK47">
        <v>95.722999999999999</v>
      </c>
      <c r="KL47">
        <v>102.92100000000001</v>
      </c>
      <c r="KM47">
        <v>97.224400000000003</v>
      </c>
      <c r="KN47">
        <v>111.014</v>
      </c>
      <c r="KO47">
        <v>83.972200000000001</v>
      </c>
      <c r="KP47">
        <v>81.813000000000002</v>
      </c>
      <c r="KT47" t="s">
        <v>479</v>
      </c>
      <c r="KU47">
        <v>1.86</v>
      </c>
      <c r="KY47">
        <v>1.7188600000000001</v>
      </c>
      <c r="KZ47">
        <v>2.1852100000000001</v>
      </c>
      <c r="LA47">
        <v>1.73539</v>
      </c>
      <c r="LB47">
        <v>2.0222099999999998</v>
      </c>
      <c r="LC47">
        <v>1.8582099999999999</v>
      </c>
      <c r="LD47">
        <v>1.60687</v>
      </c>
      <c r="LE47">
        <v>4.0007799999999998</v>
      </c>
      <c r="LF47">
        <v>1.51895</v>
      </c>
      <c r="LG47">
        <v>2.5811700000000002</v>
      </c>
      <c r="LH47">
        <v>4.1613899999999999</v>
      </c>
      <c r="LI47">
        <v>1.6728499999999999</v>
      </c>
      <c r="LJ47">
        <v>1.49373</v>
      </c>
      <c r="LK47">
        <v>2.0229400000000002</v>
      </c>
      <c r="LL47">
        <v>2.0317500000000002</v>
      </c>
      <c r="LM47">
        <v>1.69533</v>
      </c>
      <c r="LN47">
        <v>2.1422300000000001</v>
      </c>
      <c r="LO47">
        <v>1.54067</v>
      </c>
      <c r="LP47">
        <v>1.7293700000000001</v>
      </c>
      <c r="LW47" t="s">
        <v>1059</v>
      </c>
      <c r="LX47">
        <v>1</v>
      </c>
      <c r="MB47">
        <v>1.74302</v>
      </c>
      <c r="MC47">
        <v>1.82308</v>
      </c>
      <c r="MD47">
        <v>1.70889</v>
      </c>
      <c r="ME47">
        <v>1.9974400000000001</v>
      </c>
      <c r="MF47">
        <v>1.85466</v>
      </c>
      <c r="MG47">
        <v>1.63402</v>
      </c>
      <c r="MH47">
        <v>1.51783</v>
      </c>
      <c r="MI47">
        <v>1.5757099999999999</v>
      </c>
      <c r="MJ47">
        <v>1.74482</v>
      </c>
      <c r="MK47">
        <v>1.8088500000000001</v>
      </c>
      <c r="ML47">
        <v>1.69615</v>
      </c>
      <c r="MM47">
        <v>1.5370200000000001</v>
      </c>
      <c r="MN47">
        <v>1.35503</v>
      </c>
      <c r="MO47">
        <f>AVERAGE(MO39:MO46)</f>
        <v>1.6206849999999999</v>
      </c>
      <c r="MP47">
        <v>1.5786</v>
      </c>
      <c r="MQ47">
        <v>1.6760699999999999</v>
      </c>
      <c r="MR47">
        <v>1.6884699999999999</v>
      </c>
      <c r="MS47">
        <v>1.54528</v>
      </c>
      <c r="MT47">
        <v>1.79532</v>
      </c>
      <c r="MZ47" t="s">
        <v>484</v>
      </c>
      <c r="NA47">
        <v>1.5</v>
      </c>
      <c r="ND47">
        <v>1.1883699999999999</v>
      </c>
      <c r="NE47">
        <v>1.2811300000000001</v>
      </c>
      <c r="NF47">
        <v>1.29972</v>
      </c>
      <c r="NG47">
        <v>1.4525699999999999</v>
      </c>
      <c r="NH47">
        <v>1.3121700000000001</v>
      </c>
      <c r="NI47">
        <v>1.1822600000000001</v>
      </c>
      <c r="NJ47">
        <v>1.30707</v>
      </c>
      <c r="NK47">
        <v>1.5301100000000001</v>
      </c>
      <c r="NL47">
        <v>1.55026</v>
      </c>
      <c r="NM47">
        <v>1.49963</v>
      </c>
      <c r="NN47">
        <v>1.4139999999999999</v>
      </c>
      <c r="NO47">
        <v>1.40726</v>
      </c>
      <c r="NP47">
        <v>1.3559699999999999</v>
      </c>
      <c r="NQ47">
        <v>1.3527499999999999</v>
      </c>
      <c r="NR47">
        <v>1.32765</v>
      </c>
      <c r="NS47">
        <v>1.3770800000000001</v>
      </c>
      <c r="NT47">
        <v>1.5414300000000001</v>
      </c>
      <c r="NZ47" t="s">
        <v>482</v>
      </c>
      <c r="OA47">
        <v>152.68600000000001</v>
      </c>
      <c r="OC47" t="s">
        <v>1059</v>
      </c>
      <c r="OF47" t="s">
        <v>484</v>
      </c>
      <c r="OG47">
        <v>290.41500000000002</v>
      </c>
      <c r="OI47">
        <v>1304232</v>
      </c>
      <c r="OJ47">
        <v>6</v>
      </c>
      <c r="OK47">
        <v>0</v>
      </c>
      <c r="PD47">
        <v>-93.34</v>
      </c>
      <c r="PE47">
        <v>12.17</v>
      </c>
      <c r="QC47">
        <v>-91.66</v>
      </c>
      <c r="QD47">
        <v>7.17</v>
      </c>
      <c r="QF47">
        <v>180123</v>
      </c>
      <c r="QG47">
        <v>5</v>
      </c>
      <c r="QH47">
        <v>0</v>
      </c>
      <c r="RA47">
        <v>-83.63</v>
      </c>
      <c r="RB47">
        <v>2.5499999999999998</v>
      </c>
    </row>
    <row r="48" spans="1:470" x14ac:dyDescent="0.35">
      <c r="DZ48">
        <v>180423</v>
      </c>
      <c r="EA48">
        <v>8</v>
      </c>
      <c r="EB48">
        <v>0</v>
      </c>
      <c r="EC48">
        <v>1</v>
      </c>
      <c r="ED48">
        <v>1</v>
      </c>
      <c r="EH48">
        <v>1</v>
      </c>
      <c r="EI48">
        <v>1</v>
      </c>
      <c r="EK48">
        <f t="shared" si="11"/>
        <v>4</v>
      </c>
      <c r="FA48">
        <v>190123</v>
      </c>
      <c r="FB48">
        <v>8</v>
      </c>
      <c r="FC48">
        <v>0</v>
      </c>
      <c r="FL48">
        <f>SUM(Supplementary_Fig7!FD48:FK48)</f>
        <v>0</v>
      </c>
      <c r="FO48" t="s">
        <v>485</v>
      </c>
      <c r="FP48">
        <v>78.38</v>
      </c>
      <c r="FS48" t="s">
        <v>485</v>
      </c>
      <c r="FT48">
        <f>63*FP48/100</f>
        <v>49.379399999999997</v>
      </c>
      <c r="FY48">
        <v>44.738</v>
      </c>
      <c r="FZ48">
        <v>40.386499999999998</v>
      </c>
      <c r="GA48">
        <v>93.249600000000001</v>
      </c>
      <c r="GH48" t="s">
        <v>459</v>
      </c>
      <c r="GJ48">
        <v>91.14</v>
      </c>
      <c r="GL48" t="s">
        <v>459</v>
      </c>
      <c r="GN48">
        <f t="shared" ref="GN48:GN56" si="15">63*GJ48/100</f>
        <v>57.418199999999999</v>
      </c>
      <c r="GQ48">
        <v>84.160399999999996</v>
      </c>
      <c r="GR48">
        <v>107.982</v>
      </c>
      <c r="GS48">
        <v>105.64100000000001</v>
      </c>
      <c r="GT48">
        <v>110.476</v>
      </c>
      <c r="GU48">
        <v>136.27199999999999</v>
      </c>
      <c r="GV48">
        <v>117.515</v>
      </c>
      <c r="GZ48" t="s">
        <v>487</v>
      </c>
      <c r="HA48">
        <v>60.49</v>
      </c>
      <c r="HD48" t="s">
        <v>487</v>
      </c>
      <c r="HE48">
        <f>63*Supplementary_Fig7!HA48/100</f>
        <v>38.108700000000006</v>
      </c>
      <c r="HJ48">
        <v>53.006700000000002</v>
      </c>
      <c r="HK48">
        <v>102.42100000000001</v>
      </c>
      <c r="HL48">
        <v>63.454900000000002</v>
      </c>
      <c r="HM48">
        <v>60.528700000000001</v>
      </c>
      <c r="HN48">
        <v>41.474800000000002</v>
      </c>
      <c r="HO48">
        <v>48.143999999999998</v>
      </c>
      <c r="HP48">
        <v>58.835999999999999</v>
      </c>
      <c r="HQ48">
        <v>26.533300000000001</v>
      </c>
      <c r="HR48">
        <v>23.596699999999998</v>
      </c>
      <c r="HS48">
        <v>28.840800000000002</v>
      </c>
      <c r="HV48" t="s">
        <v>482</v>
      </c>
      <c r="HW48">
        <v>73.5</v>
      </c>
      <c r="HZ48">
        <v>76.4572</v>
      </c>
      <c r="IA48">
        <v>83.515900000000002</v>
      </c>
      <c r="IB48">
        <v>98.783900000000003</v>
      </c>
      <c r="IC48">
        <v>87.208600000000004</v>
      </c>
      <c r="ID48">
        <v>81.161500000000004</v>
      </c>
      <c r="IE48">
        <v>76.094099999999997</v>
      </c>
      <c r="IF48">
        <v>80.554199999999994</v>
      </c>
      <c r="IG48">
        <v>89.605699999999999</v>
      </c>
      <c r="IH48">
        <v>74.449200000000005</v>
      </c>
      <c r="II48">
        <v>105.399</v>
      </c>
      <c r="IJ48">
        <v>83.654799999999994</v>
      </c>
      <c r="IK48">
        <v>111.636</v>
      </c>
      <c r="IL48">
        <v>90.4251</v>
      </c>
      <c r="IM48">
        <v>72.660799999999995</v>
      </c>
      <c r="IN48">
        <v>103.63800000000001</v>
      </c>
      <c r="IX48" t="s">
        <v>459</v>
      </c>
      <c r="IY48">
        <v>111.42</v>
      </c>
      <c r="JB48">
        <v>99.383499999999998</v>
      </c>
      <c r="JD48">
        <v>83.016999999999996</v>
      </c>
      <c r="JE48">
        <v>115.102</v>
      </c>
      <c r="JF48">
        <v>122.379</v>
      </c>
      <c r="JG48">
        <v>-61.441000000000003</v>
      </c>
      <c r="JH48">
        <v>118.94199999999999</v>
      </c>
      <c r="JI48">
        <v>100.873</v>
      </c>
      <c r="JJ48">
        <v>109.706</v>
      </c>
      <c r="JK48">
        <v>120.279</v>
      </c>
      <c r="JM48">
        <v>88.412499999999994</v>
      </c>
      <c r="JN48">
        <v>91.178899999999999</v>
      </c>
      <c r="JO48">
        <v>121.042</v>
      </c>
      <c r="JQ48">
        <v>123.08499999999999</v>
      </c>
      <c r="JV48" t="s">
        <v>487</v>
      </c>
      <c r="JW48">
        <v>93.81</v>
      </c>
      <c r="JZ48">
        <v>117.41200000000001</v>
      </c>
      <c r="KA48">
        <v>130.51599999999999</v>
      </c>
      <c r="KB48">
        <v>105.621</v>
      </c>
      <c r="KC48">
        <v>85.789500000000004</v>
      </c>
      <c r="KD48">
        <v>118.70099999999999</v>
      </c>
      <c r="KE48">
        <v>114.038</v>
      </c>
      <c r="KF48">
        <v>111.093</v>
      </c>
      <c r="KG48">
        <v>109.869</v>
      </c>
      <c r="KH48">
        <v>94.386300000000006</v>
      </c>
      <c r="KI48">
        <v>92.147800000000004</v>
      </c>
      <c r="KJ48">
        <v>92.0685</v>
      </c>
      <c r="KK48">
        <v>97.641000000000005</v>
      </c>
      <c r="KL48">
        <v>102.747</v>
      </c>
      <c r="KM48">
        <v>95.527600000000007</v>
      </c>
      <c r="KN48">
        <v>110.21</v>
      </c>
      <c r="KO48">
        <v>83.157300000000006</v>
      </c>
      <c r="KP48">
        <v>87.834199999999996</v>
      </c>
      <c r="KT48" t="s">
        <v>482</v>
      </c>
      <c r="KU48">
        <v>2.04</v>
      </c>
      <c r="KY48">
        <v>1.96953</v>
      </c>
      <c r="KZ48">
        <v>2.6093099999999998</v>
      </c>
      <c r="LA48">
        <v>1.6393</v>
      </c>
      <c r="LB48">
        <v>1.75007</v>
      </c>
      <c r="LC48">
        <v>2.4508000000000001</v>
      </c>
      <c r="LD48">
        <v>1.6897200000000001</v>
      </c>
      <c r="LE48">
        <v>3.2911800000000002</v>
      </c>
      <c r="LF48">
        <v>1.9604999999999999</v>
      </c>
      <c r="LG48">
        <v>2.4260000000000002</v>
      </c>
      <c r="LH48">
        <v>3.0000399999999998</v>
      </c>
      <c r="LI48">
        <v>1.58985</v>
      </c>
      <c r="LJ48">
        <v>1.55382</v>
      </c>
      <c r="LK48">
        <v>1.9519599999999999</v>
      </c>
      <c r="LL48">
        <v>2.02006</v>
      </c>
      <c r="LM48">
        <v>1.63493</v>
      </c>
      <c r="LN48">
        <v>2.1292300000000002</v>
      </c>
      <c r="LO48">
        <v>1.4957400000000001</v>
      </c>
      <c r="LP48">
        <v>1.58066</v>
      </c>
      <c r="LW48" t="s">
        <v>459</v>
      </c>
      <c r="LX48">
        <v>2.25</v>
      </c>
      <c r="MB48">
        <v>1.70499</v>
      </c>
      <c r="MC48">
        <v>1.8424499999999999</v>
      </c>
      <c r="MD48">
        <v>1.6894899999999999</v>
      </c>
      <c r="ME48">
        <v>2.0415199999999998</v>
      </c>
      <c r="MF48">
        <v>1.8694500000000001</v>
      </c>
      <c r="MG48">
        <v>1.5751500000000001</v>
      </c>
      <c r="MH48">
        <v>1.4317599999999999</v>
      </c>
      <c r="MI48">
        <v>1.5851200000000001</v>
      </c>
      <c r="MJ48">
        <v>1.6271500000000001</v>
      </c>
      <c r="MK48">
        <v>1.84032</v>
      </c>
      <c r="ML48">
        <v>1.7038</v>
      </c>
      <c r="MM48">
        <v>1.54131</v>
      </c>
      <c r="MN48">
        <v>1.2824500000000001</v>
      </c>
      <c r="MP48">
        <v>1.57538</v>
      </c>
      <c r="MQ48">
        <v>1.6865300000000001</v>
      </c>
      <c r="MR48">
        <v>1.65835</v>
      </c>
      <c r="MS48">
        <v>1.53624</v>
      </c>
      <c r="MT48">
        <v>1.7898700000000001</v>
      </c>
      <c r="MZ48" t="s">
        <v>487</v>
      </c>
      <c r="NA48">
        <v>1.46</v>
      </c>
      <c r="ND48">
        <v>1.1916500000000001</v>
      </c>
      <c r="NE48">
        <v>1.2839799999999999</v>
      </c>
      <c r="NF48">
        <v>1.28644</v>
      </c>
      <c r="NG48">
        <v>1.4672099999999999</v>
      </c>
      <c r="NH48">
        <v>1.2851699999999999</v>
      </c>
      <c r="NI48">
        <v>1.1777899999999999</v>
      </c>
      <c r="NJ48">
        <v>1.29203</v>
      </c>
      <c r="NK48">
        <v>1.46984</v>
      </c>
      <c r="NL48">
        <v>1.5867899999999999</v>
      </c>
      <c r="NM48">
        <v>1.5142500000000001</v>
      </c>
      <c r="NN48">
        <v>1.40774</v>
      </c>
      <c r="NO48">
        <v>1.3969199999999999</v>
      </c>
      <c r="NP48">
        <v>1.2765500000000001</v>
      </c>
      <c r="NQ48">
        <v>1.3141</v>
      </c>
      <c r="NR48">
        <v>1.3001799999999999</v>
      </c>
      <c r="NS48">
        <v>1.37697</v>
      </c>
      <c r="NT48">
        <v>1.54396</v>
      </c>
      <c r="NZ48" t="s">
        <v>485</v>
      </c>
      <c r="OA48">
        <v>188.89599999999999</v>
      </c>
      <c r="OC48" t="s">
        <v>459</v>
      </c>
      <c r="OD48">
        <v>229.304</v>
      </c>
      <c r="OF48" t="s">
        <v>487</v>
      </c>
      <c r="OG48">
        <v>309.096</v>
      </c>
      <c r="OI48">
        <v>180423</v>
      </c>
      <c r="OJ48">
        <v>8</v>
      </c>
      <c r="OK48">
        <v>0</v>
      </c>
      <c r="PD48">
        <v>-93.37</v>
      </c>
      <c r="PE48">
        <v>7.13</v>
      </c>
      <c r="QC48">
        <v>-91.86</v>
      </c>
      <c r="QD48">
        <v>4.0199999999999996</v>
      </c>
      <c r="QF48">
        <v>190123</v>
      </c>
      <c r="QG48">
        <v>8</v>
      </c>
      <c r="QH48">
        <v>0</v>
      </c>
      <c r="RA48">
        <v>-83.72</v>
      </c>
      <c r="RB48">
        <v>3.26</v>
      </c>
    </row>
    <row r="49" spans="130:470" x14ac:dyDescent="0.35">
      <c r="DZ49">
        <v>1804232</v>
      </c>
      <c r="EA49">
        <v>7</v>
      </c>
      <c r="EB49">
        <v>0</v>
      </c>
      <c r="ED49">
        <v>1</v>
      </c>
      <c r="EH49">
        <v>1</v>
      </c>
      <c r="EK49">
        <f t="shared" si="11"/>
        <v>2</v>
      </c>
      <c r="FA49">
        <v>230123</v>
      </c>
      <c r="FB49">
        <v>6</v>
      </c>
      <c r="FC49">
        <v>0</v>
      </c>
      <c r="FL49">
        <f>SUM(Supplementary_Fig7!FD49:FK49)</f>
        <v>0</v>
      </c>
      <c r="FO49" t="s">
        <v>488</v>
      </c>
      <c r="FP49">
        <v>43.18</v>
      </c>
      <c r="FS49" t="s">
        <v>488</v>
      </c>
      <c r="FT49">
        <f>63*FP49/100</f>
        <v>27.203400000000002</v>
      </c>
      <c r="GH49" t="s">
        <v>462</v>
      </c>
      <c r="GJ49">
        <v>82</v>
      </c>
      <c r="GL49" t="s">
        <v>462</v>
      </c>
      <c r="GN49">
        <f t="shared" si="15"/>
        <v>51.66</v>
      </c>
      <c r="GQ49">
        <v>79.853899999999996</v>
      </c>
      <c r="GR49">
        <v>79.875299999999996</v>
      </c>
      <c r="GS49">
        <v>103.596</v>
      </c>
      <c r="GT49">
        <v>102.93</v>
      </c>
      <c r="GU49">
        <v>104.282</v>
      </c>
      <c r="GV49">
        <v>91.053299999999993</v>
      </c>
      <c r="GZ49" t="s">
        <v>490</v>
      </c>
      <c r="HB49">
        <v>42.9</v>
      </c>
      <c r="HD49" t="s">
        <v>490</v>
      </c>
      <c r="HF49">
        <f>63*Supplementary_Fig7!HB49/100</f>
        <v>27.026999999999997</v>
      </c>
      <c r="HJ49">
        <v>44.309100000000001</v>
      </c>
      <c r="HK49">
        <v>64.065399999999997</v>
      </c>
      <c r="HL49">
        <v>69.290400000000005</v>
      </c>
      <c r="HM49">
        <v>76.819100000000006</v>
      </c>
      <c r="HN49">
        <v>49.795099999999998</v>
      </c>
      <c r="HO49">
        <v>56.636299999999999</v>
      </c>
      <c r="HP49">
        <v>52.247300000000003</v>
      </c>
      <c r="HQ49">
        <v>26.204999999999998</v>
      </c>
      <c r="HR49">
        <v>20.311199999999999</v>
      </c>
      <c r="HS49">
        <v>31.148199999999999</v>
      </c>
      <c r="HV49" t="s">
        <v>485</v>
      </c>
      <c r="HW49">
        <v>97.79</v>
      </c>
      <c r="HZ49">
        <v>73.037700000000001</v>
      </c>
      <c r="IA49">
        <v>81.539900000000003</v>
      </c>
      <c r="IB49">
        <v>82.6691</v>
      </c>
      <c r="IC49">
        <v>68.829300000000003</v>
      </c>
      <c r="ID49">
        <v>82.414199999999994</v>
      </c>
      <c r="IE49">
        <v>76.011700000000005</v>
      </c>
      <c r="IF49">
        <v>84.138499999999993</v>
      </c>
      <c r="IG49">
        <v>72.523499999999999</v>
      </c>
      <c r="IH49">
        <v>77.298000000000002</v>
      </c>
      <c r="II49">
        <v>86.872900000000001</v>
      </c>
      <c r="IJ49">
        <v>56.709299999999999</v>
      </c>
      <c r="IK49">
        <v>89.955100000000002</v>
      </c>
      <c r="IL49">
        <v>66.421499999999995</v>
      </c>
      <c r="IM49">
        <v>63.671900000000001</v>
      </c>
      <c r="IN49">
        <v>87.896699999999996</v>
      </c>
      <c r="IX49" t="s">
        <v>462</v>
      </c>
      <c r="IY49">
        <v>96.9</v>
      </c>
      <c r="JB49">
        <v>91.539000000000001</v>
      </c>
      <c r="JC49">
        <v>95.486500000000007</v>
      </c>
      <c r="JD49">
        <v>85.617099999999994</v>
      </c>
      <c r="JE49">
        <v>99.006699999999995</v>
      </c>
      <c r="JG49">
        <v>132.191</v>
      </c>
      <c r="JH49">
        <v>98.298599999999993</v>
      </c>
      <c r="JI49">
        <v>102.01600000000001</v>
      </c>
      <c r="JJ49">
        <v>79.367099999999994</v>
      </c>
      <c r="JK49">
        <v>85.809299999999993</v>
      </c>
      <c r="JL49">
        <v>127.46299999999999</v>
      </c>
      <c r="JN49">
        <v>89.92</v>
      </c>
      <c r="JQ49">
        <v>73.825100000000006</v>
      </c>
      <c r="JV49" t="s">
        <v>490</v>
      </c>
      <c r="JW49">
        <v>104.29</v>
      </c>
      <c r="JZ49">
        <v>116.241</v>
      </c>
      <c r="KA49">
        <v>130.06</v>
      </c>
      <c r="KB49">
        <v>107.291</v>
      </c>
      <c r="KC49">
        <v>86.268600000000006</v>
      </c>
      <c r="KD49">
        <v>117.79600000000001</v>
      </c>
      <c r="KE49">
        <v>113.364</v>
      </c>
      <c r="KF49">
        <v>109.06100000000001</v>
      </c>
      <c r="KG49">
        <v>108.899</v>
      </c>
      <c r="KH49">
        <v>93.6798</v>
      </c>
      <c r="KI49">
        <v>93.617199999999997</v>
      </c>
      <c r="KJ49">
        <v>94.717399999999998</v>
      </c>
      <c r="KK49">
        <v>101.152</v>
      </c>
      <c r="KL49">
        <v>104.462</v>
      </c>
      <c r="KM49">
        <v>96.594200000000001</v>
      </c>
      <c r="KN49">
        <v>108.96599999999999</v>
      </c>
      <c r="KO49">
        <v>83.352699999999999</v>
      </c>
      <c r="KP49">
        <v>89.228800000000007</v>
      </c>
      <c r="KT49" t="s">
        <v>485</v>
      </c>
      <c r="KU49">
        <v>1.78</v>
      </c>
      <c r="KY49">
        <v>1.83918</v>
      </c>
      <c r="KZ49">
        <v>1.9446000000000001</v>
      </c>
      <c r="LA49">
        <v>1.6266400000000001</v>
      </c>
      <c r="LB49">
        <v>1.6485700000000001</v>
      </c>
      <c r="LC49">
        <v>1.68702</v>
      </c>
      <c r="LD49">
        <v>1.6746000000000001</v>
      </c>
      <c r="LE49">
        <v>3.5308600000000001</v>
      </c>
      <c r="LF49">
        <v>1.9726399999999999</v>
      </c>
      <c r="LG49">
        <v>2.3825099999999999</v>
      </c>
      <c r="LH49">
        <v>2.7874500000000002</v>
      </c>
      <c r="LI49">
        <v>1.6118600000000001</v>
      </c>
      <c r="LJ49">
        <v>1.4963299999999999</v>
      </c>
      <c r="LK49">
        <v>1.8367599999999999</v>
      </c>
      <c r="LL49">
        <v>1.9572499999999999</v>
      </c>
      <c r="LM49">
        <v>1.6283700000000001</v>
      </c>
      <c r="LN49">
        <v>2.2229399999999999</v>
      </c>
      <c r="LO49">
        <v>1.4553400000000001</v>
      </c>
      <c r="LP49">
        <v>1.53298</v>
      </c>
      <c r="LW49" t="s">
        <v>462</v>
      </c>
      <c r="LX49">
        <v>1.67</v>
      </c>
      <c r="MB49">
        <v>1.6051500000000001</v>
      </c>
      <c r="MC49">
        <v>1.8400799999999999</v>
      </c>
      <c r="MD49">
        <f>AVERAGE(MD39:MD48)</f>
        <v>1.693845</v>
      </c>
      <c r="ME49">
        <f>AVERAGE(ME39:ME48)</f>
        <v>1.9950649999999996</v>
      </c>
      <c r="MF49">
        <f>AVERAGE(MF39:MF48)</f>
        <v>1.8397399999999999</v>
      </c>
      <c r="MG49">
        <v>1.68401</v>
      </c>
      <c r="MH49">
        <v>1.3910499999999999</v>
      </c>
      <c r="MI49">
        <v>1.5452999999999999</v>
      </c>
      <c r="MJ49">
        <v>1.70584</v>
      </c>
      <c r="MK49">
        <v>1.8031699999999999</v>
      </c>
      <c r="ML49">
        <v>1.6127199999999999</v>
      </c>
      <c r="MM49">
        <v>1.5422899999999999</v>
      </c>
      <c r="MN49">
        <v>1.2426699999999999</v>
      </c>
      <c r="MP49">
        <v>1.6708400000000001</v>
      </c>
      <c r="MQ49">
        <v>1.7047099999999999</v>
      </c>
      <c r="MR49">
        <v>1.7438199999999999</v>
      </c>
      <c r="MS49">
        <v>1.49</v>
      </c>
      <c r="MT49">
        <v>1.83975</v>
      </c>
      <c r="MZ49" t="s">
        <v>490</v>
      </c>
      <c r="NA49">
        <v>1.42</v>
      </c>
      <c r="ND49">
        <f>AVERAGE(Supplementary_Fig7!ND39:ND48)</f>
        <v>1.201924</v>
      </c>
      <c r="NE49">
        <v>1.31199</v>
      </c>
      <c r="NF49">
        <v>1.30131</v>
      </c>
      <c r="NG49">
        <v>1.4747600000000001</v>
      </c>
      <c r="NH49">
        <v>1.2084900000000001</v>
      </c>
      <c r="NI49">
        <v>1.2580899999999999</v>
      </c>
      <c r="NJ49">
        <v>1.42137</v>
      </c>
      <c r="NK49">
        <v>1.48102</v>
      </c>
      <c r="NL49">
        <v>1.5585100000000001</v>
      </c>
      <c r="NM49">
        <v>1.5074099999999999</v>
      </c>
      <c r="NN49">
        <v>1.41869</v>
      </c>
      <c r="NO49">
        <v>1.38809</v>
      </c>
      <c r="NP49">
        <v>1.2411099999999999</v>
      </c>
      <c r="NQ49">
        <v>1.30765</v>
      </c>
      <c r="NR49">
        <f>AVERAGE(Supplementary_Fig7!NR39:NR48)</f>
        <v>1.3049419999999998</v>
      </c>
      <c r="NS49">
        <v>1.3933199999999999</v>
      </c>
      <c r="NT49">
        <v>1.39584</v>
      </c>
      <c r="NZ49" t="s">
        <v>488</v>
      </c>
      <c r="OA49">
        <v>140.11000000000001</v>
      </c>
      <c r="OC49" t="s">
        <v>462</v>
      </c>
      <c r="OD49">
        <v>345.149</v>
      </c>
      <c r="OF49" t="s">
        <v>490</v>
      </c>
      <c r="OG49">
        <v>300.54899999999998</v>
      </c>
      <c r="OI49">
        <v>1804232</v>
      </c>
      <c r="OJ49">
        <v>7</v>
      </c>
      <c r="OK49">
        <v>0</v>
      </c>
      <c r="PD49">
        <v>-93.78</v>
      </c>
      <c r="PE49">
        <v>5.16</v>
      </c>
      <c r="QC49">
        <v>-92.16</v>
      </c>
      <c r="QD49">
        <v>3.63</v>
      </c>
      <c r="QF49">
        <v>230123</v>
      </c>
      <c r="QG49">
        <v>6</v>
      </c>
      <c r="QH49">
        <v>0</v>
      </c>
      <c r="RA49">
        <v>-83.79</v>
      </c>
      <c r="RB49">
        <v>2.37</v>
      </c>
    </row>
    <row r="50" spans="130:470" ht="13.15" x14ac:dyDescent="0.4">
      <c r="DZ50">
        <v>190423</v>
      </c>
      <c r="EA50">
        <v>7</v>
      </c>
      <c r="EB50">
        <v>0</v>
      </c>
      <c r="EH50">
        <v>1</v>
      </c>
      <c r="EK50">
        <f t="shared" si="11"/>
        <v>1</v>
      </c>
      <c r="FA50">
        <v>260123</v>
      </c>
      <c r="FB50">
        <v>8</v>
      </c>
      <c r="FC50">
        <v>0</v>
      </c>
      <c r="FL50">
        <f>SUM(Supplementary_Fig7!FD50:FK50)</f>
        <v>0</v>
      </c>
      <c r="FO50" t="s">
        <v>491</v>
      </c>
      <c r="FP50">
        <v>75.19</v>
      </c>
      <c r="FS50" t="s">
        <v>491</v>
      </c>
      <c r="FT50">
        <f>63*FP50/100</f>
        <v>47.369700000000002</v>
      </c>
      <c r="FX50" s="1">
        <f>AVERAGE(Supplementary_Fig7!FX47:FX49)</f>
        <v>89.713099999999997</v>
      </c>
      <c r="GA50" s="1">
        <f>AVERAGE(Supplementary_Fig7!GA47:GA49)</f>
        <v>76.362650000000002</v>
      </c>
      <c r="GH50" t="s">
        <v>465</v>
      </c>
      <c r="GJ50">
        <v>90.78</v>
      </c>
      <c r="GL50" t="s">
        <v>465</v>
      </c>
      <c r="GN50">
        <f t="shared" si="15"/>
        <v>57.191400000000002</v>
      </c>
      <c r="GR50">
        <v>84.495699999999999</v>
      </c>
      <c r="GZ50" t="s">
        <v>493</v>
      </c>
      <c r="HA50">
        <v>55.44</v>
      </c>
      <c r="HD50" t="s">
        <v>493</v>
      </c>
      <c r="HE50">
        <f>63*Supplementary_Fig7!HA50/100</f>
        <v>34.927199999999999</v>
      </c>
      <c r="HJ50">
        <v>59.9953</v>
      </c>
      <c r="HL50">
        <v>64.251000000000005</v>
      </c>
      <c r="HM50">
        <v>48.939700000000002</v>
      </c>
      <c r="HN50">
        <v>45.366199999999999</v>
      </c>
      <c r="HO50">
        <v>61.657499999999999</v>
      </c>
      <c r="HP50">
        <v>65.927700000000002</v>
      </c>
      <c r="HQ50" s="8">
        <v>23.113499999999998</v>
      </c>
      <c r="HR50">
        <v>21.7395</v>
      </c>
      <c r="HS50">
        <v>24.387499999999999</v>
      </c>
      <c r="HV50" t="s">
        <v>488</v>
      </c>
      <c r="HW50">
        <v>78.38</v>
      </c>
      <c r="HZ50">
        <v>75.051900000000003</v>
      </c>
      <c r="IA50">
        <v>80.247500000000002</v>
      </c>
      <c r="IB50">
        <v>81.951899999999995</v>
      </c>
      <c r="IC50">
        <v>68.368499999999997</v>
      </c>
      <c r="ID50">
        <v>81.1691</v>
      </c>
      <c r="IE50">
        <v>75.949100000000001</v>
      </c>
      <c r="IF50">
        <v>83.940100000000001</v>
      </c>
      <c r="IG50">
        <v>73.300200000000004</v>
      </c>
      <c r="IH50">
        <v>77.505499999999998</v>
      </c>
      <c r="II50">
        <v>85.908500000000004</v>
      </c>
      <c r="IJ50">
        <v>55.421399999999998</v>
      </c>
      <c r="IK50">
        <v>88.871799999999993</v>
      </c>
      <c r="IL50">
        <v>65.605199999999996</v>
      </c>
      <c r="IM50">
        <v>64.031999999999996</v>
      </c>
      <c r="IN50">
        <v>85.208100000000002</v>
      </c>
      <c r="IX50" t="s">
        <v>465</v>
      </c>
      <c r="IY50">
        <v>96.89</v>
      </c>
      <c r="JB50">
        <v>90.333600000000004</v>
      </c>
      <c r="JC50">
        <v>96.054100000000005</v>
      </c>
      <c r="JD50">
        <v>90.718100000000007</v>
      </c>
      <c r="JE50">
        <v>97.152699999999996</v>
      </c>
      <c r="JF50">
        <v>103.04300000000001</v>
      </c>
      <c r="JG50">
        <v>130.36799999999999</v>
      </c>
      <c r="JH50">
        <v>98.738100000000003</v>
      </c>
      <c r="JI50">
        <v>85.278300000000002</v>
      </c>
      <c r="JJ50">
        <v>101.932</v>
      </c>
      <c r="JK50">
        <v>86.427300000000002</v>
      </c>
      <c r="JL50">
        <v>127.544</v>
      </c>
      <c r="JM50">
        <v>86.486800000000002</v>
      </c>
      <c r="JN50">
        <v>91.473399999999998</v>
      </c>
      <c r="JO50">
        <v>81.056200000000004</v>
      </c>
      <c r="JQ50">
        <v>115.889</v>
      </c>
      <c r="JV50" t="s">
        <v>493</v>
      </c>
      <c r="JW50">
        <v>106.27</v>
      </c>
      <c r="JZ50">
        <f>AVERAGE(Supplementary_Fig7!JZ40:JZ49)</f>
        <v>106.19860000000001</v>
      </c>
      <c r="KA50">
        <v>99.749799999999993</v>
      </c>
      <c r="KB50">
        <v>94.995099999999994</v>
      </c>
      <c r="KC50">
        <v>87.783799999999999</v>
      </c>
      <c r="KD50">
        <v>103.624</v>
      </c>
      <c r="KE50">
        <v>103.702</v>
      </c>
      <c r="KF50">
        <v>95.32</v>
      </c>
      <c r="KG50">
        <v>109.99299999999999</v>
      </c>
      <c r="KH50">
        <v>123.294</v>
      </c>
      <c r="KI50">
        <v>95.651200000000003</v>
      </c>
      <c r="KJ50">
        <v>94.590800000000002</v>
      </c>
      <c r="KK50">
        <v>99.8108</v>
      </c>
      <c r="KL50">
        <v>107.384</v>
      </c>
      <c r="KM50">
        <v>100.465</v>
      </c>
      <c r="KN50">
        <f>AVERAGE(Supplementary_Fig7!KN40:KN49)</f>
        <v>107.99089999999998</v>
      </c>
      <c r="KO50">
        <v>79.8874</v>
      </c>
      <c r="KP50">
        <v>92.1036</v>
      </c>
      <c r="KT50" t="s">
        <v>488</v>
      </c>
      <c r="KU50">
        <v>2.16</v>
      </c>
      <c r="KY50">
        <v>1.7864</v>
      </c>
      <c r="KZ50">
        <v>1.7853399999999999</v>
      </c>
      <c r="LA50">
        <v>1.61541</v>
      </c>
      <c r="LB50">
        <v>1.60063</v>
      </c>
      <c r="LC50">
        <v>1.6591800000000001</v>
      </c>
      <c r="LD50">
        <v>1.64896</v>
      </c>
      <c r="LE50">
        <v>3.58189</v>
      </c>
      <c r="LF50">
        <v>1.9048799999999999</v>
      </c>
      <c r="LG50">
        <v>2.41825</v>
      </c>
      <c r="LH50">
        <v>2.2815699999999999</v>
      </c>
      <c r="LI50">
        <v>1.6405000000000001</v>
      </c>
      <c r="LJ50">
        <v>1.5085500000000001</v>
      </c>
      <c r="LK50">
        <v>1.9062399999999999</v>
      </c>
      <c r="LL50">
        <v>1.96875</v>
      </c>
      <c r="LM50">
        <v>1.6172200000000001</v>
      </c>
      <c r="LN50">
        <v>2.25956</v>
      </c>
      <c r="LO50">
        <v>1.4573100000000001</v>
      </c>
      <c r="LP50">
        <v>1.5334300000000001</v>
      </c>
      <c r="LW50" t="s">
        <v>465</v>
      </c>
      <c r="LX50">
        <v>1.83</v>
      </c>
      <c r="MB50">
        <f>AVERAGE(MB39:MB49)</f>
        <v>1.678849090909091</v>
      </c>
      <c r="MC50">
        <v>1.8328199999999999</v>
      </c>
      <c r="MG50">
        <v>1.67944</v>
      </c>
      <c r="MH50">
        <v>1.3978900000000001</v>
      </c>
      <c r="MI50">
        <v>1.53128</v>
      </c>
      <c r="MJ50">
        <v>1.6061300000000001</v>
      </c>
      <c r="MK50">
        <v>1.7791300000000001</v>
      </c>
      <c r="ML50">
        <v>1.62744</v>
      </c>
      <c r="MM50">
        <v>1.5665500000000001</v>
      </c>
      <c r="MN50">
        <v>1.2472300000000001</v>
      </c>
      <c r="MP50">
        <v>1.6117900000000001</v>
      </c>
      <c r="MQ50">
        <v>1.68879</v>
      </c>
      <c r="MR50">
        <v>1.70252</v>
      </c>
      <c r="MS50">
        <v>1.48966</v>
      </c>
      <c r="MT50">
        <v>1.86913</v>
      </c>
      <c r="MZ50" t="s">
        <v>493</v>
      </c>
      <c r="NA50">
        <v>1.39</v>
      </c>
      <c r="NE50">
        <v>1.3594200000000001</v>
      </c>
      <c r="NF50">
        <f>AVERAGE(Supplementary_Fig7!NF39:NF49)</f>
        <v>1.2957799999999999</v>
      </c>
      <c r="NG50">
        <v>1.52138</v>
      </c>
      <c r="NH50">
        <v>1.2031099999999999</v>
      </c>
      <c r="NI50">
        <v>1.2659100000000001</v>
      </c>
      <c r="NJ50">
        <f>AVERAGE(Supplementary_Fig7!NJ39:NJ49)</f>
        <v>1.3207463636363637</v>
      </c>
      <c r="NK50">
        <v>1.48743</v>
      </c>
      <c r="NL50">
        <v>1.4604299999999999</v>
      </c>
      <c r="NM50">
        <v>1.49434</v>
      </c>
      <c r="NN50">
        <v>1.42778</v>
      </c>
      <c r="NO50">
        <v>1.3789499999999999</v>
      </c>
      <c r="NP50">
        <v>1.28243</v>
      </c>
      <c r="NQ50">
        <v>1.28183</v>
      </c>
      <c r="NS50">
        <v>1.3664099999999999</v>
      </c>
      <c r="NT50">
        <v>1.49986</v>
      </c>
      <c r="NZ50" t="s">
        <v>491</v>
      </c>
      <c r="OA50">
        <v>294.63099999999997</v>
      </c>
      <c r="OC50" t="s">
        <v>465</v>
      </c>
      <c r="OD50">
        <v>240.53700000000001</v>
      </c>
      <c r="OF50" t="s">
        <v>493</v>
      </c>
      <c r="OG50">
        <v>303.41899999999998</v>
      </c>
      <c r="OI50">
        <v>190423</v>
      </c>
      <c r="OJ50">
        <v>7</v>
      </c>
      <c r="OK50">
        <v>0</v>
      </c>
      <c r="PD50">
        <v>-93.93</v>
      </c>
      <c r="PE50">
        <v>7.83</v>
      </c>
      <c r="QC50">
        <v>-92.42</v>
      </c>
      <c r="QD50">
        <v>5.46</v>
      </c>
      <c r="QF50">
        <v>260123</v>
      </c>
      <c r="QG50">
        <v>8</v>
      </c>
      <c r="QH50">
        <v>0</v>
      </c>
      <c r="RA50">
        <v>-83.96</v>
      </c>
      <c r="RB50">
        <v>3.26</v>
      </c>
    </row>
    <row r="51" spans="130:470" ht="13.15" x14ac:dyDescent="0.4">
      <c r="DZ51">
        <v>1904232</v>
      </c>
      <c r="EA51">
        <v>5</v>
      </c>
      <c r="EB51">
        <v>1</v>
      </c>
      <c r="ED51">
        <v>1</v>
      </c>
      <c r="EJ51">
        <v>1</v>
      </c>
      <c r="EK51">
        <f t="shared" si="11"/>
        <v>2</v>
      </c>
      <c r="FA51">
        <v>90223</v>
      </c>
      <c r="FB51">
        <v>7</v>
      </c>
      <c r="FC51">
        <v>0</v>
      </c>
      <c r="FL51">
        <f>SUM(Supplementary_Fig7!FD51:FK51)</f>
        <v>0</v>
      </c>
      <c r="FO51" t="s">
        <v>494</v>
      </c>
      <c r="FQ51">
        <v>49.19</v>
      </c>
      <c r="FS51" t="s">
        <v>494</v>
      </c>
      <c r="FU51">
        <f>63*FQ51/100</f>
        <v>30.989699999999999</v>
      </c>
      <c r="FY51" s="1">
        <f>AVERAGE(Supplementary_Fig7!FY47:FY50)</f>
        <v>38.75685</v>
      </c>
      <c r="FZ51" s="1">
        <f>AVERAGE(Supplementary_Fig7!FZ47:FZ50)</f>
        <v>36.119950000000003</v>
      </c>
      <c r="GH51" t="s">
        <v>468</v>
      </c>
      <c r="GJ51">
        <v>104.61</v>
      </c>
      <c r="GL51" t="s">
        <v>468</v>
      </c>
      <c r="GN51">
        <f t="shared" si="15"/>
        <v>65.904300000000006</v>
      </c>
      <c r="GZ51" t="s">
        <v>496</v>
      </c>
      <c r="HA51">
        <v>59</v>
      </c>
      <c r="HD51" t="s">
        <v>496</v>
      </c>
      <c r="HE51">
        <f>63*Supplementary_Fig7!HA51/100</f>
        <v>37.17</v>
      </c>
      <c r="HJ51">
        <v>61.22</v>
      </c>
      <c r="HL51">
        <v>99.821600000000004</v>
      </c>
      <c r="HM51">
        <v>55.677700000000002</v>
      </c>
      <c r="HN51">
        <v>34.999000000000002</v>
      </c>
      <c r="HO51">
        <v>55.337200000000003</v>
      </c>
      <c r="HQ51">
        <v>22.418500000000002</v>
      </c>
      <c r="HR51">
        <v>24.497499999999999</v>
      </c>
      <c r="HS51">
        <v>27.043900000000001</v>
      </c>
      <c r="HV51" t="s">
        <v>491</v>
      </c>
      <c r="HW51">
        <v>100.57</v>
      </c>
      <c r="HZ51">
        <v>75.544700000000006</v>
      </c>
      <c r="IA51">
        <v>80.363500000000002</v>
      </c>
      <c r="IB51">
        <v>80.526700000000005</v>
      </c>
      <c r="IC51">
        <v>90.260300000000001</v>
      </c>
      <c r="ID51">
        <v>81.0822</v>
      </c>
      <c r="IE51">
        <v>75.1999</v>
      </c>
      <c r="IF51">
        <v>83.351100000000002</v>
      </c>
      <c r="IG51">
        <v>72.287000000000006</v>
      </c>
      <c r="IH51">
        <v>76.619</v>
      </c>
      <c r="II51">
        <v>86.366299999999995</v>
      </c>
      <c r="IJ51">
        <v>55.304000000000002</v>
      </c>
      <c r="IK51">
        <v>87.080399999999997</v>
      </c>
      <c r="IL51">
        <v>62.6907</v>
      </c>
      <c r="IM51">
        <v>61.386099999999999</v>
      </c>
      <c r="IN51">
        <v>83.671599999999998</v>
      </c>
      <c r="IX51" t="s">
        <v>468</v>
      </c>
      <c r="IY51">
        <v>125.78</v>
      </c>
      <c r="JB51">
        <v>90.260300000000001</v>
      </c>
      <c r="JC51">
        <v>95.355199999999996</v>
      </c>
      <c r="JD51">
        <v>88.668800000000005</v>
      </c>
      <c r="JE51">
        <v>98.519900000000007</v>
      </c>
      <c r="JF51">
        <v>99.728399999999993</v>
      </c>
      <c r="JG51">
        <v>127.208</v>
      </c>
      <c r="JH51">
        <v>101.03</v>
      </c>
      <c r="JI51">
        <v>85.034199999999998</v>
      </c>
      <c r="JJ51">
        <v>100.42100000000001</v>
      </c>
      <c r="JK51">
        <v>86.752300000000005</v>
      </c>
      <c r="JL51">
        <v>123.898</v>
      </c>
      <c r="JM51">
        <v>84.654200000000003</v>
      </c>
      <c r="JN51">
        <v>91.272000000000006</v>
      </c>
      <c r="JO51">
        <v>79.597499999999997</v>
      </c>
      <c r="JQ51">
        <v>118.32599999999999</v>
      </c>
      <c r="JV51" t="s">
        <v>496</v>
      </c>
      <c r="JW51">
        <v>97.59</v>
      </c>
      <c r="KA51">
        <v>96.974199999999996</v>
      </c>
      <c r="KB51">
        <f>AVERAGE(Supplementary_Fig7!KB40:KB50)</f>
        <v>97.690790909090907</v>
      </c>
      <c r="KC51">
        <v>88.020300000000006</v>
      </c>
      <c r="KD51">
        <v>100.508</v>
      </c>
      <c r="KE51">
        <v>100.73399999999999</v>
      </c>
      <c r="KF51">
        <f>AVERAGE(Supplementary_Fig7!KF40:KF50)</f>
        <v>103.4786818181818</v>
      </c>
      <c r="KG51">
        <v>111.125</v>
      </c>
      <c r="KH51">
        <v>125.124</v>
      </c>
      <c r="KI51">
        <v>94.062799999999996</v>
      </c>
      <c r="KJ51">
        <v>94.166600000000003</v>
      </c>
      <c r="KK51">
        <v>99.681100000000001</v>
      </c>
      <c r="KL51">
        <v>118.46299999999999</v>
      </c>
      <c r="KM51">
        <v>95.866399999999999</v>
      </c>
      <c r="KO51">
        <v>85.9726</v>
      </c>
      <c r="KP51">
        <v>113.04</v>
      </c>
      <c r="KT51" t="s">
        <v>491</v>
      </c>
      <c r="KU51">
        <v>1.53</v>
      </c>
      <c r="KY51">
        <v>1.7343200000000001</v>
      </c>
      <c r="KZ51">
        <v>1.76962</v>
      </c>
      <c r="LA51">
        <v>1.5795399999999999</v>
      </c>
      <c r="LB51">
        <v>1.5775999999999999</v>
      </c>
      <c r="LC51">
        <v>1.6599699999999999</v>
      </c>
      <c r="LD51">
        <v>1.5985199999999999</v>
      </c>
      <c r="LE51">
        <v>3.5997300000000001</v>
      </c>
      <c r="LF51">
        <v>1.78775</v>
      </c>
      <c r="LG51">
        <v>2.3504800000000001</v>
      </c>
      <c r="LH51">
        <v>2.1080000000000001</v>
      </c>
      <c r="LI51">
        <v>1.6570400000000001</v>
      </c>
      <c r="LJ51">
        <v>1.5165299999999999</v>
      </c>
      <c r="LK51">
        <v>1.79816</v>
      </c>
      <c r="LL51">
        <v>1.9376</v>
      </c>
      <c r="LM51">
        <v>1.59762</v>
      </c>
      <c r="LN51">
        <v>2.3237800000000002</v>
      </c>
      <c r="LO51">
        <v>1.4727399999999999</v>
      </c>
      <c r="LP51">
        <v>1.5185900000000001</v>
      </c>
      <c r="LW51" t="s">
        <v>468</v>
      </c>
      <c r="LX51">
        <v>1.69</v>
      </c>
      <c r="MC51">
        <v>1.88243</v>
      </c>
      <c r="MG51">
        <v>1.6819999999999999</v>
      </c>
      <c r="MH51">
        <v>1.41648</v>
      </c>
      <c r="MI51">
        <v>1.55436</v>
      </c>
      <c r="MJ51">
        <v>1.62076</v>
      </c>
      <c r="MK51">
        <v>1.7885899999999999</v>
      </c>
      <c r="ML51">
        <v>1.6608400000000001</v>
      </c>
      <c r="MM51">
        <v>1.5859399999999999</v>
      </c>
      <c r="MN51">
        <v>1.20024</v>
      </c>
      <c r="MP51">
        <f>AVERAGE(MP39:MP50)</f>
        <v>1.6198166666666669</v>
      </c>
      <c r="MQ51">
        <f>AVERAGE(MQ39:MQ50)</f>
        <v>1.6961616666666666</v>
      </c>
      <c r="MR51">
        <f>AVERAGE(MR39:MR50)</f>
        <v>1.6967166666666669</v>
      </c>
      <c r="MS51">
        <v>1.4910699999999999</v>
      </c>
      <c r="MZ51" t="s">
        <v>496</v>
      </c>
      <c r="NA51">
        <v>1.33</v>
      </c>
      <c r="NE51">
        <f>AVERAGE(Supplementary_Fig7!NE39:NE50)</f>
        <v>1.2930166666666667</v>
      </c>
      <c r="NG51">
        <v>1.5600099999999999</v>
      </c>
      <c r="NH51">
        <v>1.2410300000000001</v>
      </c>
      <c r="NI51">
        <v>1.25485</v>
      </c>
      <c r="NK51">
        <v>1.472</v>
      </c>
      <c r="NL51">
        <f>AVERAGE(Supplementary_Fig7!NL39:NL50)</f>
        <v>1.5310033333333333</v>
      </c>
      <c r="NM51">
        <v>1.5135000000000001</v>
      </c>
      <c r="NN51">
        <f>AVERAGE(Supplementary_Fig7!NN39:NN50)</f>
        <v>1.4634008333333333</v>
      </c>
      <c r="NO51">
        <v>1.3783000000000001</v>
      </c>
      <c r="NP51">
        <v>1.26668</v>
      </c>
      <c r="NQ51">
        <f>AVERAGE(Supplementary_Fig7!NQ39:NQ50)</f>
        <v>1.3310741666666668</v>
      </c>
      <c r="NS51">
        <v>1.3749899999999999</v>
      </c>
      <c r="NT51">
        <v>1.4577</v>
      </c>
      <c r="NZ51" t="s">
        <v>494</v>
      </c>
      <c r="OA51">
        <v>287.30200000000002</v>
      </c>
      <c r="OC51" t="s">
        <v>468</v>
      </c>
      <c r="OD51">
        <v>384.137</v>
      </c>
      <c r="OF51" t="s">
        <v>496</v>
      </c>
      <c r="OG51">
        <v>316.42200000000003</v>
      </c>
      <c r="OI51">
        <v>1904232</v>
      </c>
      <c r="OJ51">
        <v>5</v>
      </c>
      <c r="OK51">
        <v>1</v>
      </c>
      <c r="PD51">
        <v>-93.97</v>
      </c>
      <c r="PE51">
        <v>8.4499999999999993</v>
      </c>
      <c r="QC51">
        <v>-92.44</v>
      </c>
      <c r="QD51">
        <v>4.17</v>
      </c>
      <c r="QF51">
        <v>90223</v>
      </c>
      <c r="QG51">
        <v>7</v>
      </c>
      <c r="QH51">
        <v>0</v>
      </c>
      <c r="RA51">
        <v>-83.98</v>
      </c>
      <c r="RB51">
        <v>3.01</v>
      </c>
    </row>
    <row r="52" spans="130:470" ht="13.15" x14ac:dyDescent="0.4">
      <c r="DZ52">
        <v>120623</v>
      </c>
      <c r="EA52">
        <v>8</v>
      </c>
      <c r="EB52">
        <v>0</v>
      </c>
      <c r="ED52">
        <v>1</v>
      </c>
      <c r="EH52">
        <v>1</v>
      </c>
      <c r="EK52">
        <f t="shared" si="11"/>
        <v>2</v>
      </c>
      <c r="FA52">
        <v>100223</v>
      </c>
      <c r="FB52">
        <v>6</v>
      </c>
      <c r="FC52">
        <v>0</v>
      </c>
      <c r="FL52">
        <f>SUM(Supplementary_Fig7!FD52:FK52)</f>
        <v>0</v>
      </c>
      <c r="FO52" t="s">
        <v>740</v>
      </c>
      <c r="FS52" t="s">
        <v>740</v>
      </c>
      <c r="GH52" t="s">
        <v>471</v>
      </c>
      <c r="GJ52">
        <v>106.7</v>
      </c>
      <c r="GL52" t="s">
        <v>471</v>
      </c>
      <c r="GN52">
        <f t="shared" si="15"/>
        <v>67.221000000000004</v>
      </c>
      <c r="GQ52" s="1">
        <f t="shared" ref="GQ52:GV52" si="16">AVERAGE(GQ48:GQ51)</f>
        <v>82.007149999999996</v>
      </c>
      <c r="GR52" s="1">
        <f t="shared" si="16"/>
        <v>90.784333333333336</v>
      </c>
      <c r="GS52" s="1">
        <f t="shared" si="16"/>
        <v>104.61850000000001</v>
      </c>
      <c r="GT52" s="1">
        <f t="shared" si="16"/>
        <v>106.703</v>
      </c>
      <c r="GU52" s="1">
        <f t="shared" si="16"/>
        <v>120.27699999999999</v>
      </c>
      <c r="GV52" s="1">
        <f t="shared" si="16"/>
        <v>104.28415</v>
      </c>
      <c r="GZ52" t="s">
        <v>499</v>
      </c>
      <c r="HB52">
        <v>24.56</v>
      </c>
      <c r="HD52" t="s">
        <v>499</v>
      </c>
      <c r="HF52">
        <f>63*Supplementary_Fig7!HB52/100</f>
        <v>15.472799999999999</v>
      </c>
      <c r="HJ52" s="1">
        <f>AVERAGE(Supplementary_Fig7!HJ48:HJ51)</f>
        <v>54.632775000000002</v>
      </c>
      <c r="HK52" s="1">
        <f>AVERAGE(Supplementary_Fig7!HK48:HK51)</f>
        <v>83.243200000000002</v>
      </c>
      <c r="HL52" s="1">
        <f>AVERAGE(Supplementary_Fig7!HL48:HL51)</f>
        <v>74.204475000000002</v>
      </c>
      <c r="HM52" s="1">
        <f>AVERAGE(Supplementary_Fig7!HM48:HM51)</f>
        <v>60.49130000000001</v>
      </c>
      <c r="HN52" s="1">
        <f>AVERAGE(Supplementary_Fig7!HN48:HN51)</f>
        <v>42.908774999999999</v>
      </c>
      <c r="HO52" s="1">
        <f>AVERAGE(Supplementary_Fig7!HO48:HO51)</f>
        <v>55.443749999999994</v>
      </c>
      <c r="HP52" s="1">
        <f>AVERAGE(Supplementary_Fig7!HP48:HP51)</f>
        <v>59.003666666666675</v>
      </c>
      <c r="HQ52" s="1">
        <f>AVERAGE(Supplementary_Fig7!HQ48:HQ51)</f>
        <v>24.567574999999998</v>
      </c>
      <c r="HR52" s="1">
        <f>AVERAGE(Supplementary_Fig7!HR48:HR51)</f>
        <v>22.536225000000002</v>
      </c>
      <c r="HS52" s="1">
        <f>AVERAGE(Supplementary_Fig7!HS48:HS51)</f>
        <v>27.8551</v>
      </c>
      <c r="HV52" t="s">
        <v>494</v>
      </c>
      <c r="HW52">
        <v>105.27</v>
      </c>
      <c r="HZ52">
        <v>75.892600000000002</v>
      </c>
      <c r="IA52">
        <v>113.161</v>
      </c>
      <c r="IB52">
        <v>80.946399999999997</v>
      </c>
      <c r="IC52">
        <v>90.208399999999997</v>
      </c>
      <c r="ID52">
        <v>79.849199999999996</v>
      </c>
      <c r="IE52">
        <v>107.46299999999999</v>
      </c>
      <c r="IF52">
        <v>83.694500000000005</v>
      </c>
      <c r="IG52">
        <v>71.498099999999994</v>
      </c>
      <c r="IH52">
        <v>78.370699999999999</v>
      </c>
      <c r="II52">
        <v>84.654200000000003</v>
      </c>
      <c r="IJ52">
        <v>78.3035</v>
      </c>
      <c r="IK52">
        <v>114.755</v>
      </c>
      <c r="IL52">
        <v>62.229900000000001</v>
      </c>
      <c r="IM52">
        <v>63.040199999999999</v>
      </c>
      <c r="IN52">
        <v>101.91500000000001</v>
      </c>
      <c r="IX52" t="s">
        <v>471</v>
      </c>
      <c r="IY52">
        <v>116.96</v>
      </c>
      <c r="JB52">
        <v>91.010999999999996</v>
      </c>
      <c r="JC52">
        <v>98.381</v>
      </c>
      <c r="JD52">
        <v>87.342799999999997</v>
      </c>
      <c r="JE52">
        <v>98.434399999999997</v>
      </c>
      <c r="JF52">
        <v>120.68600000000001</v>
      </c>
      <c r="JG52">
        <v>130.339</v>
      </c>
      <c r="JH52">
        <v>102.318</v>
      </c>
      <c r="JI52">
        <v>98.4512</v>
      </c>
      <c r="JJ52">
        <v>105.708</v>
      </c>
      <c r="JK52">
        <v>87.147499999999994</v>
      </c>
      <c r="JL52">
        <v>125.583</v>
      </c>
      <c r="JM52">
        <v>87.225300000000004</v>
      </c>
      <c r="JN52">
        <v>90.77</v>
      </c>
      <c r="JO52">
        <v>78.1357</v>
      </c>
      <c r="JQ52">
        <v>118.294</v>
      </c>
      <c r="JV52" t="s">
        <v>499</v>
      </c>
      <c r="JW52">
        <v>107.99</v>
      </c>
      <c r="KA52">
        <f>AVERAGE(Supplementary_Fig7!KA40:KA51)</f>
        <v>110.18146666666667</v>
      </c>
      <c r="KC52">
        <v>89.381399999999999</v>
      </c>
      <c r="KD52">
        <v>103.914</v>
      </c>
      <c r="KE52">
        <v>103.66200000000001</v>
      </c>
      <c r="KG52">
        <v>111.83</v>
      </c>
      <c r="KH52">
        <f>AVERAGE(Supplementary_Fig7!KH40:KH51)</f>
        <v>104.74157500000001</v>
      </c>
      <c r="KI52">
        <v>94.668599999999998</v>
      </c>
      <c r="KJ52">
        <f>AVERAGE(Supplementary_Fig7!KJ40:KJ51)</f>
        <v>93.816749999999999</v>
      </c>
      <c r="KK52">
        <v>113.849</v>
      </c>
      <c r="KL52">
        <v>116.96299999999999</v>
      </c>
      <c r="KM52">
        <f>AVERAGE(Supplementary_Fig7!KM40:KM51)</f>
        <v>97.594783333333339</v>
      </c>
      <c r="KO52">
        <v>84.706100000000006</v>
      </c>
      <c r="KP52">
        <v>111.17400000000001</v>
      </c>
      <c r="KT52" t="s">
        <v>494</v>
      </c>
      <c r="KU52">
        <v>1.58</v>
      </c>
      <c r="KY52">
        <v>1.7394499999999999</v>
      </c>
      <c r="KZ52">
        <v>1.73749</v>
      </c>
      <c r="LA52">
        <v>1.58633</v>
      </c>
      <c r="LB52">
        <v>1.5614399999999999</v>
      </c>
      <c r="LC52">
        <v>1.6340300000000001</v>
      </c>
      <c r="LD52">
        <v>1.6538600000000001</v>
      </c>
      <c r="LE52">
        <v>3.6740599999999999</v>
      </c>
      <c r="LF52">
        <v>1.6789799999999999</v>
      </c>
      <c r="LG52">
        <v>2.3991699999999998</v>
      </c>
      <c r="LH52">
        <v>2.06636</v>
      </c>
      <c r="LI52">
        <v>1.64205</v>
      </c>
      <c r="LJ52">
        <v>1.4697899999999999</v>
      </c>
      <c r="LK52">
        <f>AVERAGE(Supplementary_Fig7!LK40:LK51)</f>
        <v>1.8647633333333336</v>
      </c>
      <c r="LL52">
        <v>2.0361600000000002</v>
      </c>
      <c r="LM52">
        <v>1.8921300000000001</v>
      </c>
      <c r="LN52">
        <v>2.2605599999999999</v>
      </c>
      <c r="LO52">
        <v>1.57664</v>
      </c>
      <c r="LP52">
        <v>1.5759099999999999</v>
      </c>
      <c r="LW52" t="s">
        <v>471</v>
      </c>
      <c r="LX52">
        <v>1.99</v>
      </c>
      <c r="MC52">
        <f>AVERAGE(MC39:MC51)</f>
        <v>1.8358846153846156</v>
      </c>
      <c r="MG52">
        <f>AVERAGE(MG39:MG51)</f>
        <v>1.6484884615384614</v>
      </c>
      <c r="MH52">
        <v>1.40649</v>
      </c>
      <c r="MI52">
        <f>AVERAGE(MI39:MI51)</f>
        <v>1.5734258333333333</v>
      </c>
      <c r="MJ52">
        <v>1.6625700000000001</v>
      </c>
      <c r="MK52">
        <v>1.8043400000000001</v>
      </c>
      <c r="ML52">
        <f>AVERAGE(ML39:ML51)</f>
        <v>1.8118258333333335</v>
      </c>
      <c r="MM52">
        <v>1.58311</v>
      </c>
      <c r="MN52">
        <v>1.25183</v>
      </c>
      <c r="MS52">
        <v>1.5285200000000001</v>
      </c>
      <c r="MT52">
        <v>1.83605</v>
      </c>
      <c r="MZ52" t="s">
        <v>499</v>
      </c>
      <c r="NA52">
        <v>1.3</v>
      </c>
      <c r="NG52">
        <f>AVERAGE(Supplementary_Fig7!NG39:NG51)</f>
        <v>1.483783846153846</v>
      </c>
      <c r="NH52">
        <v>1.22906</v>
      </c>
      <c r="NI52">
        <v>1.2513799999999999</v>
      </c>
      <c r="NK52">
        <v>1.45356</v>
      </c>
      <c r="NM52">
        <f>AVERAGE(Supplementary_Fig7!NM39:NM51)</f>
        <v>1.508843846153846</v>
      </c>
      <c r="NO52">
        <v>1.3844099999999999</v>
      </c>
      <c r="NP52">
        <v>1.25461</v>
      </c>
      <c r="NS52">
        <v>1.3649</v>
      </c>
      <c r="NT52">
        <v>1.50345</v>
      </c>
      <c r="NZ52" t="s">
        <v>497</v>
      </c>
      <c r="OA52">
        <v>134.065933</v>
      </c>
      <c r="OC52" t="s">
        <v>471</v>
      </c>
      <c r="OD52">
        <v>299.87799999999999</v>
      </c>
      <c r="OF52" t="s">
        <v>499</v>
      </c>
      <c r="OG52">
        <v>269.43299999999999</v>
      </c>
      <c r="OI52">
        <v>120623</v>
      </c>
      <c r="OJ52">
        <v>8</v>
      </c>
      <c r="OK52">
        <v>0</v>
      </c>
      <c r="OX52">
        <v>8.51</v>
      </c>
      <c r="OY52">
        <v>-96.46</v>
      </c>
      <c r="OZ52">
        <v>6.57</v>
      </c>
      <c r="PA52">
        <v>-98.02</v>
      </c>
      <c r="PD52">
        <v>-94.37</v>
      </c>
      <c r="PE52">
        <v>6.11</v>
      </c>
      <c r="QC52">
        <v>-92.57</v>
      </c>
      <c r="QD52">
        <v>3.28</v>
      </c>
      <c r="QF52">
        <v>100223</v>
      </c>
      <c r="QG52">
        <v>6</v>
      </c>
      <c r="QH52">
        <v>0</v>
      </c>
      <c r="RA52">
        <v>-84.1</v>
      </c>
      <c r="RB52">
        <v>2.06</v>
      </c>
    </row>
    <row r="53" spans="130:470" x14ac:dyDescent="0.35">
      <c r="DZ53">
        <v>50923</v>
      </c>
      <c r="EA53">
        <v>8</v>
      </c>
      <c r="EB53">
        <v>0</v>
      </c>
      <c r="EF53">
        <v>1</v>
      </c>
      <c r="EG53">
        <v>1</v>
      </c>
      <c r="EI53">
        <v>1</v>
      </c>
      <c r="EJ53">
        <v>1</v>
      </c>
      <c r="EK53">
        <f t="shared" si="11"/>
        <v>4</v>
      </c>
      <c r="FA53">
        <v>270323</v>
      </c>
      <c r="FB53">
        <v>8</v>
      </c>
      <c r="FC53">
        <v>0</v>
      </c>
      <c r="FG53">
        <v>1</v>
      </c>
      <c r="FL53">
        <f>SUM(Supplementary_Fig7!FD53:FK53)</f>
        <v>1</v>
      </c>
      <c r="FO53" t="s">
        <v>497</v>
      </c>
      <c r="FQ53">
        <v>89.71</v>
      </c>
      <c r="FS53" t="s">
        <v>497</v>
      </c>
      <c r="FU53">
        <f>63*FQ53/100</f>
        <v>56.517299999999999</v>
      </c>
      <c r="FW53" t="s">
        <v>509</v>
      </c>
      <c r="FX53" t="s">
        <v>512</v>
      </c>
      <c r="FY53" t="s">
        <v>515</v>
      </c>
      <c r="FZ53" t="s">
        <v>518</v>
      </c>
      <c r="GA53" t="s">
        <v>521</v>
      </c>
      <c r="GB53" t="s">
        <v>525</v>
      </c>
      <c r="GC53" t="s">
        <v>529</v>
      </c>
      <c r="GD53" t="s">
        <v>533</v>
      </c>
      <c r="GH53" t="s">
        <v>474</v>
      </c>
      <c r="GJ53">
        <v>120.27</v>
      </c>
      <c r="GL53" t="s">
        <v>474</v>
      </c>
      <c r="GN53">
        <f t="shared" si="15"/>
        <v>75.770099999999999</v>
      </c>
      <c r="GZ53" t="s">
        <v>502</v>
      </c>
      <c r="HB53">
        <v>22.53</v>
      </c>
      <c r="HD53" t="s">
        <v>502</v>
      </c>
      <c r="HF53">
        <f>63*Supplementary_Fig7!HB53/100</f>
        <v>14.193900000000001</v>
      </c>
      <c r="HV53" t="s">
        <v>740</v>
      </c>
      <c r="HW53">
        <v>73.62</v>
      </c>
      <c r="HZ53">
        <v>88.147000000000006</v>
      </c>
      <c r="IA53">
        <v>112.102</v>
      </c>
      <c r="IB53">
        <v>80.215500000000006</v>
      </c>
      <c r="IC53">
        <v>92.2363</v>
      </c>
      <c r="ID53">
        <v>80.593900000000005</v>
      </c>
      <c r="IE53">
        <v>102.342</v>
      </c>
      <c r="IF53">
        <v>83.192400000000006</v>
      </c>
      <c r="IG53">
        <v>71.493499999999997</v>
      </c>
      <c r="IH53">
        <v>76.593000000000004</v>
      </c>
      <c r="II53">
        <v>101.714</v>
      </c>
      <c r="IJ53">
        <v>79.667699999999996</v>
      </c>
      <c r="IK53">
        <v>113.39700000000001</v>
      </c>
      <c r="IL53">
        <v>61.427300000000002</v>
      </c>
      <c r="IM53">
        <v>62.41</v>
      </c>
      <c r="IN53">
        <v>103.09</v>
      </c>
      <c r="IX53" t="s">
        <v>474</v>
      </c>
      <c r="IY53">
        <v>115.18</v>
      </c>
      <c r="JB53">
        <v>100.07299999999999</v>
      </c>
      <c r="JC53">
        <v>97.178600000000003</v>
      </c>
      <c r="JD53">
        <v>90.905799999999999</v>
      </c>
      <c r="JE53">
        <v>91.319299999999998</v>
      </c>
      <c r="JF53">
        <v>124.429</v>
      </c>
      <c r="JG53">
        <v>127.002</v>
      </c>
      <c r="JH53">
        <v>103.252</v>
      </c>
      <c r="JI53">
        <v>103.059</v>
      </c>
      <c r="JJ53">
        <v>107.913</v>
      </c>
      <c r="JK53">
        <v>120.31100000000001</v>
      </c>
      <c r="JL53">
        <v>126.152</v>
      </c>
      <c r="JM53">
        <v>85.339399999999998</v>
      </c>
      <c r="JN53">
        <v>90.647900000000007</v>
      </c>
      <c r="JO53">
        <v>79.7958</v>
      </c>
      <c r="JQ53">
        <v>121.146</v>
      </c>
      <c r="JV53" t="s">
        <v>502</v>
      </c>
      <c r="JW53">
        <v>84.74</v>
      </c>
      <c r="KC53">
        <f>AVERAGE(Supplementary_Fig7!KC40:KC52)</f>
        <v>87.288492307692295</v>
      </c>
      <c r="KD53">
        <v>99.684100000000001</v>
      </c>
      <c r="KE53">
        <v>105.652</v>
      </c>
      <c r="KG53">
        <v>113.113</v>
      </c>
      <c r="KI53">
        <f>AVERAGE(Supplementary_Fig7!KI40:KI52)</f>
        <v>94.068315384615374</v>
      </c>
      <c r="KK53">
        <v>113.895</v>
      </c>
      <c r="KL53">
        <v>118.31100000000001</v>
      </c>
      <c r="KO53">
        <v>84.094200000000001</v>
      </c>
      <c r="KP53">
        <v>111.845</v>
      </c>
      <c r="KT53" t="s">
        <v>740</v>
      </c>
      <c r="KU53">
        <v>4.1399999999999997</v>
      </c>
      <c r="KY53">
        <v>1.75176</v>
      </c>
      <c r="KZ53">
        <v>1.75972</v>
      </c>
      <c r="LA53">
        <v>1.61958</v>
      </c>
      <c r="LB53">
        <v>1.5747199999999999</v>
      </c>
      <c r="LC53">
        <v>1.6356200000000001</v>
      </c>
      <c r="LD53">
        <v>1.59175</v>
      </c>
      <c r="LE53">
        <v>3.7277</v>
      </c>
      <c r="LF53">
        <v>1.48834</v>
      </c>
      <c r="LG53">
        <v>2.3266499999999999</v>
      </c>
      <c r="LH53">
        <v>1.9898499999999999</v>
      </c>
      <c r="LI53">
        <v>1.6192</v>
      </c>
      <c r="LJ53">
        <v>1.51085</v>
      </c>
      <c r="LL53">
        <v>2.5376599999999998</v>
      </c>
      <c r="LM53">
        <v>1.7918700000000001</v>
      </c>
      <c r="LN53">
        <v>2.12338</v>
      </c>
      <c r="LO53">
        <v>1.6886300000000001</v>
      </c>
      <c r="LP53">
        <v>1.8129299999999999</v>
      </c>
      <c r="LW53" t="s">
        <v>474</v>
      </c>
      <c r="LX53">
        <v>1.83</v>
      </c>
      <c r="MH53">
        <v>1.42584</v>
      </c>
      <c r="MJ53">
        <v>1.67746</v>
      </c>
      <c r="MK53">
        <v>1.81179</v>
      </c>
      <c r="MM53">
        <f>AVERAGE(MM39:MM52)</f>
        <v>1.5621315384615384</v>
      </c>
      <c r="MN53">
        <f>AVERAGE(MN39:MN52)</f>
        <v>1.2913442857142858</v>
      </c>
      <c r="MS53">
        <v>1.53989</v>
      </c>
      <c r="MT53">
        <v>1.8239399999999999</v>
      </c>
      <c r="MZ53" t="s">
        <v>502</v>
      </c>
      <c r="NA53">
        <v>1.36</v>
      </c>
      <c r="NH53">
        <f>AVERAGE(Supplementary_Fig7!NH39:NH52)</f>
        <v>1.2418285714285713</v>
      </c>
      <c r="NI53">
        <f>AVERAGE(Supplementary_Fig7!NI39:NI52)</f>
        <v>1.2139749999999998</v>
      </c>
      <c r="NK53">
        <f>AVERAGE(Supplementary_Fig7!NK39:NK52)</f>
        <v>1.4913442857142858</v>
      </c>
      <c r="NO53">
        <f>AVERAGE(Supplementary_Fig7!NO39:NO52)</f>
        <v>1.4290642857142857</v>
      </c>
      <c r="NP53">
        <f>AVERAGE(Supplementary_Fig7!NP39:NP52)</f>
        <v>1.3925942857142857</v>
      </c>
      <c r="NS53">
        <v>1.3627199999999999</v>
      </c>
      <c r="NT53">
        <f>AVERAGE(Supplementary_Fig7!NT39:NT52)</f>
        <v>1.4865200000000001</v>
      </c>
      <c r="NZ53" t="s">
        <v>500</v>
      </c>
      <c r="OA53">
        <v>100.61050400000001</v>
      </c>
      <c r="OC53" t="s">
        <v>474</v>
      </c>
      <c r="OD53">
        <v>347.49700000000001</v>
      </c>
      <c r="OF53" t="s">
        <v>502</v>
      </c>
      <c r="OG53">
        <v>222.89400000000001</v>
      </c>
      <c r="OI53">
        <v>50923</v>
      </c>
      <c r="OJ53">
        <v>8</v>
      </c>
      <c r="OK53">
        <v>0</v>
      </c>
      <c r="OL53">
        <v>2.8</v>
      </c>
      <c r="OM53">
        <v>-85.67</v>
      </c>
      <c r="OV53">
        <v>8</v>
      </c>
      <c r="OW53">
        <v>-99.48</v>
      </c>
      <c r="PD53">
        <v>-94.55</v>
      </c>
      <c r="PE53">
        <v>7.25</v>
      </c>
      <c r="QC53">
        <v>-92.86</v>
      </c>
      <c r="QD53">
        <v>3.31</v>
      </c>
      <c r="QF53">
        <v>270323</v>
      </c>
      <c r="QG53">
        <v>8</v>
      </c>
      <c r="QH53">
        <v>0</v>
      </c>
      <c r="RA53">
        <v>-84.18</v>
      </c>
      <c r="RB53">
        <v>1.41</v>
      </c>
    </row>
    <row r="54" spans="130:470" x14ac:dyDescent="0.35">
      <c r="DZ54" s="8">
        <v>60923</v>
      </c>
      <c r="EA54">
        <v>8</v>
      </c>
      <c r="EB54">
        <v>0</v>
      </c>
      <c r="EE54">
        <v>1</v>
      </c>
      <c r="EG54">
        <v>1</v>
      </c>
      <c r="EK54">
        <f t="shared" si="11"/>
        <v>2</v>
      </c>
      <c r="FA54">
        <v>290323</v>
      </c>
      <c r="FB54">
        <v>6</v>
      </c>
      <c r="FC54">
        <v>0</v>
      </c>
      <c r="FL54">
        <f>SUM(Supplementary_Fig7!FD54:FK54)</f>
        <v>0</v>
      </c>
      <c r="FO54" t="s">
        <v>500</v>
      </c>
      <c r="FQ54">
        <v>38.75</v>
      </c>
      <c r="FS54" t="s">
        <v>500</v>
      </c>
      <c r="FU54">
        <f>63*FQ54/100</f>
        <v>24.412500000000001</v>
      </c>
      <c r="FW54">
        <v>26.629799999999999</v>
      </c>
      <c r="FX54">
        <v>81.603700000000003</v>
      </c>
      <c r="FY54">
        <v>40.740099999999998</v>
      </c>
      <c r="FZ54">
        <v>55.551699999999997</v>
      </c>
      <c r="GA54">
        <v>65.275899999999993</v>
      </c>
      <c r="GC54">
        <v>93.082700000000003</v>
      </c>
      <c r="GD54">
        <v>82.800600000000003</v>
      </c>
      <c r="GH54" t="s">
        <v>477</v>
      </c>
      <c r="GJ54">
        <v>104.28</v>
      </c>
      <c r="GL54" t="s">
        <v>477</v>
      </c>
      <c r="GN54">
        <f t="shared" si="15"/>
        <v>65.696399999999997</v>
      </c>
      <c r="GZ54" t="s">
        <v>505</v>
      </c>
      <c r="HB54">
        <v>27.85</v>
      </c>
      <c r="HD54" t="s">
        <v>505</v>
      </c>
      <c r="HF54">
        <f>63*Supplementary_Fig7!HB54/100</f>
        <v>17.545500000000001</v>
      </c>
      <c r="HV54" t="s">
        <v>497</v>
      </c>
      <c r="HW54">
        <v>84.62</v>
      </c>
      <c r="HZ54">
        <v>88.197299999999998</v>
      </c>
      <c r="IA54">
        <v>113.56</v>
      </c>
      <c r="IB54">
        <v>79.518100000000004</v>
      </c>
      <c r="IC54">
        <v>91.749600000000001</v>
      </c>
      <c r="ID54">
        <v>80.630499999999998</v>
      </c>
      <c r="IE54">
        <v>106.038</v>
      </c>
      <c r="IF54">
        <v>82.484399999999994</v>
      </c>
      <c r="IG54">
        <v>92.286699999999996</v>
      </c>
      <c r="IH54">
        <v>77.670299999999997</v>
      </c>
      <c r="II54">
        <v>107.47799999999999</v>
      </c>
      <c r="IJ54">
        <v>80.451999999999998</v>
      </c>
      <c r="IK54">
        <v>113.17700000000001</v>
      </c>
      <c r="IL54">
        <v>62.6907</v>
      </c>
      <c r="IM54">
        <v>62.734999999999999</v>
      </c>
      <c r="IN54">
        <v>102.914</v>
      </c>
      <c r="IX54" t="s">
        <v>477</v>
      </c>
      <c r="IY54">
        <v>105.97</v>
      </c>
      <c r="JB54">
        <v>99.117999999999995</v>
      </c>
      <c r="JC54">
        <v>99.337800000000001</v>
      </c>
      <c r="JD54">
        <v>89.410399999999996</v>
      </c>
      <c r="JE54">
        <v>90.5685</v>
      </c>
      <c r="JF54">
        <v>123.035</v>
      </c>
      <c r="JG54">
        <v>130.328</v>
      </c>
      <c r="JH54">
        <v>101.32299999999999</v>
      </c>
      <c r="JI54">
        <v>104.17</v>
      </c>
      <c r="JJ54">
        <v>109.964</v>
      </c>
      <c r="JK54">
        <v>120.95</v>
      </c>
      <c r="JL54">
        <v>121.681</v>
      </c>
      <c r="JM54">
        <v>87.826499999999996</v>
      </c>
      <c r="JN54">
        <v>92.172200000000004</v>
      </c>
      <c r="JO54">
        <v>80.253600000000006</v>
      </c>
      <c r="JQ54">
        <v>125.26900000000001</v>
      </c>
      <c r="JV54" t="s">
        <v>505</v>
      </c>
      <c r="JW54">
        <v>96.9</v>
      </c>
      <c r="KD54">
        <f>AVERAGE(Supplementary_Fig7!KD40:KD53)</f>
        <v>108.13486428571427</v>
      </c>
      <c r="KE54">
        <f>AVERAGE(Supplementary_Fig7!KE40:KE53)</f>
        <v>108.35377142857143</v>
      </c>
      <c r="KG54">
        <f>AVERAGE(Supplementary_Fig7!KG40:KG53)</f>
        <v>105.75661428571428</v>
      </c>
      <c r="KK54">
        <f>AVERAGE(Supplementary_Fig7!KK40:KK53)</f>
        <v>104.29255714285713</v>
      </c>
      <c r="KL54">
        <f>AVERAGE(Supplementary_Fig7!KL40:KL53)</f>
        <v>106.27002857142857</v>
      </c>
      <c r="KO54">
        <v>83.291600000000003</v>
      </c>
      <c r="KP54">
        <f>AVERAGE(Supplementary_Fig7!KP40:KP53)</f>
        <v>96.902985714285705</v>
      </c>
      <c r="KT54" t="s">
        <v>497</v>
      </c>
      <c r="KU54">
        <v>2.23</v>
      </c>
      <c r="KY54">
        <v>1.74909</v>
      </c>
      <c r="KZ54">
        <f>AVERAGE(Supplementary_Fig7!KZ40:KZ53)</f>
        <v>1.8700592857142859</v>
      </c>
      <c r="LA54">
        <v>1.81515</v>
      </c>
      <c r="LB54">
        <v>1.85198</v>
      </c>
      <c r="LC54">
        <v>1.7816399999999999</v>
      </c>
      <c r="LD54">
        <v>1.61493</v>
      </c>
      <c r="LE54">
        <v>3.6044399999999999</v>
      </c>
      <c r="LF54">
        <v>1.54623</v>
      </c>
      <c r="LG54">
        <v>2.4207399999999999</v>
      </c>
      <c r="LH54">
        <v>1.97949</v>
      </c>
      <c r="LI54">
        <v>1.7017199999999999</v>
      </c>
      <c r="LJ54">
        <v>1.4999400000000001</v>
      </c>
      <c r="LL54">
        <f>AVERAGE(Supplementary_Fig7!LL40:LL53)</f>
        <v>2.0420264285714285</v>
      </c>
      <c r="LM54">
        <v>1.9816499999999999</v>
      </c>
      <c r="LN54">
        <v>2.0776500000000002</v>
      </c>
      <c r="LO54">
        <v>1.6896599999999999</v>
      </c>
      <c r="LP54">
        <f>AVERAGE(Supplementary_Fig7!LP40:LP53)</f>
        <v>1.5865885714285715</v>
      </c>
      <c r="LW54" t="s">
        <v>477</v>
      </c>
      <c r="LX54">
        <v>1.64</v>
      </c>
      <c r="MH54">
        <f>AVERAGE(MH39:MH53)</f>
        <v>1.4016000000000004</v>
      </c>
      <c r="MJ54">
        <v>1.63028</v>
      </c>
      <c r="MK54">
        <v>1.7758799999999999</v>
      </c>
      <c r="MS54">
        <v>1.5181800000000001</v>
      </c>
      <c r="MT54">
        <v>1.8479300000000001</v>
      </c>
      <c r="MZ54" t="s">
        <v>505</v>
      </c>
      <c r="NA54">
        <v>1.48</v>
      </c>
      <c r="NS54">
        <v>1.3597699999999999</v>
      </c>
      <c r="NZ54" t="s">
        <v>503</v>
      </c>
      <c r="OA54">
        <v>157.692307</v>
      </c>
      <c r="OC54" t="s">
        <v>477</v>
      </c>
      <c r="OD54">
        <v>337.37799999999999</v>
      </c>
      <c r="OF54" t="s">
        <v>505</v>
      </c>
      <c r="OG54">
        <v>252.68600000000001</v>
      </c>
      <c r="OI54" s="8">
        <v>60923</v>
      </c>
      <c r="OJ54">
        <v>8</v>
      </c>
      <c r="OK54">
        <v>0</v>
      </c>
      <c r="OL54">
        <v>7.11</v>
      </c>
      <c r="OM54">
        <v>-100</v>
      </c>
      <c r="OP54">
        <v>7</v>
      </c>
      <c r="OQ54">
        <v>-91.92</v>
      </c>
      <c r="OR54">
        <v>9.27</v>
      </c>
      <c r="OS54">
        <v>-99.39</v>
      </c>
      <c r="OT54">
        <v>7.52</v>
      </c>
      <c r="OU54">
        <v>-94.58</v>
      </c>
      <c r="OX54">
        <v>9.27</v>
      </c>
      <c r="OY54">
        <v>-97.99</v>
      </c>
      <c r="OZ54">
        <v>9.56</v>
      </c>
      <c r="PA54">
        <v>-92.48</v>
      </c>
      <c r="PD54">
        <v>-94.58</v>
      </c>
      <c r="PE54">
        <v>7.52</v>
      </c>
      <c r="QC54">
        <v>-92.99</v>
      </c>
      <c r="QD54">
        <v>2.59</v>
      </c>
      <c r="QF54">
        <v>290323</v>
      </c>
      <c r="QG54">
        <v>6</v>
      </c>
      <c r="QH54">
        <v>0</v>
      </c>
      <c r="RA54">
        <v>-84.25</v>
      </c>
      <c r="RB54">
        <v>4.34</v>
      </c>
    </row>
    <row r="55" spans="130:470" x14ac:dyDescent="0.35">
      <c r="DZ55">
        <v>609232</v>
      </c>
      <c r="EA55">
        <v>8</v>
      </c>
      <c r="EB55">
        <v>0</v>
      </c>
      <c r="EF55">
        <v>1</v>
      </c>
      <c r="EJ55">
        <v>1</v>
      </c>
      <c r="EK55">
        <f t="shared" si="11"/>
        <v>2</v>
      </c>
      <c r="FA55">
        <v>250423</v>
      </c>
      <c r="FB55">
        <v>7</v>
      </c>
      <c r="FC55">
        <v>1</v>
      </c>
      <c r="FL55">
        <f>SUM(Supplementary_Fig7!FD55:FK55)</f>
        <v>0</v>
      </c>
      <c r="FO55" t="s">
        <v>503</v>
      </c>
      <c r="FP55">
        <v>36.11</v>
      </c>
      <c r="FS55" t="s">
        <v>503</v>
      </c>
      <c r="FT55">
        <f>63*FP55/100</f>
        <v>22.749299999999998</v>
      </c>
      <c r="FW55">
        <v>42.542499999999997</v>
      </c>
      <c r="FX55">
        <v>99.422799999999995</v>
      </c>
      <c r="FY55">
        <v>40.773200000000003</v>
      </c>
      <c r="FZ55">
        <v>65.14</v>
      </c>
      <c r="GA55">
        <v>73.626800000000003</v>
      </c>
      <c r="GC55">
        <v>62.5565</v>
      </c>
      <c r="GD55">
        <v>112.121</v>
      </c>
      <c r="GH55" t="s">
        <v>480</v>
      </c>
      <c r="GJ55">
        <v>57.01</v>
      </c>
      <c r="GL55" t="s">
        <v>480</v>
      </c>
      <c r="GN55">
        <f t="shared" si="15"/>
        <v>35.9163</v>
      </c>
      <c r="GQ55" t="s">
        <v>480</v>
      </c>
      <c r="GR55" t="s">
        <v>483</v>
      </c>
      <c r="GS55" t="s">
        <v>486</v>
      </c>
      <c r="GT55" t="s">
        <v>489</v>
      </c>
      <c r="GU55" t="s">
        <v>492</v>
      </c>
      <c r="GV55" t="s">
        <v>495</v>
      </c>
      <c r="GW55" t="s">
        <v>498</v>
      </c>
      <c r="GZ55" t="s">
        <v>508</v>
      </c>
      <c r="HB55">
        <v>31.11</v>
      </c>
      <c r="HD55" t="s">
        <v>508</v>
      </c>
      <c r="HF55">
        <f>63*Supplementary_Fig7!HB55/100</f>
        <v>19.599299999999999</v>
      </c>
      <c r="HJ55" t="s">
        <v>508</v>
      </c>
      <c r="HK55" t="s">
        <v>511</v>
      </c>
      <c r="HL55" t="s">
        <v>514</v>
      </c>
      <c r="HM55" t="s">
        <v>517</v>
      </c>
      <c r="HN55" t="s">
        <v>520</v>
      </c>
      <c r="HO55" t="s">
        <v>523</v>
      </c>
      <c r="HV55" t="s">
        <v>500</v>
      </c>
      <c r="HW55">
        <v>75.92</v>
      </c>
      <c r="HZ55">
        <v>85.740700000000004</v>
      </c>
      <c r="IA55">
        <f>AVERAGE(Supplementary_Fig7!IA41:IA54)</f>
        <v>94.392721428571434</v>
      </c>
      <c r="IB55">
        <v>79.986599999999996</v>
      </c>
      <c r="IC55">
        <v>92.971800000000002</v>
      </c>
      <c r="ID55">
        <v>79.7714</v>
      </c>
      <c r="IE55">
        <f>AVERAGE(Supplementary_Fig7!IE41:IE54)</f>
        <v>86.94867142857143</v>
      </c>
      <c r="IF55">
        <v>81.910700000000006</v>
      </c>
      <c r="IG55">
        <v>90.055800000000005</v>
      </c>
      <c r="IH55">
        <v>76.969899999999996</v>
      </c>
      <c r="II55">
        <v>105.11199999999999</v>
      </c>
      <c r="IJ55">
        <v>84.876999999999995</v>
      </c>
      <c r="IK55">
        <v>112.495</v>
      </c>
      <c r="IL55">
        <v>94.073499999999996</v>
      </c>
      <c r="IM55">
        <v>93.121300000000005</v>
      </c>
      <c r="IN55">
        <v>103.053</v>
      </c>
      <c r="IX55" t="s">
        <v>480</v>
      </c>
      <c r="IY55">
        <v>99.64</v>
      </c>
      <c r="JB55">
        <v>99.699399999999997</v>
      </c>
      <c r="JC55">
        <f>AVERAGE(JC42:JC54)</f>
        <v>97.253174999999999</v>
      </c>
      <c r="JD55">
        <v>87.065100000000001</v>
      </c>
      <c r="JE55">
        <v>94.140600000000006</v>
      </c>
      <c r="JF55">
        <v>123.309</v>
      </c>
      <c r="JG55">
        <f>AVERAGE(JG42:JG54)</f>
        <v>115.17092307692307</v>
      </c>
      <c r="JH55">
        <v>102.708</v>
      </c>
      <c r="JI55">
        <v>102.04900000000001</v>
      </c>
      <c r="JJ55">
        <v>111.917</v>
      </c>
      <c r="JK55">
        <v>121.59399999999999</v>
      </c>
      <c r="JL55">
        <f>AVERAGE(JL42:JL54)</f>
        <v>123.35391666666668</v>
      </c>
      <c r="JM55">
        <v>87.725800000000007</v>
      </c>
      <c r="JN55">
        <v>91.857900000000001</v>
      </c>
      <c r="JO55">
        <v>81.327799999999996</v>
      </c>
      <c r="JQ55">
        <v>129.48599999999999</v>
      </c>
      <c r="JV55" t="s">
        <v>508</v>
      </c>
      <c r="JW55">
        <v>112.65</v>
      </c>
      <c r="KO55">
        <v>82.342500000000001</v>
      </c>
      <c r="KT55" t="s">
        <v>500</v>
      </c>
      <c r="KU55">
        <v>2.2999999999999998</v>
      </c>
      <c r="KY55">
        <f>AVERAGE(Supplementary_Fig7!KY40:KY54)</f>
        <v>1.7568953333333335</v>
      </c>
      <c r="LA55">
        <v>1.8101799999999999</v>
      </c>
      <c r="LB55">
        <v>2.12677</v>
      </c>
      <c r="LC55">
        <v>1.9837899999999999</v>
      </c>
      <c r="LD55">
        <v>1.62042</v>
      </c>
      <c r="LE55">
        <v>3.8226800000000001</v>
      </c>
      <c r="LF55">
        <v>1.52749</v>
      </c>
      <c r="LG55">
        <v>2.50569</v>
      </c>
      <c r="LH55">
        <v>2.16723</v>
      </c>
      <c r="LI55">
        <v>1.64893</v>
      </c>
      <c r="LJ55">
        <v>1.49207</v>
      </c>
      <c r="LM55">
        <f>AVERAGE(Supplementary_Fig7!LM40:LM54)</f>
        <v>1.7828106666666665</v>
      </c>
      <c r="LN55">
        <f>AVERAGE(Supplementary_Fig7!LN40:LN54)</f>
        <v>2.1626893333333337</v>
      </c>
      <c r="LO55">
        <f>AVERAGE(Supplementary_Fig7!LO40:LO54)</f>
        <v>1.5356940000000001</v>
      </c>
      <c r="LW55" t="s">
        <v>480</v>
      </c>
      <c r="LX55">
        <v>1.4</v>
      </c>
      <c r="MJ55">
        <f>AVERAGE(MJ39:MJ54)</f>
        <v>1.6729943749999998</v>
      </c>
      <c r="MK55">
        <f>AVERAGE(MK39:MK54)</f>
        <v>1.8025818749999998</v>
      </c>
      <c r="MS55">
        <f>AVERAGE(MS39:MS54)</f>
        <v>1.5101668749999999</v>
      </c>
      <c r="MT55">
        <f>AVERAGE(MT39:MT54)</f>
        <v>1.8623179999999999</v>
      </c>
      <c r="MZ55" t="s">
        <v>508</v>
      </c>
      <c r="NA55">
        <v>1.45</v>
      </c>
      <c r="ND55" t="s">
        <v>508</v>
      </c>
      <c r="NE55" t="s">
        <v>511</v>
      </c>
      <c r="NF55" t="s">
        <v>514</v>
      </c>
      <c r="NG55" t="s">
        <v>517</v>
      </c>
      <c r="NH55" t="s">
        <v>520</v>
      </c>
      <c r="NI55" t="s">
        <v>523</v>
      </c>
      <c r="NJ55" t="s">
        <v>527</v>
      </c>
      <c r="NK55" t="s">
        <v>531</v>
      </c>
      <c r="NL55" t="s">
        <v>535</v>
      </c>
      <c r="NM55" t="s">
        <v>539</v>
      </c>
      <c r="NN55" t="s">
        <v>543</v>
      </c>
      <c r="NO55" t="s">
        <v>547</v>
      </c>
      <c r="NP55" t="s">
        <v>551</v>
      </c>
      <c r="NQ55" t="s">
        <v>555</v>
      </c>
      <c r="NR55" t="s">
        <v>559</v>
      </c>
      <c r="NS55">
        <f>AVERAGE(Supplementary_Fig7!NS39:NS54)</f>
        <v>1.3668524999999998</v>
      </c>
      <c r="NT55" t="s">
        <v>567</v>
      </c>
      <c r="NZ55" t="s">
        <v>506</v>
      </c>
      <c r="OA55">
        <v>115.558266</v>
      </c>
      <c r="OC55" t="s">
        <v>480</v>
      </c>
      <c r="OD55">
        <v>346.70299999999997</v>
      </c>
      <c r="OF55" t="s">
        <v>508</v>
      </c>
      <c r="OG55">
        <v>237.64500000000001</v>
      </c>
      <c r="OI55">
        <v>609232</v>
      </c>
      <c r="OJ55">
        <v>8</v>
      </c>
      <c r="OK55">
        <v>0</v>
      </c>
      <c r="PD55">
        <v>-94.77</v>
      </c>
      <c r="PE55">
        <v>6.06</v>
      </c>
      <c r="QC55">
        <v>-93.03</v>
      </c>
      <c r="QD55">
        <v>4.7</v>
      </c>
      <c r="QF55">
        <v>250423</v>
      </c>
      <c r="QG55">
        <v>7</v>
      </c>
      <c r="QH55">
        <v>1</v>
      </c>
      <c r="RA55">
        <v>-84.25</v>
      </c>
      <c r="RB55">
        <v>3.48</v>
      </c>
    </row>
    <row r="56" spans="130:470" x14ac:dyDescent="0.35">
      <c r="DZ56">
        <v>70923</v>
      </c>
      <c r="EA56">
        <v>8</v>
      </c>
      <c r="EB56">
        <v>0</v>
      </c>
      <c r="ED56">
        <v>1</v>
      </c>
      <c r="EF56">
        <v>1</v>
      </c>
      <c r="EH56">
        <v>1</v>
      </c>
      <c r="EK56">
        <f t="shared" si="11"/>
        <v>3</v>
      </c>
      <c r="FA56">
        <v>260523</v>
      </c>
      <c r="FB56">
        <v>5</v>
      </c>
      <c r="FC56">
        <v>0</v>
      </c>
      <c r="FL56">
        <f>SUM(Supplementary_Fig7!FD56:FK56)</f>
        <v>0</v>
      </c>
      <c r="FO56" t="s">
        <v>506</v>
      </c>
      <c r="FP56">
        <v>76.36</v>
      </c>
      <c r="FS56" t="s">
        <v>506</v>
      </c>
      <c r="FT56">
        <f>63*FP56/100</f>
        <v>48.1068</v>
      </c>
      <c r="FW56">
        <v>38.014000000000003</v>
      </c>
      <c r="FX56">
        <v>69.626199999999997</v>
      </c>
      <c r="FY56">
        <v>41.285499999999999</v>
      </c>
      <c r="GA56">
        <v>43.703699999999998</v>
      </c>
      <c r="GH56" t="s">
        <v>483</v>
      </c>
      <c r="GJ56">
        <v>100.01</v>
      </c>
      <c r="GL56" t="s">
        <v>483</v>
      </c>
      <c r="GN56">
        <f t="shared" si="15"/>
        <v>63.006300000000003</v>
      </c>
      <c r="GQ56">
        <v>66.275700000000001</v>
      </c>
      <c r="GR56">
        <v>132.744</v>
      </c>
      <c r="GS56">
        <v>257.34500000000003</v>
      </c>
      <c r="GT56">
        <v>60.120199999999997</v>
      </c>
      <c r="GU56">
        <v>77.534499999999994</v>
      </c>
      <c r="GV56">
        <v>74.2059</v>
      </c>
      <c r="GW56">
        <v>43.1845</v>
      </c>
      <c r="GZ56" t="s">
        <v>511</v>
      </c>
      <c r="HB56">
        <v>43.98</v>
      </c>
      <c r="HD56" t="s">
        <v>511</v>
      </c>
      <c r="HF56">
        <f>63*Supplementary_Fig7!HB56/100</f>
        <v>27.707399999999996</v>
      </c>
      <c r="HJ56">
        <v>30.7973</v>
      </c>
      <c r="HK56">
        <v>40.709400000000002</v>
      </c>
      <c r="HL56">
        <v>50.684899999999999</v>
      </c>
      <c r="HM56">
        <v>47.387099999999997</v>
      </c>
      <c r="HN56">
        <v>25.4072</v>
      </c>
      <c r="HO56">
        <v>18.636800000000001</v>
      </c>
      <c r="HV56" t="s">
        <v>503</v>
      </c>
      <c r="HW56">
        <v>76.760000000000005</v>
      </c>
      <c r="HZ56">
        <v>84.303299999999993</v>
      </c>
      <c r="IB56">
        <v>79.908799999999999</v>
      </c>
      <c r="IC56">
        <v>92.269900000000007</v>
      </c>
      <c r="IF56">
        <v>81.956500000000005</v>
      </c>
      <c r="IG56">
        <v>75.006100000000004</v>
      </c>
      <c r="IH56">
        <v>80.000299999999996</v>
      </c>
      <c r="II56">
        <v>105.724</v>
      </c>
      <c r="IJ56">
        <v>86.0886</v>
      </c>
      <c r="IK56">
        <v>113.22</v>
      </c>
      <c r="IL56">
        <v>95.565799999999996</v>
      </c>
      <c r="IM56">
        <v>89.874300000000005</v>
      </c>
      <c r="IN56">
        <v>106.113</v>
      </c>
      <c r="IX56" t="s">
        <v>483</v>
      </c>
      <c r="IY56">
        <v>126.47</v>
      </c>
      <c r="JB56">
        <v>90.925600000000003</v>
      </c>
      <c r="JD56">
        <v>81.976299999999995</v>
      </c>
      <c r="JE56">
        <v>99.127200000000002</v>
      </c>
      <c r="JF56">
        <f>AVERAGE(JF42:JF55)</f>
        <v>114.73903076923078</v>
      </c>
      <c r="JH56">
        <v>99.282799999999995</v>
      </c>
      <c r="JI56">
        <v>105.617</v>
      </c>
      <c r="JJ56">
        <v>83.499099999999999</v>
      </c>
      <c r="JK56">
        <v>87.058999999999997</v>
      </c>
      <c r="JM56">
        <f>AVERAGE(JM42:JM55)</f>
        <v>87.316300000000012</v>
      </c>
      <c r="JN56">
        <f>AVERAGE(JN42:JN55)</f>
        <v>91.593278571428556</v>
      </c>
      <c r="JO56">
        <f>AVERAGE(JO42:JO55)</f>
        <v>83.151600000000002</v>
      </c>
      <c r="JQ56">
        <v>78.527799999999999</v>
      </c>
      <c r="JV56" t="s">
        <v>511</v>
      </c>
      <c r="JW56">
        <v>95.89</v>
      </c>
      <c r="JZ56" t="s">
        <v>508</v>
      </c>
      <c r="KA56" t="s">
        <v>511</v>
      </c>
      <c r="KB56" t="s">
        <v>514</v>
      </c>
      <c r="KC56" t="s">
        <v>517</v>
      </c>
      <c r="KD56" t="s">
        <v>520</v>
      </c>
      <c r="KE56" t="s">
        <v>523</v>
      </c>
      <c r="KF56" t="s">
        <v>527</v>
      </c>
      <c r="KG56" t="s">
        <v>531</v>
      </c>
      <c r="KH56" t="s">
        <v>535</v>
      </c>
      <c r="KI56" t="s">
        <v>539</v>
      </c>
      <c r="KJ56" t="s">
        <v>543</v>
      </c>
      <c r="KK56" t="s">
        <v>547</v>
      </c>
      <c r="KO56">
        <f>AVERAGE(Supplementary_Fig7!KO40:KO55)</f>
        <v>84.743875000000003</v>
      </c>
      <c r="KT56" t="s">
        <v>503</v>
      </c>
      <c r="KU56">
        <v>1.97</v>
      </c>
      <c r="LA56">
        <f>AVERAGE(Supplementary_Fig7!LA40:LA55)</f>
        <v>1.6860906250000001</v>
      </c>
      <c r="LB56">
        <f>AVERAGE(Supplementary_Fig7!LB40:LB55)</f>
        <v>1.6913775</v>
      </c>
      <c r="LC56">
        <f>AVERAGE(Supplementary_Fig7!LC40:LC55)</f>
        <v>1.7683612499999999</v>
      </c>
      <c r="LD56">
        <f>AVERAGE(Supplementary_Fig7!LD40:LD55)</f>
        <v>1.6353037500000001</v>
      </c>
      <c r="LE56">
        <f>AVERAGE(Supplementary_Fig7!LE40:LE55)</f>
        <v>3.6800487499999992</v>
      </c>
      <c r="LF56">
        <f>AVERAGE(Supplementary_Fig7!LF40:LF55)</f>
        <v>1.6984431249999998</v>
      </c>
      <c r="LG56">
        <f>AVERAGE(Supplementary_Fig7!LG40:LG55)</f>
        <v>2.417081875</v>
      </c>
      <c r="LH56">
        <f>AVERAGE(Supplementary_Fig7!LH40:LH55)</f>
        <v>3.1634256249999995</v>
      </c>
      <c r="LI56">
        <f>AVERAGE(Supplementary_Fig7!LI40:LI55)</f>
        <v>1.6408037499999999</v>
      </c>
      <c r="LJ56">
        <f>AVERAGE(Supplementary_Fig7!LJ40:LJ55)</f>
        <v>1.4981512499999998</v>
      </c>
      <c r="LW56" t="s">
        <v>483</v>
      </c>
      <c r="LX56">
        <v>1.57</v>
      </c>
      <c r="MZ56" t="s">
        <v>511</v>
      </c>
      <c r="NA56">
        <v>1.45</v>
      </c>
      <c r="ND56">
        <v>1.4236</v>
      </c>
      <c r="NE56">
        <v>1.4279299999999999</v>
      </c>
      <c r="NF56">
        <v>1.1833400000000001</v>
      </c>
      <c r="NG56">
        <v>1.2786</v>
      </c>
      <c r="NH56">
        <v>1.5016099999999999</v>
      </c>
      <c r="NI56">
        <v>1.1865699999999999</v>
      </c>
      <c r="NJ56">
        <v>1.5623899999999999</v>
      </c>
      <c r="NK56">
        <v>1.4613799999999999</v>
      </c>
      <c r="NL56">
        <v>1.4197599999999999</v>
      </c>
      <c r="NM56">
        <v>1.5324199999999999</v>
      </c>
      <c r="NN56">
        <v>1.48837</v>
      </c>
      <c r="NO56">
        <v>1.6310100000000001</v>
      </c>
      <c r="NP56">
        <v>1.4200900000000001</v>
      </c>
      <c r="NQ56">
        <v>1.4494</v>
      </c>
      <c r="NR56">
        <v>1.7085900000000001</v>
      </c>
      <c r="NT56">
        <v>1.4679199999999999</v>
      </c>
      <c r="NZ56" t="s">
        <v>509</v>
      </c>
      <c r="OA56">
        <v>165.64977999999999</v>
      </c>
      <c r="OC56" t="s">
        <v>483</v>
      </c>
      <c r="OD56">
        <v>444.43799999999999</v>
      </c>
      <c r="OF56" t="s">
        <v>511</v>
      </c>
      <c r="OG56">
        <v>220.208</v>
      </c>
      <c r="OI56">
        <v>70923</v>
      </c>
      <c r="OJ56">
        <v>8</v>
      </c>
      <c r="OK56">
        <v>0</v>
      </c>
      <c r="OL56">
        <v>5.61</v>
      </c>
      <c r="OM56">
        <v>-99.94</v>
      </c>
      <c r="ON56">
        <v>2.63</v>
      </c>
      <c r="OO56">
        <v>-92.76</v>
      </c>
      <c r="OP56">
        <v>2.68</v>
      </c>
      <c r="OQ56">
        <v>-83.07</v>
      </c>
      <c r="OR56">
        <v>6.38</v>
      </c>
      <c r="OS56">
        <v>-95.07</v>
      </c>
      <c r="PD56">
        <v>-94.79</v>
      </c>
      <c r="PE56">
        <v>5.2</v>
      </c>
      <c r="QC56">
        <v>-93.22</v>
      </c>
      <c r="QD56">
        <v>2.3199999999999998</v>
      </c>
      <c r="QF56">
        <v>260523</v>
      </c>
      <c r="QG56">
        <v>5</v>
      </c>
      <c r="QH56">
        <v>0</v>
      </c>
      <c r="RA56">
        <v>-84.4</v>
      </c>
      <c r="RB56">
        <v>3.98</v>
      </c>
    </row>
    <row r="57" spans="130:470" x14ac:dyDescent="0.35">
      <c r="DZ57">
        <v>80923</v>
      </c>
      <c r="EA57">
        <v>8</v>
      </c>
      <c r="EB57">
        <v>0</v>
      </c>
      <c r="ED57">
        <v>1</v>
      </c>
      <c r="EF57">
        <v>1</v>
      </c>
      <c r="EH57">
        <v>1</v>
      </c>
      <c r="EK57">
        <f t="shared" si="11"/>
        <v>3</v>
      </c>
      <c r="FA57">
        <v>10623</v>
      </c>
      <c r="FB57">
        <v>7</v>
      </c>
      <c r="FC57">
        <v>0</v>
      </c>
      <c r="FL57">
        <f>SUM(Supplementary_Fig7!FD57:FK57)</f>
        <v>0</v>
      </c>
      <c r="FO57" t="s">
        <v>509</v>
      </c>
      <c r="FQ57">
        <v>36.07</v>
      </c>
      <c r="FS57" t="s">
        <v>509</v>
      </c>
      <c r="FU57">
        <f>63*FQ57/100</f>
        <v>22.7241</v>
      </c>
      <c r="FW57">
        <v>37.111800000000002</v>
      </c>
      <c r="FX57">
        <v>95.251000000000005</v>
      </c>
      <c r="FY57">
        <v>45.842799999999997</v>
      </c>
      <c r="GA57">
        <v>50.084299999999999</v>
      </c>
      <c r="GH57" t="s">
        <v>486</v>
      </c>
      <c r="GI57">
        <v>160.80000000000001</v>
      </c>
      <c r="GL57" t="s">
        <v>486</v>
      </c>
      <c r="GM57">
        <f>63*GI57/100</f>
        <v>101.30400000000002</v>
      </c>
      <c r="GQ57">
        <v>53.997300000000003</v>
      </c>
      <c r="GR57">
        <v>67.293700000000001</v>
      </c>
      <c r="GS57">
        <v>82.015799999999999</v>
      </c>
      <c r="GT57">
        <v>44.659799999999997</v>
      </c>
      <c r="GU57">
        <v>69.302099999999996</v>
      </c>
      <c r="GV57">
        <v>61.985900000000001</v>
      </c>
      <c r="GW57">
        <v>56.722299999999997</v>
      </c>
      <c r="GZ57" t="s">
        <v>514</v>
      </c>
      <c r="HB57">
        <v>53.98</v>
      </c>
      <c r="HD57" t="s">
        <v>514</v>
      </c>
      <c r="HF57">
        <f>63*Supplementary_Fig7!HB57/100</f>
        <v>34.007399999999997</v>
      </c>
      <c r="HJ57">
        <v>27.486999999999998</v>
      </c>
      <c r="HK57">
        <v>49.201900000000002</v>
      </c>
      <c r="HL57">
        <v>64.573899999999995</v>
      </c>
      <c r="HM57">
        <v>84.062200000000004</v>
      </c>
      <c r="HN57">
        <v>25.786100000000001</v>
      </c>
      <c r="HO57">
        <v>30.835899999999999</v>
      </c>
      <c r="HV57" t="s">
        <v>506</v>
      </c>
      <c r="HW57">
        <v>73.98</v>
      </c>
      <c r="HZ57">
        <f>AVERAGE(Supplementary_Fig7!HZ41:HZ56)</f>
        <v>79.65211875</v>
      </c>
      <c r="IB57">
        <f>AVERAGE(Supplementary_Fig7!IB41:IB56)</f>
        <v>82.384881249999992</v>
      </c>
      <c r="IC57">
        <f>AVERAGE(Supplementary_Fig7!IC41:IC56)</f>
        <v>82.34853750000002</v>
      </c>
      <c r="IF57">
        <f>AVERAGE(Supplementary_Fig7!IF41:IF56)</f>
        <v>82.173537499999995</v>
      </c>
      <c r="IG57">
        <f>AVERAGE(Supplementary_Fig7!IG41:IG56)</f>
        <v>79.063693750000013</v>
      </c>
      <c r="IH57">
        <f>AVERAGE(Supplementary_Fig7!IH41:IH56)</f>
        <v>77.340706249999997</v>
      </c>
      <c r="II57">
        <f>AVERAGE(Supplementary_Fig7!II41:II56)</f>
        <v>95.142306250000004</v>
      </c>
      <c r="IJ57">
        <f>AVERAGE(Supplementary_Fig7!IJ41:IJ56)</f>
        <v>71.799562499999993</v>
      </c>
      <c r="IK57">
        <f>AVERAGE(Supplementary_Fig7!IK41:IK56)</f>
        <v>102.09797500000001</v>
      </c>
      <c r="IL57">
        <f>AVERAGE(Supplementary_Fig7!IL41:IL56)</f>
        <v>71.319200000000009</v>
      </c>
      <c r="IM57">
        <f>AVERAGE(Supplementary_Fig7!IM41:IM56)</f>
        <v>65.726568750000013</v>
      </c>
      <c r="IN57">
        <f>AVERAGE(Supplementary_Fig7!IN41:IN56)</f>
        <v>96.913049999999984</v>
      </c>
      <c r="IX57" t="s">
        <v>486</v>
      </c>
      <c r="IY57">
        <v>89.9</v>
      </c>
      <c r="JB57">
        <f>AVERAGE(JB42:JB56)</f>
        <v>93.777440000000013</v>
      </c>
      <c r="JD57">
        <v>83.465599999999995</v>
      </c>
      <c r="JE57">
        <f>AVERAGE(JE42:JE56)</f>
        <v>98.974159999999998</v>
      </c>
      <c r="JH57">
        <f>AVERAGE(JH42:JH56)</f>
        <v>106.54365333333334</v>
      </c>
      <c r="JI57">
        <v>109.782</v>
      </c>
      <c r="JJ57">
        <v>80.090299999999999</v>
      </c>
      <c r="JK57">
        <v>85.002099999999999</v>
      </c>
      <c r="JQ57">
        <f>AVERAGE(JQ42:JQ56)</f>
        <v>111.42822000000001</v>
      </c>
      <c r="JV57" t="s">
        <v>514</v>
      </c>
      <c r="JW57">
        <v>119.16</v>
      </c>
      <c r="JZ57">
        <v>109.08499999999999</v>
      </c>
      <c r="KA57">
        <v>103.137</v>
      </c>
      <c r="KB57">
        <v>110.059</v>
      </c>
      <c r="KC57">
        <v>100.496</v>
      </c>
      <c r="KD57">
        <v>88.145399999999995</v>
      </c>
      <c r="KE57">
        <v>95.741299999999995</v>
      </c>
      <c r="KF57">
        <v>109.691</v>
      </c>
      <c r="KG57">
        <v>101.61</v>
      </c>
      <c r="KH57">
        <v>100.992</v>
      </c>
      <c r="KI57">
        <v>122.113</v>
      </c>
      <c r="KJ57">
        <v>121.886</v>
      </c>
      <c r="KK57">
        <v>113.56399999999999</v>
      </c>
      <c r="KT57" t="s">
        <v>506</v>
      </c>
      <c r="KU57">
        <v>3.21</v>
      </c>
      <c r="LW57" t="s">
        <v>486</v>
      </c>
      <c r="LX57">
        <v>1.67</v>
      </c>
      <c r="MZ57" t="s">
        <v>514</v>
      </c>
      <c r="NA57">
        <v>1.2</v>
      </c>
      <c r="ND57">
        <v>1.4496100000000001</v>
      </c>
      <c r="NE57">
        <v>1.4322900000000001</v>
      </c>
      <c r="NF57">
        <v>1.18733</v>
      </c>
      <c r="NG57">
        <v>1.2669699999999999</v>
      </c>
      <c r="NH57">
        <v>1.48678</v>
      </c>
      <c r="NI57">
        <v>1.1769799999999999</v>
      </c>
      <c r="NJ57">
        <v>1.53521</v>
      </c>
      <c r="NK57">
        <v>1.3904700000000001</v>
      </c>
      <c r="NL57">
        <v>1.42248</v>
      </c>
      <c r="NM57">
        <v>1.5202899999999999</v>
      </c>
      <c r="NN57">
        <v>1.43832</v>
      </c>
      <c r="NO57">
        <v>1.6553</v>
      </c>
      <c r="NP57">
        <v>1.39096</v>
      </c>
      <c r="NQ57">
        <v>1.4852700000000001</v>
      </c>
      <c r="NS57" t="s">
        <v>563</v>
      </c>
      <c r="NT57">
        <v>1.4502200000000001</v>
      </c>
      <c r="NZ57" t="s">
        <v>512</v>
      </c>
      <c r="OA57">
        <v>117.327637</v>
      </c>
      <c r="OC57" t="s">
        <v>486</v>
      </c>
      <c r="OD57">
        <v>261.37900000000002</v>
      </c>
      <c r="OF57" t="s">
        <v>514</v>
      </c>
      <c r="OG57">
        <v>602.25599999999997</v>
      </c>
      <c r="OI57">
        <v>80923</v>
      </c>
      <c r="OJ57">
        <v>8</v>
      </c>
      <c r="OK57">
        <v>0</v>
      </c>
      <c r="OL57">
        <v>5.2</v>
      </c>
      <c r="OM57">
        <v>-94.79</v>
      </c>
      <c r="OP57">
        <v>7.67</v>
      </c>
      <c r="OQ57">
        <v>-95.77</v>
      </c>
      <c r="OR57">
        <v>6.83</v>
      </c>
      <c r="OS57">
        <v>-99.77</v>
      </c>
      <c r="OV57">
        <v>4.93</v>
      </c>
      <c r="OW57">
        <v>-96.95</v>
      </c>
      <c r="OX57">
        <v>4.45</v>
      </c>
      <c r="OY57">
        <v>-92.66</v>
      </c>
      <c r="PD57">
        <v>-95.07</v>
      </c>
      <c r="PE57">
        <v>6.38</v>
      </c>
      <c r="QC57">
        <v>-93.36</v>
      </c>
      <c r="QD57">
        <v>4.8</v>
      </c>
      <c r="QF57">
        <v>10623</v>
      </c>
      <c r="QG57">
        <v>7</v>
      </c>
      <c r="QH57">
        <v>0</v>
      </c>
      <c r="RA57">
        <v>-84.58</v>
      </c>
      <c r="RB57">
        <v>3.77</v>
      </c>
    </row>
    <row r="58" spans="130:470" ht="13.15" x14ac:dyDescent="0.4">
      <c r="DZ58">
        <v>110923</v>
      </c>
      <c r="EA58">
        <v>7</v>
      </c>
      <c r="EB58">
        <v>0</v>
      </c>
      <c r="EC58">
        <v>1</v>
      </c>
      <c r="ED58">
        <v>1</v>
      </c>
      <c r="EH58">
        <v>1</v>
      </c>
      <c r="EK58">
        <f t="shared" si="11"/>
        <v>3</v>
      </c>
      <c r="FA58">
        <v>310723</v>
      </c>
      <c r="FB58">
        <v>8</v>
      </c>
      <c r="FC58">
        <v>0</v>
      </c>
      <c r="FL58">
        <f>SUM(Supplementary_Fig7!FD58:FK58)</f>
        <v>0</v>
      </c>
      <c r="FO58" t="s">
        <v>512</v>
      </c>
      <c r="FP58">
        <v>86.47</v>
      </c>
      <c r="FS58" t="s">
        <v>512</v>
      </c>
      <c r="FT58">
        <f>63*FP58/100</f>
        <v>54.476099999999995</v>
      </c>
      <c r="FW58" s="1">
        <f>AVERAGE(Supplementary_Fig7!FW54:FW57)</f>
        <v>36.074524999999994</v>
      </c>
      <c r="FX58" s="1">
        <f>AVERAGE(Supplementary_Fig7!FX54:FX57)</f>
        <v>86.475924999999989</v>
      </c>
      <c r="FY58" s="1">
        <f>AVERAGE(Supplementary_Fig7!FY54:FY57)</f>
        <v>42.160399999999996</v>
      </c>
      <c r="FZ58" s="1">
        <f>AVERAGE(Supplementary_Fig7!FZ54:FZ57)</f>
        <v>60.345849999999999</v>
      </c>
      <c r="GA58" s="1">
        <f>AVERAGE(Supplementary_Fig7!GA54:GA57)</f>
        <v>58.172674999999998</v>
      </c>
      <c r="GB58" s="1" t="e">
        <f>AVERAGE(Supplementary_Fig7!GB54:GB57)</f>
        <v>#DIV/0!</v>
      </c>
      <c r="GC58" s="1">
        <f>AVERAGE(Supplementary_Fig7!GC54:GC57)</f>
        <v>77.819600000000008</v>
      </c>
      <c r="GD58" s="1">
        <f>AVERAGE(Supplementary_Fig7!GD54:GD57)</f>
        <v>97.460800000000006</v>
      </c>
      <c r="GH58" t="s">
        <v>489</v>
      </c>
      <c r="GJ58">
        <v>54.35</v>
      </c>
      <c r="GL58" t="s">
        <v>489</v>
      </c>
      <c r="GN58">
        <f>63*GJ58/100</f>
        <v>34.240500000000004</v>
      </c>
      <c r="GQ58">
        <v>59.932499999999997</v>
      </c>
      <c r="GS58">
        <v>143.041</v>
      </c>
      <c r="GT58">
        <v>63.039000000000001</v>
      </c>
      <c r="GV58">
        <v>59.0169</v>
      </c>
      <c r="GZ58" t="s">
        <v>517</v>
      </c>
      <c r="HB58">
        <v>55.79</v>
      </c>
      <c r="HD58" t="s">
        <v>517</v>
      </c>
      <c r="HF58">
        <f>63*Supplementary_Fig7!HB58/100</f>
        <v>35.1477</v>
      </c>
      <c r="HJ58">
        <v>32.999099999999999</v>
      </c>
      <c r="HK58">
        <v>44.1081</v>
      </c>
      <c r="HL58">
        <v>48.442599999999999</v>
      </c>
      <c r="HM58">
        <v>41.1511</v>
      </c>
      <c r="HN58">
        <v>25.5717</v>
      </c>
      <c r="HO58">
        <v>24.872199999999999</v>
      </c>
      <c r="HV58" t="s">
        <v>509</v>
      </c>
      <c r="HW58">
        <v>88.32</v>
      </c>
      <c r="IX58" t="s">
        <v>489</v>
      </c>
      <c r="IY58">
        <v>89.07</v>
      </c>
      <c r="JD58">
        <f>AVERAGE(JD42:JD57)</f>
        <v>85.178093750000002</v>
      </c>
      <c r="JI58">
        <f>AVERAGE(JI42:JI57)</f>
        <v>97.136562499999997</v>
      </c>
      <c r="JJ58">
        <f>AVERAGE(JJ42:JJ57)</f>
        <v>99.681168750000012</v>
      </c>
      <c r="JK58">
        <f>AVERAGE(JK42:JK57)</f>
        <v>99.406962499999992</v>
      </c>
      <c r="JV58" t="s">
        <v>517</v>
      </c>
      <c r="JW58">
        <v>125.99</v>
      </c>
      <c r="JZ58">
        <v>110.58799999999999</v>
      </c>
      <c r="KA58">
        <v>104.16</v>
      </c>
      <c r="KB58">
        <v>107.039</v>
      </c>
      <c r="KC58">
        <v>131.73699999999999</v>
      </c>
      <c r="KD58">
        <v>120.819</v>
      </c>
      <c r="KE58">
        <v>96.402000000000001</v>
      </c>
      <c r="KF58">
        <v>107.58499999999999</v>
      </c>
      <c r="KG58">
        <v>104.36199999999999</v>
      </c>
      <c r="KH58">
        <v>101.09099999999999</v>
      </c>
      <c r="KI58">
        <v>120.55200000000001</v>
      </c>
      <c r="KJ58">
        <v>119.38</v>
      </c>
      <c r="KK58">
        <v>114.029</v>
      </c>
      <c r="KT58" t="s">
        <v>509</v>
      </c>
      <c r="KU58">
        <v>2.23</v>
      </c>
      <c r="KY58" t="s">
        <v>740</v>
      </c>
      <c r="KZ58" t="s">
        <v>497</v>
      </c>
      <c r="LA58" t="s">
        <v>500</v>
      </c>
      <c r="LB58" t="s">
        <v>503</v>
      </c>
      <c r="LC58" t="s">
        <v>506</v>
      </c>
      <c r="LD58" t="s">
        <v>509</v>
      </c>
      <c r="LE58" t="s">
        <v>512</v>
      </c>
      <c r="LF58" t="s">
        <v>515</v>
      </c>
      <c r="LG58" t="s">
        <v>518</v>
      </c>
      <c r="LH58" t="s">
        <v>521</v>
      </c>
      <c r="LI58" t="s">
        <v>525</v>
      </c>
      <c r="LJ58" t="s">
        <v>529</v>
      </c>
      <c r="LK58" t="s">
        <v>533</v>
      </c>
      <c r="LL58" t="s">
        <v>537</v>
      </c>
      <c r="LM58" t="s">
        <v>541</v>
      </c>
      <c r="LN58" t="s">
        <v>545</v>
      </c>
      <c r="LO58" t="s">
        <v>549</v>
      </c>
      <c r="LP58" t="s">
        <v>553</v>
      </c>
      <c r="LQ58" t="s">
        <v>557</v>
      </c>
      <c r="LR58" t="s">
        <v>561</v>
      </c>
      <c r="LS58" t="s">
        <v>565</v>
      </c>
      <c r="LW58" t="s">
        <v>489</v>
      </c>
      <c r="LX58">
        <v>1.8</v>
      </c>
      <c r="MB58" t="s">
        <v>516</v>
      </c>
      <c r="MC58" t="s">
        <v>519</v>
      </c>
      <c r="MD58" t="s">
        <v>522</v>
      </c>
      <c r="ME58" t="s">
        <v>526</v>
      </c>
      <c r="MF58" t="s">
        <v>530</v>
      </c>
      <c r="MG58" t="s">
        <v>534</v>
      </c>
      <c r="MH58" t="s">
        <v>538</v>
      </c>
      <c r="MI58" t="s">
        <v>542</v>
      </c>
      <c r="MJ58" t="s">
        <v>546</v>
      </c>
      <c r="MK58" t="s">
        <v>550</v>
      </c>
      <c r="ML58" t="s">
        <v>554</v>
      </c>
      <c r="MZ58" t="s">
        <v>517</v>
      </c>
      <c r="NA58">
        <v>1.28</v>
      </c>
      <c r="ND58">
        <v>1.45919</v>
      </c>
      <c r="NE58">
        <v>1.46536</v>
      </c>
      <c r="NF58">
        <v>1.21224</v>
      </c>
      <c r="NG58">
        <v>1.29911</v>
      </c>
      <c r="NH58">
        <v>1.4881200000000001</v>
      </c>
      <c r="NI58">
        <v>1.18828</v>
      </c>
      <c r="NJ58">
        <v>1.5835699999999999</v>
      </c>
      <c r="NK58">
        <v>1.3986400000000001</v>
      </c>
      <c r="NL58">
        <v>1.4379500000000001</v>
      </c>
      <c r="NM58">
        <v>1.4472499999999999</v>
      </c>
      <c r="NN58">
        <v>1.4467699999999999</v>
      </c>
      <c r="NO58">
        <v>1.65391</v>
      </c>
      <c r="NP58">
        <v>1.4030199999999999</v>
      </c>
      <c r="NQ58">
        <v>1.4696</v>
      </c>
      <c r="NS58">
        <v>1.57531</v>
      </c>
      <c r="NT58">
        <v>1.4238900000000001</v>
      </c>
      <c r="NZ58" t="s">
        <v>515</v>
      </c>
      <c r="OA58">
        <v>108.363861</v>
      </c>
      <c r="OC58" t="s">
        <v>489</v>
      </c>
      <c r="OD58">
        <v>220.208</v>
      </c>
      <c r="OF58" t="s">
        <v>517</v>
      </c>
      <c r="OG58">
        <v>418.55900000000003</v>
      </c>
      <c r="OI58">
        <v>110923</v>
      </c>
      <c r="OJ58">
        <v>7</v>
      </c>
      <c r="OK58">
        <v>0</v>
      </c>
      <c r="OT58">
        <v>8.42</v>
      </c>
      <c r="OU58">
        <v>-97.2</v>
      </c>
      <c r="PD58">
        <v>-95.19</v>
      </c>
      <c r="PE58">
        <v>5.46</v>
      </c>
      <c r="QC58">
        <v>-93.45</v>
      </c>
      <c r="QD58">
        <v>4.12</v>
      </c>
      <c r="QF58">
        <v>310723</v>
      </c>
      <c r="QG58">
        <v>8</v>
      </c>
      <c r="QH58">
        <v>0</v>
      </c>
      <c r="RA58">
        <v>-84.76</v>
      </c>
      <c r="RB58">
        <v>2.5299999999999998</v>
      </c>
    </row>
    <row r="59" spans="130:470" ht="13.15" x14ac:dyDescent="0.4">
      <c r="DZ59">
        <v>1109232</v>
      </c>
      <c r="EA59">
        <v>6</v>
      </c>
      <c r="EB59">
        <v>0</v>
      </c>
      <c r="EK59">
        <f t="shared" si="11"/>
        <v>0</v>
      </c>
      <c r="FA59">
        <v>10823</v>
      </c>
      <c r="FB59">
        <v>6</v>
      </c>
      <c r="FC59">
        <v>0</v>
      </c>
      <c r="FD59">
        <v>1</v>
      </c>
      <c r="FL59">
        <f>SUM(Supplementary_Fig7!FD59:FK59)</f>
        <v>1</v>
      </c>
      <c r="FO59" t="s">
        <v>515</v>
      </c>
      <c r="FQ59">
        <v>42.16</v>
      </c>
      <c r="FS59" t="s">
        <v>515</v>
      </c>
      <c r="FU59">
        <f>63*FQ59/100</f>
        <v>26.5608</v>
      </c>
      <c r="GH59" t="s">
        <v>492</v>
      </c>
      <c r="GI59">
        <v>73.41</v>
      </c>
      <c r="GL59" t="s">
        <v>492</v>
      </c>
      <c r="GM59">
        <f>63*GI59/100</f>
        <v>46.2483</v>
      </c>
      <c r="GQ59">
        <v>47.859099999999998</v>
      </c>
      <c r="GT59" s="8">
        <v>49.587800000000001</v>
      </c>
      <c r="GV59">
        <v>117.336</v>
      </c>
      <c r="GW59" s="1">
        <f>AVERAGE(GW56:GW58)</f>
        <v>49.953400000000002</v>
      </c>
      <c r="GZ59" t="s">
        <v>520</v>
      </c>
      <c r="HB59">
        <v>26.29</v>
      </c>
      <c r="HD59" t="s">
        <v>520</v>
      </c>
      <c r="HF59">
        <f>63*Supplementary_Fig7!HB59/100</f>
        <v>16.5627</v>
      </c>
      <c r="HJ59">
        <v>33.184100000000001</v>
      </c>
      <c r="HK59">
        <v>41.910400000000003</v>
      </c>
      <c r="HL59">
        <v>52.243699999999997</v>
      </c>
      <c r="HM59">
        <v>50.588000000000001</v>
      </c>
      <c r="HN59">
        <v>28.4297</v>
      </c>
      <c r="HO59" s="8">
        <v>27.136299999999999</v>
      </c>
      <c r="HV59" t="s">
        <v>512</v>
      </c>
      <c r="HW59">
        <v>95.21</v>
      </c>
      <c r="HZ59" t="s">
        <v>476</v>
      </c>
      <c r="IA59" t="s">
        <v>479</v>
      </c>
      <c r="IB59" t="s">
        <v>482</v>
      </c>
      <c r="IC59" t="s">
        <v>485</v>
      </c>
      <c r="ID59" t="s">
        <v>488</v>
      </c>
      <c r="IE59" t="s">
        <v>491</v>
      </c>
      <c r="IF59" t="s">
        <v>494</v>
      </c>
      <c r="IG59" t="s">
        <v>740</v>
      </c>
      <c r="IH59" t="s">
        <v>497</v>
      </c>
      <c r="II59" t="s">
        <v>500</v>
      </c>
      <c r="IJ59" t="s">
        <v>503</v>
      </c>
      <c r="IK59" t="s">
        <v>506</v>
      </c>
      <c r="IL59" t="s">
        <v>509</v>
      </c>
      <c r="IM59" t="s">
        <v>512</v>
      </c>
      <c r="IN59" t="s">
        <v>515</v>
      </c>
      <c r="IO59" t="s">
        <v>518</v>
      </c>
      <c r="IP59" t="s">
        <v>521</v>
      </c>
      <c r="IQ59" t="s">
        <v>525</v>
      </c>
      <c r="IR59" t="s">
        <v>529</v>
      </c>
      <c r="IS59" t="s">
        <v>533</v>
      </c>
      <c r="IX59" t="s">
        <v>492</v>
      </c>
      <c r="IY59">
        <v>99.57</v>
      </c>
      <c r="JV59" t="s">
        <v>520</v>
      </c>
      <c r="JW59">
        <v>119.28</v>
      </c>
      <c r="JZ59">
        <v>110.61199999999999</v>
      </c>
      <c r="KA59">
        <v>73.174999999999997</v>
      </c>
      <c r="KB59">
        <v>130.02500000000001</v>
      </c>
      <c r="KC59">
        <v>129.30799999999999</v>
      </c>
      <c r="KD59">
        <v>121.68300000000001</v>
      </c>
      <c r="KE59">
        <v>97.190899999999999</v>
      </c>
      <c r="KF59">
        <v>107.20099999999999</v>
      </c>
      <c r="KG59">
        <v>106.381</v>
      </c>
      <c r="KH59">
        <v>100.351</v>
      </c>
      <c r="KI59">
        <v>118.89</v>
      </c>
      <c r="KJ59">
        <v>118.236</v>
      </c>
      <c r="KK59">
        <v>114.473</v>
      </c>
      <c r="KT59" t="s">
        <v>512</v>
      </c>
      <c r="KU59">
        <v>2.66</v>
      </c>
      <c r="KY59">
        <v>4.6950399999999997</v>
      </c>
      <c r="KZ59">
        <v>2.6345000000000001</v>
      </c>
      <c r="LA59">
        <v>2.4919500000000001</v>
      </c>
      <c r="LB59">
        <v>2.0151300000000001</v>
      </c>
      <c r="LC59">
        <v>2.98685</v>
      </c>
      <c r="LD59">
        <v>2.2912499999999998</v>
      </c>
      <c r="LE59">
        <v>2.7932999999999999</v>
      </c>
      <c r="LF59">
        <v>2.5129800000000002</v>
      </c>
      <c r="LG59">
        <v>1.9592400000000001</v>
      </c>
      <c r="LH59">
        <v>2.06406</v>
      </c>
      <c r="LI59">
        <v>2.3705799999999999</v>
      </c>
      <c r="LJ59">
        <v>1.99617</v>
      </c>
      <c r="LK59">
        <v>2.61456</v>
      </c>
      <c r="LL59">
        <v>1.9065799999999999</v>
      </c>
      <c r="LM59">
        <v>2.1914899999999999</v>
      </c>
      <c r="LN59">
        <v>2.03207</v>
      </c>
      <c r="LO59">
        <v>1.8349599999999999</v>
      </c>
      <c r="LP59">
        <v>1.7694000000000001</v>
      </c>
      <c r="LQ59">
        <v>1.88801</v>
      </c>
      <c r="LR59">
        <v>1.6898899999999999</v>
      </c>
      <c r="LS59">
        <v>2.0251000000000001</v>
      </c>
      <c r="LW59" t="s">
        <v>492</v>
      </c>
      <c r="LX59">
        <v>1.81</v>
      </c>
      <c r="MB59">
        <v>1.60256</v>
      </c>
      <c r="MC59">
        <v>1.6083799999999999</v>
      </c>
      <c r="MD59">
        <v>1.8147800000000001</v>
      </c>
      <c r="ME59">
        <v>1.6443399999999999</v>
      </c>
      <c r="MF59">
        <v>1.75373</v>
      </c>
      <c r="MG59">
        <v>1.73072</v>
      </c>
      <c r="MH59">
        <v>1.87947</v>
      </c>
      <c r="MI59">
        <v>1.6531</v>
      </c>
      <c r="MJ59">
        <v>1.4661999999999999</v>
      </c>
      <c r="MK59">
        <v>1.75709</v>
      </c>
      <c r="ML59">
        <v>1.5168200000000001</v>
      </c>
      <c r="MZ59" t="s">
        <v>520</v>
      </c>
      <c r="NA59">
        <v>1.49</v>
      </c>
      <c r="ND59">
        <v>1.48105</v>
      </c>
      <c r="NE59">
        <v>1.48044</v>
      </c>
      <c r="NF59">
        <v>1.2274499999999999</v>
      </c>
      <c r="NG59">
        <v>1.2921</v>
      </c>
      <c r="NH59">
        <v>1.51606</v>
      </c>
      <c r="NI59">
        <v>1.1736899999999999</v>
      </c>
      <c r="NJ59">
        <v>1.58005</v>
      </c>
      <c r="NK59">
        <v>1.41543</v>
      </c>
      <c r="NL59">
        <v>1.4218299999999999</v>
      </c>
      <c r="NM59">
        <v>1.5175399999999999</v>
      </c>
      <c r="NN59">
        <v>1.4344600000000001</v>
      </c>
      <c r="NO59">
        <v>1.6588099999999999</v>
      </c>
      <c r="NP59">
        <v>1.4381900000000001</v>
      </c>
      <c r="NQ59">
        <v>1.47258</v>
      </c>
      <c r="NS59">
        <v>1.5921700000000001</v>
      </c>
      <c r="NT59">
        <v>1.47254</v>
      </c>
      <c r="NZ59" t="s">
        <v>518</v>
      </c>
      <c r="OA59">
        <v>230.46397400000001</v>
      </c>
      <c r="OC59" t="s">
        <v>492</v>
      </c>
      <c r="OD59">
        <v>234.71600000000001</v>
      </c>
      <c r="OF59" t="s">
        <v>520</v>
      </c>
      <c r="OG59">
        <v>273.50400000000002</v>
      </c>
      <c r="OI59">
        <v>1109232</v>
      </c>
      <c r="OJ59">
        <v>6</v>
      </c>
      <c r="OK59">
        <v>0</v>
      </c>
      <c r="OL59">
        <v>7.83</v>
      </c>
      <c r="OM59">
        <v>-88.29</v>
      </c>
      <c r="OT59">
        <v>8.2200000000000006</v>
      </c>
      <c r="OU59">
        <v>-99.04</v>
      </c>
      <c r="PD59">
        <v>-95.25</v>
      </c>
      <c r="PE59">
        <v>3.77</v>
      </c>
      <c r="QC59">
        <v>-93.78</v>
      </c>
      <c r="QD59">
        <v>3.84</v>
      </c>
      <c r="QF59">
        <v>10823</v>
      </c>
      <c r="QG59">
        <v>6</v>
      </c>
      <c r="QH59">
        <v>0</v>
      </c>
      <c r="RA59">
        <v>-84.81</v>
      </c>
      <c r="RB59">
        <v>7.56</v>
      </c>
    </row>
    <row r="60" spans="130:470" ht="13.15" x14ac:dyDescent="0.4">
      <c r="DZ60">
        <v>140923</v>
      </c>
      <c r="EA60">
        <v>8</v>
      </c>
      <c r="EB60">
        <v>0</v>
      </c>
      <c r="ED60">
        <v>1</v>
      </c>
      <c r="EF60">
        <v>1</v>
      </c>
      <c r="EG60">
        <v>1</v>
      </c>
      <c r="EH60">
        <v>1</v>
      </c>
      <c r="EJ60">
        <v>1</v>
      </c>
      <c r="EK60">
        <f t="shared" si="11"/>
        <v>5</v>
      </c>
      <c r="FA60">
        <v>30823</v>
      </c>
      <c r="FB60">
        <v>8</v>
      </c>
      <c r="FC60">
        <v>0</v>
      </c>
      <c r="FE60">
        <v>1</v>
      </c>
      <c r="FL60">
        <f>SUM(Supplementary_Fig7!FD60:FK60)</f>
        <v>1</v>
      </c>
      <c r="FO60" t="s">
        <v>518</v>
      </c>
      <c r="FQ60">
        <v>60.34</v>
      </c>
      <c r="FS60" t="s">
        <v>518</v>
      </c>
      <c r="FU60">
        <f>63*FQ60/100</f>
        <v>38.014200000000002</v>
      </c>
      <c r="FW60" t="s">
        <v>537</v>
      </c>
      <c r="FX60" t="s">
        <v>541</v>
      </c>
      <c r="FY60" t="s">
        <v>545</v>
      </c>
      <c r="FZ60" t="s">
        <v>549</v>
      </c>
      <c r="GA60" t="s">
        <v>553</v>
      </c>
      <c r="GB60" t="s">
        <v>557</v>
      </c>
      <c r="GC60" t="s">
        <v>561</v>
      </c>
      <c r="GD60" t="s">
        <v>565</v>
      </c>
      <c r="GH60" t="s">
        <v>495</v>
      </c>
      <c r="GJ60">
        <v>78.13</v>
      </c>
      <c r="GL60" t="s">
        <v>495</v>
      </c>
      <c r="GN60">
        <f>63*GJ60/100</f>
        <v>49.221899999999998</v>
      </c>
      <c r="GQ60" s="1">
        <f t="shared" ref="GQ60:GV60" si="17">AVERAGE(GQ56:GQ59)</f>
        <v>57.016149999999996</v>
      </c>
      <c r="GR60" s="1">
        <f t="shared" si="17"/>
        <v>100.01885</v>
      </c>
      <c r="GS60" s="1">
        <f t="shared" si="17"/>
        <v>160.8006</v>
      </c>
      <c r="GT60" s="1">
        <f t="shared" si="17"/>
        <v>54.351700000000008</v>
      </c>
      <c r="GU60" s="1">
        <f t="shared" si="17"/>
        <v>73.418299999999988</v>
      </c>
      <c r="GV60" s="1">
        <f t="shared" si="17"/>
        <v>78.136174999999994</v>
      </c>
      <c r="GZ60" t="s">
        <v>523</v>
      </c>
      <c r="HB60">
        <v>25.37</v>
      </c>
      <c r="HD60" t="s">
        <v>523</v>
      </c>
      <c r="HF60">
        <f>63*Supplementary_Fig7!HB60/100</f>
        <v>15.983100000000002</v>
      </c>
      <c r="HJ60" s="1">
        <f>AVERAGE(Supplementary_Fig7!HJ56:HJ59)</f>
        <v>31.116875</v>
      </c>
      <c r="HK60" s="1">
        <f>AVERAGE(Supplementary_Fig7!HK56:HK59)</f>
        <v>43.982450000000007</v>
      </c>
      <c r="HL60" s="1">
        <f>AVERAGE(Supplementary_Fig7!HL56:HL59)</f>
        <v>53.986274999999992</v>
      </c>
      <c r="HM60" s="1">
        <f>AVERAGE(Supplementary_Fig7!HM56:HM59)</f>
        <v>55.797099999999993</v>
      </c>
      <c r="HN60" s="1">
        <f>AVERAGE(Supplementary_Fig7!HN56:HN59)</f>
        <v>26.298674999999999</v>
      </c>
      <c r="HO60" s="1">
        <f>AVERAGE(Supplementary_Fig7!HO56:HO59)</f>
        <v>25.3703</v>
      </c>
      <c r="HV60" t="s">
        <v>515</v>
      </c>
      <c r="HW60">
        <v>75</v>
      </c>
      <c r="HZ60">
        <v>86.796599999999998</v>
      </c>
      <c r="IA60">
        <v>88.771100000000004</v>
      </c>
      <c r="IB60">
        <v>74.510199999999998</v>
      </c>
      <c r="IC60">
        <v>80.561800000000005</v>
      </c>
      <c r="ID60">
        <v>68.139600000000002</v>
      </c>
      <c r="IE60">
        <v>92.3309</v>
      </c>
      <c r="IF60">
        <v>87.818899999999999</v>
      </c>
      <c r="IG60">
        <v>68.148799999999994</v>
      </c>
      <c r="IH60">
        <v>78.681899999999999</v>
      </c>
      <c r="II60">
        <v>65.324399999999997</v>
      </c>
      <c r="IJ60">
        <v>80.206299999999999</v>
      </c>
      <c r="IK60">
        <v>71.485900000000001</v>
      </c>
      <c r="IL60">
        <v>79.361000000000004</v>
      </c>
      <c r="IM60">
        <v>70.573400000000007</v>
      </c>
      <c r="IN60">
        <v>71.060199999999995</v>
      </c>
      <c r="IO60">
        <v>87.109399999999994</v>
      </c>
      <c r="IP60">
        <v>80.815100000000001</v>
      </c>
      <c r="IQ60">
        <v>87.828100000000006</v>
      </c>
      <c r="IR60">
        <v>93.255600000000001</v>
      </c>
      <c r="IS60">
        <v>77.090500000000006</v>
      </c>
      <c r="IX60" t="s">
        <v>495</v>
      </c>
      <c r="IY60">
        <v>103.42</v>
      </c>
      <c r="JB60" t="s">
        <v>462</v>
      </c>
      <c r="JC60" t="s">
        <v>465</v>
      </c>
      <c r="JD60" t="s">
        <v>468</v>
      </c>
      <c r="JE60" t="s">
        <v>471</v>
      </c>
      <c r="JF60" t="s">
        <v>474</v>
      </c>
      <c r="JG60" t="s">
        <v>477</v>
      </c>
      <c r="JH60" t="s">
        <v>480</v>
      </c>
      <c r="JI60" t="s">
        <v>483</v>
      </c>
      <c r="JJ60" t="s">
        <v>486</v>
      </c>
      <c r="JK60" t="s">
        <v>489</v>
      </c>
      <c r="JL60" t="s">
        <v>492</v>
      </c>
      <c r="JM60" t="s">
        <v>495</v>
      </c>
      <c r="JN60" t="s">
        <v>498</v>
      </c>
      <c r="JO60" t="s">
        <v>501</v>
      </c>
      <c r="JP60" t="s">
        <v>504</v>
      </c>
      <c r="JQ60" t="s">
        <v>1063</v>
      </c>
      <c r="JR60" t="s">
        <v>507</v>
      </c>
      <c r="JS60" t="s">
        <v>510</v>
      </c>
      <c r="JV60" t="s">
        <v>523</v>
      </c>
      <c r="JW60">
        <v>100.06</v>
      </c>
      <c r="JZ60">
        <v>112.69199999999999</v>
      </c>
      <c r="KA60">
        <v>103.122</v>
      </c>
      <c r="KB60">
        <v>129.54599999999999</v>
      </c>
      <c r="KC60">
        <v>132.797</v>
      </c>
      <c r="KD60">
        <v>122.923</v>
      </c>
      <c r="KE60">
        <v>97.923299999999998</v>
      </c>
      <c r="KF60">
        <v>108.04</v>
      </c>
      <c r="KG60">
        <v>106.682</v>
      </c>
      <c r="KH60">
        <v>101.48</v>
      </c>
      <c r="KI60">
        <v>120.20399999999999</v>
      </c>
      <c r="KJ60">
        <v>117.07299999999999</v>
      </c>
      <c r="KK60">
        <v>114.877</v>
      </c>
      <c r="KT60" t="s">
        <v>515</v>
      </c>
      <c r="KU60">
        <v>2.2799999999999998</v>
      </c>
      <c r="KY60">
        <v>4.24519</v>
      </c>
      <c r="KZ60">
        <v>2.2919</v>
      </c>
      <c r="LA60">
        <v>2.2767900000000001</v>
      </c>
      <c r="LB60">
        <v>1.98641</v>
      </c>
      <c r="LC60">
        <v>2.8419400000000001</v>
      </c>
      <c r="LD60">
        <v>2.2004600000000001</v>
      </c>
      <c r="LE60">
        <v>2.8282500000000002</v>
      </c>
      <c r="LF60">
        <v>2.4138199999999999</v>
      </c>
      <c r="LG60">
        <v>1.9768399999999999</v>
      </c>
      <c r="LH60">
        <v>1.9839599999999999</v>
      </c>
      <c r="LI60">
        <v>2.18397</v>
      </c>
      <c r="LJ60">
        <v>1.9661999999999999</v>
      </c>
      <c r="LK60">
        <v>2.5715400000000002</v>
      </c>
      <c r="LL60">
        <v>1.93527</v>
      </c>
      <c r="LM60">
        <v>2.08236</v>
      </c>
      <c r="LN60">
        <v>2.0233099999999999</v>
      </c>
      <c r="LO60">
        <v>1.68946</v>
      </c>
      <c r="LP60">
        <v>1.6189199999999999</v>
      </c>
      <c r="LQ60">
        <v>1.75335</v>
      </c>
      <c r="LR60">
        <v>1.7599800000000001</v>
      </c>
      <c r="LS60">
        <v>2.03348</v>
      </c>
      <c r="LW60" t="s">
        <v>495</v>
      </c>
      <c r="LX60">
        <v>1.56</v>
      </c>
      <c r="MB60">
        <v>1.5842799999999999</v>
      </c>
      <c r="MC60">
        <v>1.6311100000000001</v>
      </c>
      <c r="MD60">
        <v>1.8141799999999999</v>
      </c>
      <c r="ME60">
        <v>1.67784</v>
      </c>
      <c r="MF60">
        <v>1.7583800000000001</v>
      </c>
      <c r="MG60">
        <v>1.7379800000000001</v>
      </c>
      <c r="MH60">
        <v>1.89849</v>
      </c>
      <c r="MI60">
        <v>1.7473099999999999</v>
      </c>
      <c r="MJ60">
        <v>1.4712499999999999</v>
      </c>
      <c r="MK60">
        <v>1.69885</v>
      </c>
      <c r="ML60">
        <v>1.5000199999999999</v>
      </c>
      <c r="MZ60" t="s">
        <v>523</v>
      </c>
      <c r="NA60">
        <v>1.18</v>
      </c>
      <c r="ND60">
        <v>1.4871700000000001</v>
      </c>
      <c r="NE60">
        <f>AVERAGE(Supplementary_Fig7!NE56:NE59)</f>
        <v>1.451505</v>
      </c>
      <c r="NF60">
        <f>AVERAGE(Supplementary_Fig7!NF56:NF59)</f>
        <v>1.20259</v>
      </c>
      <c r="NG60">
        <v>1.3123400000000001</v>
      </c>
      <c r="NH60">
        <v>1.4847300000000001</v>
      </c>
      <c r="NI60">
        <v>1.15906</v>
      </c>
      <c r="NJ60">
        <v>1.6203700000000001</v>
      </c>
      <c r="NK60">
        <v>1.4466000000000001</v>
      </c>
      <c r="NL60">
        <v>1.41943</v>
      </c>
      <c r="NM60">
        <v>1.5529900000000001</v>
      </c>
      <c r="NN60">
        <v>1.47302</v>
      </c>
      <c r="NO60">
        <v>1.6315999999999999</v>
      </c>
      <c r="NP60">
        <v>1.4607000000000001</v>
      </c>
      <c r="NQ60">
        <v>1.4681299999999999</v>
      </c>
      <c r="NS60">
        <v>1.5668800000000001</v>
      </c>
      <c r="NT60">
        <v>1.49336</v>
      </c>
      <c r="NZ60" t="s">
        <v>521</v>
      </c>
      <c r="OA60">
        <v>166.56497200000001</v>
      </c>
      <c r="OC60" t="s">
        <v>495</v>
      </c>
      <c r="OD60">
        <v>327.76100000000002</v>
      </c>
      <c r="OF60" t="s">
        <v>523</v>
      </c>
      <c r="OG60">
        <v>389.62099999999998</v>
      </c>
      <c r="OI60">
        <v>140923</v>
      </c>
      <c r="OJ60">
        <v>8</v>
      </c>
      <c r="OK60">
        <v>0</v>
      </c>
      <c r="OL60">
        <v>3.73</v>
      </c>
      <c r="OM60">
        <v>-88.56</v>
      </c>
      <c r="ON60">
        <v>3.92</v>
      </c>
      <c r="OO60">
        <v>95.71</v>
      </c>
      <c r="OP60">
        <v>9.91</v>
      </c>
      <c r="OQ60">
        <v>-100</v>
      </c>
      <c r="OR60">
        <v>1.8</v>
      </c>
      <c r="OS60">
        <v>-84.44</v>
      </c>
      <c r="OX60">
        <v>7.83</v>
      </c>
      <c r="OY60">
        <v>-93.93</v>
      </c>
      <c r="PD60">
        <v>-95.44</v>
      </c>
      <c r="PE60">
        <v>8.89</v>
      </c>
      <c r="QC60">
        <v>-93.78</v>
      </c>
      <c r="QD60">
        <v>3.85</v>
      </c>
      <c r="QF60">
        <v>30823</v>
      </c>
      <c r="QG60">
        <v>8</v>
      </c>
      <c r="QH60">
        <v>0</v>
      </c>
      <c r="RA60">
        <v>-84.87</v>
      </c>
      <c r="RB60">
        <v>3.69</v>
      </c>
    </row>
    <row r="61" spans="130:470" x14ac:dyDescent="0.35">
      <c r="DZ61">
        <v>150923</v>
      </c>
      <c r="EA61">
        <v>7</v>
      </c>
      <c r="EB61">
        <v>0</v>
      </c>
      <c r="ED61">
        <v>1</v>
      </c>
      <c r="EH61">
        <v>1</v>
      </c>
      <c r="EJ61">
        <v>1</v>
      </c>
      <c r="EK61">
        <f t="shared" si="11"/>
        <v>3</v>
      </c>
      <c r="FA61">
        <v>131223</v>
      </c>
      <c r="FB61">
        <v>8</v>
      </c>
      <c r="FC61">
        <v>0</v>
      </c>
      <c r="FL61">
        <f>SUM(Supplementary_Fig7!FD61:FK61)</f>
        <v>0</v>
      </c>
      <c r="FO61" t="s">
        <v>521</v>
      </c>
      <c r="FQ61">
        <v>58.17</v>
      </c>
      <c r="FS61" t="s">
        <v>521</v>
      </c>
      <c r="FU61">
        <f>63*FQ61/100</f>
        <v>36.647100000000002</v>
      </c>
      <c r="FW61">
        <v>59.393999999999998</v>
      </c>
      <c r="FX61">
        <v>105.074</v>
      </c>
      <c r="FY61">
        <v>58.779400000000003</v>
      </c>
      <c r="FZ61">
        <v>68.954300000000003</v>
      </c>
      <c r="GA61">
        <v>40.872999999999998</v>
      </c>
      <c r="GB61">
        <v>104.646</v>
      </c>
      <c r="GC61">
        <v>105.039</v>
      </c>
      <c r="GD61">
        <v>94.449299999999994</v>
      </c>
      <c r="GH61" t="s">
        <v>498</v>
      </c>
      <c r="GJ61">
        <v>49.95</v>
      </c>
      <c r="GL61" t="s">
        <v>498</v>
      </c>
      <c r="GN61">
        <f>63*GJ61/100</f>
        <v>31.468500000000002</v>
      </c>
      <c r="GZ61" t="s">
        <v>527</v>
      </c>
      <c r="HB61">
        <v>32.659999999999997</v>
      </c>
      <c r="HD61" t="s">
        <v>527</v>
      </c>
      <c r="HF61">
        <f>63*Supplementary_Fig7!HB61/100</f>
        <v>20.575800000000001</v>
      </c>
      <c r="HV61" t="s">
        <v>518</v>
      </c>
      <c r="HW61">
        <v>91.12</v>
      </c>
      <c r="HZ61">
        <v>86.230500000000006</v>
      </c>
      <c r="IA61">
        <v>86.271699999999996</v>
      </c>
      <c r="IB61">
        <v>73.101799999999997</v>
      </c>
      <c r="IC61">
        <v>78.643799999999999</v>
      </c>
      <c r="ID61">
        <v>66.98</v>
      </c>
      <c r="IE61">
        <v>92.906199999999998</v>
      </c>
      <c r="IF61">
        <v>85.311899999999994</v>
      </c>
      <c r="IG61">
        <v>70.034800000000004</v>
      </c>
      <c r="IH61">
        <v>81.662000000000006</v>
      </c>
      <c r="II61">
        <v>71.9559</v>
      </c>
      <c r="IJ61">
        <v>78.244</v>
      </c>
      <c r="IK61">
        <v>69.538899999999998</v>
      </c>
      <c r="IL61">
        <v>79.922499999999999</v>
      </c>
      <c r="IM61">
        <v>68.6798</v>
      </c>
      <c r="IN61">
        <v>73.210099999999997</v>
      </c>
      <c r="IO61">
        <v>84.735100000000003</v>
      </c>
      <c r="IP61">
        <v>78.822299999999998</v>
      </c>
      <c r="IQ61">
        <v>86.203000000000003</v>
      </c>
      <c r="IR61">
        <v>92.640699999999995</v>
      </c>
      <c r="IS61">
        <v>73.773200000000003</v>
      </c>
      <c r="IX61" t="s">
        <v>498</v>
      </c>
      <c r="IY61">
        <v>98.47</v>
      </c>
      <c r="JB61">
        <v>100.069</v>
      </c>
      <c r="JC61">
        <v>87.158199999999994</v>
      </c>
      <c r="JD61">
        <v>127.48699999999999</v>
      </c>
      <c r="JE61">
        <v>96.002200000000002</v>
      </c>
      <c r="JF61">
        <v>96.435500000000005</v>
      </c>
      <c r="JG61">
        <v>103.691</v>
      </c>
      <c r="JH61">
        <v>84.097300000000004</v>
      </c>
      <c r="JI61">
        <v>103.05</v>
      </c>
      <c r="JJ61">
        <v>88.813800000000001</v>
      </c>
      <c r="JK61">
        <v>89.260900000000007</v>
      </c>
      <c r="JL61">
        <v>87.373400000000004</v>
      </c>
      <c r="JM61">
        <v>99.217200000000005</v>
      </c>
      <c r="JN61">
        <v>93.022199999999998</v>
      </c>
      <c r="JO61">
        <v>100.627</v>
      </c>
      <c r="JP61">
        <v>102.098</v>
      </c>
      <c r="JQ61">
        <v>88.717699999999994</v>
      </c>
      <c r="JR61">
        <v>93.132000000000005</v>
      </c>
      <c r="JS61">
        <v>98.048400000000001</v>
      </c>
      <c r="JV61" t="s">
        <v>527</v>
      </c>
      <c r="JW61">
        <v>108.77</v>
      </c>
      <c r="JZ61">
        <v>113.48</v>
      </c>
      <c r="KA61">
        <f>AVERAGE(Supplementary_Fig7!KA57:KA60)</f>
        <v>95.898499999999999</v>
      </c>
      <c r="KB61">
        <f>AVERAGE(Supplementary_Fig7!KB57:KB60)</f>
        <v>119.16725000000001</v>
      </c>
      <c r="KC61">
        <v>130.63499999999999</v>
      </c>
      <c r="KD61">
        <v>123.857</v>
      </c>
      <c r="KE61">
        <v>99.195899999999995</v>
      </c>
      <c r="KF61">
        <v>108.449</v>
      </c>
      <c r="KG61">
        <v>102.16500000000001</v>
      </c>
      <c r="KH61">
        <v>100.607</v>
      </c>
      <c r="KI61">
        <v>119.095</v>
      </c>
      <c r="KJ61">
        <v>119.348</v>
      </c>
      <c r="KK61">
        <v>114.717</v>
      </c>
      <c r="KT61" t="s">
        <v>518</v>
      </c>
      <c r="KU61">
        <v>2.02</v>
      </c>
      <c r="KY61">
        <v>3.97526</v>
      </c>
      <c r="KZ61">
        <v>2.2962899999999999</v>
      </c>
      <c r="LA61">
        <v>2.2325699999999999</v>
      </c>
      <c r="LB61">
        <v>2.0003700000000002</v>
      </c>
      <c r="LC61">
        <v>2.9123199999999998</v>
      </c>
      <c r="LD61">
        <v>2.2126199999999998</v>
      </c>
      <c r="LE61">
        <v>2.7612100000000002</v>
      </c>
      <c r="LF61">
        <v>2.2042899999999999</v>
      </c>
      <c r="LG61">
        <v>1.98519</v>
      </c>
      <c r="LH61">
        <v>1.9782999999999999</v>
      </c>
      <c r="LI61">
        <v>2.0912600000000001</v>
      </c>
      <c r="LJ61">
        <v>1.9106799999999999</v>
      </c>
      <c r="LK61">
        <v>2.5771199999999999</v>
      </c>
      <c r="LL61">
        <v>1.9146700000000001</v>
      </c>
      <c r="LM61">
        <v>2.02318</v>
      </c>
      <c r="LN61">
        <v>2.0051600000000001</v>
      </c>
      <c r="LO61">
        <v>1.6543300000000001</v>
      </c>
      <c r="LP61">
        <v>1.6002099999999999</v>
      </c>
      <c r="LQ61">
        <v>1.79396</v>
      </c>
      <c r="LR61">
        <v>1.7168600000000001</v>
      </c>
      <c r="LS61">
        <v>2.0492499999999998</v>
      </c>
      <c r="LW61" t="s">
        <v>498</v>
      </c>
      <c r="LX61">
        <v>1.29</v>
      </c>
      <c r="MB61">
        <v>1.6041700000000001</v>
      </c>
      <c r="MC61">
        <v>1.56541</v>
      </c>
      <c r="MD61">
        <v>1.7822100000000001</v>
      </c>
      <c r="ME61">
        <v>1.6977599999999999</v>
      </c>
      <c r="MF61">
        <v>1.7281899999999999</v>
      </c>
      <c r="MG61">
        <v>1.7868999999999999</v>
      </c>
      <c r="MH61">
        <v>1.95706</v>
      </c>
      <c r="MI61">
        <v>1.76037</v>
      </c>
      <c r="MJ61">
        <v>1.4502299999999999</v>
      </c>
      <c r="MK61">
        <v>1.5669200000000001</v>
      </c>
      <c r="ML61">
        <v>1.52081</v>
      </c>
      <c r="MZ61" t="s">
        <v>527</v>
      </c>
      <c r="NA61">
        <v>1.63</v>
      </c>
      <c r="ND61">
        <v>1.4839500000000001</v>
      </c>
      <c r="NG61">
        <v>1.28732</v>
      </c>
      <c r="NH61">
        <v>1.4611499999999999</v>
      </c>
      <c r="NI61">
        <v>1.17923</v>
      </c>
      <c r="NJ61">
        <v>1.6349100000000001</v>
      </c>
      <c r="NK61">
        <v>1.4008100000000001</v>
      </c>
      <c r="NL61">
        <v>1.4208499999999999</v>
      </c>
      <c r="NM61">
        <v>1.53685</v>
      </c>
      <c r="NN61">
        <v>1.45133</v>
      </c>
      <c r="NO61">
        <v>1.6337200000000001</v>
      </c>
      <c r="NP61">
        <v>1.4226300000000001</v>
      </c>
      <c r="NQ61">
        <f>AVERAGE(Supplementary_Fig7!NQ56:NQ60)</f>
        <v>1.468996</v>
      </c>
      <c r="NS61">
        <v>1.6028199999999999</v>
      </c>
      <c r="NT61">
        <v>1.4021699999999999</v>
      </c>
      <c r="NZ61" t="s">
        <v>525</v>
      </c>
      <c r="OA61">
        <v>187.54579200000001</v>
      </c>
      <c r="OC61" t="s">
        <v>498</v>
      </c>
      <c r="OD61">
        <v>527.9</v>
      </c>
      <c r="OF61" t="s">
        <v>527</v>
      </c>
      <c r="OG61">
        <v>266.78899999999999</v>
      </c>
      <c r="OI61">
        <v>150923</v>
      </c>
      <c r="OJ61">
        <v>7</v>
      </c>
      <c r="OK61">
        <v>0</v>
      </c>
      <c r="PD61">
        <v>-95.53</v>
      </c>
      <c r="PE61">
        <v>5.51</v>
      </c>
      <c r="QB61">
        <v>3</v>
      </c>
      <c r="QC61">
        <v>-94.15</v>
      </c>
      <c r="QD61">
        <v>3.93</v>
      </c>
      <c r="QF61">
        <v>131223</v>
      </c>
      <c r="QG61">
        <v>8</v>
      </c>
      <c r="QH61">
        <v>0</v>
      </c>
      <c r="RA61">
        <v>-84.89</v>
      </c>
      <c r="RB61">
        <v>1.58</v>
      </c>
    </row>
    <row r="62" spans="130:470" x14ac:dyDescent="0.35">
      <c r="DZ62">
        <v>300124</v>
      </c>
      <c r="EA62">
        <v>8</v>
      </c>
      <c r="EB62">
        <v>0</v>
      </c>
      <c r="EE62">
        <v>1</v>
      </c>
      <c r="EF62">
        <v>1</v>
      </c>
      <c r="EG62">
        <v>1</v>
      </c>
      <c r="EJ62">
        <v>1</v>
      </c>
      <c r="EK62">
        <f t="shared" si="11"/>
        <v>4</v>
      </c>
      <c r="FA62">
        <v>141223</v>
      </c>
      <c r="FB62">
        <v>7</v>
      </c>
      <c r="FC62">
        <v>0</v>
      </c>
      <c r="FL62">
        <f>SUM(Supplementary_Fig7!FD62:FK62)</f>
        <v>0</v>
      </c>
      <c r="FO62" t="s">
        <v>525</v>
      </c>
      <c r="FS62" t="s">
        <v>525</v>
      </c>
      <c r="FW62">
        <v>50.306399999999996</v>
      </c>
      <c r="FX62">
        <v>72.990200000000002</v>
      </c>
      <c r="FY62">
        <v>50.533999999999999</v>
      </c>
      <c r="FZ62">
        <v>78.806399999999996</v>
      </c>
      <c r="GA62">
        <v>47.353999999999999</v>
      </c>
      <c r="GB62">
        <v>82.248599999999996</v>
      </c>
      <c r="GC62">
        <v>35.425899999999999</v>
      </c>
      <c r="GD62">
        <v>74.011899999999997</v>
      </c>
      <c r="GH62" t="s">
        <v>501</v>
      </c>
      <c r="GI62">
        <v>71.489999999999995</v>
      </c>
      <c r="GL62" t="s">
        <v>501</v>
      </c>
      <c r="GM62">
        <f>63*GI62/100</f>
        <v>45.038699999999999</v>
      </c>
      <c r="GZ62" t="s">
        <v>531</v>
      </c>
      <c r="HB62">
        <v>68.180000000000007</v>
      </c>
      <c r="HD62" t="s">
        <v>531</v>
      </c>
      <c r="HF62">
        <f>63*Supplementary_Fig7!HB62/100</f>
        <v>42.953400000000002</v>
      </c>
      <c r="HJ62" t="s">
        <v>527</v>
      </c>
      <c r="HK62" t="s">
        <v>531</v>
      </c>
      <c r="HL62" t="s">
        <v>535</v>
      </c>
      <c r="HM62" t="s">
        <v>539</v>
      </c>
      <c r="HN62" t="s">
        <v>543</v>
      </c>
      <c r="HO62" t="s">
        <v>547</v>
      </c>
      <c r="HV62" t="s">
        <v>521</v>
      </c>
      <c r="HW62">
        <v>79.27</v>
      </c>
      <c r="HZ62">
        <v>84.387200000000007</v>
      </c>
      <c r="IA62">
        <v>84.104900000000001</v>
      </c>
      <c r="IB62">
        <v>72.000100000000003</v>
      </c>
      <c r="IC62">
        <v>76.927199999999999</v>
      </c>
      <c r="ID62">
        <v>67.005899999999997</v>
      </c>
      <c r="IE62">
        <v>89.534000000000006</v>
      </c>
      <c r="IF62">
        <v>107.36499999999999</v>
      </c>
      <c r="IG62">
        <v>70.5017</v>
      </c>
      <c r="IH62">
        <v>79.495199999999997</v>
      </c>
      <c r="II62">
        <v>68.234300000000005</v>
      </c>
      <c r="IJ62">
        <v>77.560400000000001</v>
      </c>
      <c r="IK62">
        <v>68.328900000000004</v>
      </c>
      <c r="IL62">
        <v>78.248599999999996</v>
      </c>
      <c r="IM62">
        <v>98.942599999999999</v>
      </c>
      <c r="IN62">
        <v>74.243200000000002</v>
      </c>
      <c r="IO62">
        <v>84.697000000000003</v>
      </c>
      <c r="IP62">
        <v>79.164100000000005</v>
      </c>
      <c r="IQ62">
        <v>85.516400000000004</v>
      </c>
      <c r="IR62">
        <v>90.026899999999998</v>
      </c>
      <c r="IS62">
        <v>93.362399999999994</v>
      </c>
      <c r="IX62" t="s">
        <v>501</v>
      </c>
      <c r="IY62">
        <v>101.41</v>
      </c>
      <c r="JB62">
        <v>98.004199999999997</v>
      </c>
      <c r="JC62">
        <v>87.945599999999999</v>
      </c>
      <c r="JD62">
        <v>126.089</v>
      </c>
      <c r="JE62">
        <v>95.457499999999996</v>
      </c>
      <c r="JF62">
        <v>94.840999999999994</v>
      </c>
      <c r="JG62">
        <v>103.348</v>
      </c>
      <c r="JH62">
        <v>85.206599999999995</v>
      </c>
      <c r="JI62">
        <v>100.822</v>
      </c>
      <c r="JJ62">
        <v>90.045199999999994</v>
      </c>
      <c r="JK62">
        <v>88.638300000000001</v>
      </c>
      <c r="JL62">
        <v>86.468500000000006</v>
      </c>
      <c r="JM62">
        <v>98.5809</v>
      </c>
      <c r="JN62">
        <v>94.995099999999994</v>
      </c>
      <c r="JO62">
        <v>100.961</v>
      </c>
      <c r="JP62">
        <v>101.476</v>
      </c>
      <c r="JQ62">
        <v>87.838700000000003</v>
      </c>
      <c r="JR62">
        <v>93.543999999999997</v>
      </c>
      <c r="JS62">
        <v>100.441</v>
      </c>
      <c r="JV62" t="s">
        <v>531</v>
      </c>
      <c r="JW62">
        <v>106.85</v>
      </c>
      <c r="JZ62">
        <v>116.074</v>
      </c>
      <c r="KC62">
        <v>131</v>
      </c>
      <c r="KD62">
        <v>124.548</v>
      </c>
      <c r="KE62">
        <v>100.48099999999999</v>
      </c>
      <c r="KF62">
        <v>109.66</v>
      </c>
      <c r="KG62">
        <v>107.02500000000001</v>
      </c>
      <c r="KH62">
        <v>100.36199999999999</v>
      </c>
      <c r="KI62">
        <v>120.03</v>
      </c>
      <c r="KJ62">
        <v>121.82</v>
      </c>
      <c r="KK62">
        <v>113.533</v>
      </c>
      <c r="KT62" t="s">
        <v>521</v>
      </c>
      <c r="KU62">
        <v>2.0099999999999998</v>
      </c>
      <c r="KY62">
        <v>4.0155700000000003</v>
      </c>
      <c r="KZ62">
        <v>2.2175099999999999</v>
      </c>
      <c r="LA62">
        <v>2.3950399999999998</v>
      </c>
      <c r="LB62">
        <v>1.94031</v>
      </c>
      <c r="LC62">
        <v>3.1502400000000002</v>
      </c>
      <c r="LD62">
        <v>2.1950599999999998</v>
      </c>
      <c r="LE62">
        <v>2.74769</v>
      </c>
      <c r="LF62">
        <v>2.1703600000000001</v>
      </c>
      <c r="LG62">
        <v>1.99516</v>
      </c>
      <c r="LH62">
        <v>1.9954700000000001</v>
      </c>
      <c r="LI62">
        <v>2.0849500000000001</v>
      </c>
      <c r="LJ62">
        <v>1.8990800000000001</v>
      </c>
      <c r="LK62">
        <v>2.56942</v>
      </c>
      <c r="LL62">
        <v>1.88757</v>
      </c>
      <c r="LM62">
        <v>2.0223300000000002</v>
      </c>
      <c r="LN62">
        <v>1.9990000000000001</v>
      </c>
      <c r="LO62">
        <v>1.6466099999999999</v>
      </c>
      <c r="LP62">
        <v>1.6409199999999999</v>
      </c>
      <c r="LQ62">
        <v>1.77708</v>
      </c>
      <c r="LR62">
        <v>1.69912</v>
      </c>
      <c r="LS62">
        <v>2.0752999999999999</v>
      </c>
      <c r="LW62" t="s">
        <v>501</v>
      </c>
      <c r="LX62">
        <v>1.62</v>
      </c>
      <c r="MB62">
        <v>1.6124000000000001</v>
      </c>
      <c r="MC62">
        <v>1.5983400000000001</v>
      </c>
      <c r="MD62">
        <v>1.77617</v>
      </c>
      <c r="ME62">
        <v>1.62321</v>
      </c>
      <c r="MF62">
        <v>1.6255999999999999</v>
      </c>
      <c r="MG62">
        <v>1.68537</v>
      </c>
      <c r="MH62">
        <v>1.89537</v>
      </c>
      <c r="MI62">
        <v>1.7827900000000001</v>
      </c>
      <c r="MJ62">
        <v>1.4651799999999999</v>
      </c>
      <c r="MK62">
        <v>1.5855600000000001</v>
      </c>
      <c r="ML62">
        <v>1.52078</v>
      </c>
      <c r="MZ62" t="s">
        <v>531</v>
      </c>
      <c r="NA62">
        <v>1.41</v>
      </c>
      <c r="ND62">
        <v>1.4206300000000001</v>
      </c>
      <c r="NG62">
        <f>AVERAGE(Supplementary_Fig7!NG56:NG61)</f>
        <v>1.2894066666666666</v>
      </c>
      <c r="NH62">
        <v>1.5310900000000001</v>
      </c>
      <c r="NI62">
        <v>1.1613100000000001</v>
      </c>
      <c r="NJ62">
        <v>1.5775999999999999</v>
      </c>
      <c r="NK62">
        <v>1.41431</v>
      </c>
      <c r="NL62">
        <v>1.43093</v>
      </c>
      <c r="NM62">
        <v>1.5362800000000001</v>
      </c>
      <c r="NN62">
        <v>1.4568399999999999</v>
      </c>
      <c r="NO62">
        <v>1.64791</v>
      </c>
      <c r="NP62">
        <v>1.3987499999999999</v>
      </c>
      <c r="NS62">
        <v>1.58579</v>
      </c>
      <c r="NT62">
        <v>1.4371</v>
      </c>
      <c r="NZ62" t="s">
        <v>529</v>
      </c>
      <c r="OA62">
        <v>256.77699999999999</v>
      </c>
      <c r="OC62" t="s">
        <v>501</v>
      </c>
      <c r="OD62">
        <v>382.96699999999998</v>
      </c>
      <c r="OF62" t="s">
        <v>531</v>
      </c>
      <c r="OG62">
        <v>344.35599999999999</v>
      </c>
      <c r="OI62">
        <v>300124</v>
      </c>
      <c r="OJ62">
        <v>8</v>
      </c>
      <c r="OK62">
        <v>0</v>
      </c>
      <c r="PD62">
        <v>-95.7</v>
      </c>
      <c r="PE62">
        <v>6.55</v>
      </c>
      <c r="QC62">
        <v>-94.15</v>
      </c>
      <c r="QD62">
        <v>2.85</v>
      </c>
      <c r="QF62">
        <v>141223</v>
      </c>
      <c r="QG62">
        <v>7</v>
      </c>
      <c r="QH62">
        <v>0</v>
      </c>
      <c r="RA62">
        <v>-85.46</v>
      </c>
      <c r="RB62">
        <v>1.43</v>
      </c>
    </row>
    <row r="63" spans="130:470" x14ac:dyDescent="0.35">
      <c r="DZ63">
        <v>3001242</v>
      </c>
      <c r="EA63">
        <v>8</v>
      </c>
      <c r="EB63">
        <v>0</v>
      </c>
      <c r="ED63">
        <v>1</v>
      </c>
      <c r="EE63">
        <v>1</v>
      </c>
      <c r="EF63">
        <v>1</v>
      </c>
      <c r="EG63">
        <v>1</v>
      </c>
      <c r="EI63">
        <v>1</v>
      </c>
      <c r="EJ63">
        <v>1</v>
      </c>
      <c r="EK63">
        <f t="shared" si="11"/>
        <v>6</v>
      </c>
      <c r="FA63">
        <v>150124</v>
      </c>
      <c r="FB63">
        <v>6</v>
      </c>
      <c r="FC63">
        <v>0</v>
      </c>
      <c r="FL63">
        <f>SUM(Supplementary_Fig7!FD63:FK63)</f>
        <v>0</v>
      </c>
      <c r="FO63" t="s">
        <v>529</v>
      </c>
      <c r="FQ63">
        <v>77.81</v>
      </c>
      <c r="FS63" t="s">
        <v>529</v>
      </c>
      <c r="FU63">
        <f>63*FQ63/100</f>
        <v>49.020299999999999</v>
      </c>
      <c r="FW63">
        <v>63.116199999999999</v>
      </c>
      <c r="FZ63">
        <v>48.6004</v>
      </c>
      <c r="GA63">
        <v>66.046000000000006</v>
      </c>
      <c r="GC63">
        <v>90.368600000000001</v>
      </c>
      <c r="GH63" t="s">
        <v>504</v>
      </c>
      <c r="GI63">
        <v>100.89</v>
      </c>
      <c r="GL63" t="s">
        <v>504</v>
      </c>
      <c r="GM63">
        <f>63*GI63/100</f>
        <v>63.560699999999997</v>
      </c>
      <c r="GQ63" t="s">
        <v>501</v>
      </c>
      <c r="GR63" t="s">
        <v>504</v>
      </c>
      <c r="GS63" t="s">
        <v>1063</v>
      </c>
      <c r="GT63" t="s">
        <v>507</v>
      </c>
      <c r="GU63" t="s">
        <v>510</v>
      </c>
      <c r="GV63" t="s">
        <v>513</v>
      </c>
      <c r="GZ63" t="s">
        <v>535</v>
      </c>
      <c r="HB63">
        <v>32.92</v>
      </c>
      <c r="HD63" t="s">
        <v>535</v>
      </c>
      <c r="HF63">
        <f>63*Supplementary_Fig7!HB63/100</f>
        <v>20.739599999999999</v>
      </c>
      <c r="HJ63">
        <v>37.028799999999997</v>
      </c>
      <c r="HK63">
        <v>76.763800000000003</v>
      </c>
      <c r="HL63">
        <v>42.870399999999997</v>
      </c>
      <c r="HM63">
        <v>72.266000000000005</v>
      </c>
      <c r="HN63">
        <v>80.684299999999993</v>
      </c>
      <c r="HO63">
        <v>28.251200000000001</v>
      </c>
      <c r="HV63" t="s">
        <v>525</v>
      </c>
      <c r="HW63">
        <v>105.69</v>
      </c>
      <c r="HZ63">
        <v>83.976699999999994</v>
      </c>
      <c r="IA63">
        <v>84.985399999999998</v>
      </c>
      <c r="IB63">
        <v>73.4238</v>
      </c>
      <c r="IC63">
        <v>105.254</v>
      </c>
      <c r="ID63">
        <v>68.957499999999996</v>
      </c>
      <c r="IE63">
        <v>91.027799999999999</v>
      </c>
      <c r="IF63">
        <v>105.202</v>
      </c>
      <c r="IG63">
        <v>71.116600000000005</v>
      </c>
      <c r="IH63">
        <v>80.020099999999999</v>
      </c>
      <c r="II63">
        <v>68.211399999999998</v>
      </c>
      <c r="IJ63">
        <v>77.458200000000005</v>
      </c>
      <c r="IK63">
        <v>69.320700000000002</v>
      </c>
      <c r="IL63">
        <v>78.900099999999995</v>
      </c>
      <c r="IM63">
        <v>101.414</v>
      </c>
      <c r="IN63">
        <v>72.399900000000002</v>
      </c>
      <c r="IO63">
        <v>84.991500000000002</v>
      </c>
      <c r="IP63">
        <v>79.8309</v>
      </c>
      <c r="IQ63">
        <v>114.268</v>
      </c>
      <c r="IR63">
        <v>90.925600000000003</v>
      </c>
      <c r="IS63">
        <v>94.233699999999999</v>
      </c>
      <c r="IX63" t="s">
        <v>504</v>
      </c>
      <c r="IY63">
        <v>101.4</v>
      </c>
      <c r="JB63">
        <v>95.950299999999999</v>
      </c>
      <c r="JC63">
        <v>86.462400000000002</v>
      </c>
      <c r="JD63">
        <v>124.655</v>
      </c>
      <c r="JE63">
        <v>125.398</v>
      </c>
      <c r="JF63">
        <v>119.67</v>
      </c>
      <c r="JG63">
        <v>104.33499999999999</v>
      </c>
      <c r="JH63">
        <v>85.127300000000005</v>
      </c>
      <c r="JI63">
        <v>128.87100000000001</v>
      </c>
      <c r="JJ63">
        <v>87.884500000000003</v>
      </c>
      <c r="JK63">
        <v>88.565100000000001</v>
      </c>
      <c r="JL63">
        <v>88.081400000000002</v>
      </c>
      <c r="JM63">
        <v>100.015</v>
      </c>
      <c r="JN63">
        <v>91.996799999999993</v>
      </c>
      <c r="JO63">
        <v>97.958399999999997</v>
      </c>
      <c r="JP63">
        <v>101.90600000000001</v>
      </c>
      <c r="JQ63">
        <v>87.223799999999997</v>
      </c>
      <c r="JR63">
        <v>93.759200000000007</v>
      </c>
      <c r="JS63">
        <v>104.994</v>
      </c>
      <c r="JV63" t="s">
        <v>535</v>
      </c>
      <c r="JW63">
        <v>100.57</v>
      </c>
      <c r="JZ63">
        <v>109.084</v>
      </c>
      <c r="KC63">
        <f>AVERAGE(Supplementary_Fig7!KC57:KC62)</f>
        <v>125.99549999999999</v>
      </c>
      <c r="KD63">
        <v>121.69799999999999</v>
      </c>
      <c r="KE63">
        <v>94.490099999999998</v>
      </c>
      <c r="KF63">
        <v>108.264</v>
      </c>
      <c r="KG63">
        <v>106.601</v>
      </c>
      <c r="KH63">
        <v>101.651</v>
      </c>
      <c r="KI63">
        <v>120.854</v>
      </c>
      <c r="KJ63">
        <v>118.69799999999999</v>
      </c>
      <c r="KK63">
        <v>113.852</v>
      </c>
      <c r="KT63" t="s">
        <v>525</v>
      </c>
      <c r="KU63">
        <v>2.2000000000000002</v>
      </c>
      <c r="KY63">
        <v>3.9335399999999998</v>
      </c>
      <c r="KZ63">
        <v>2.0381800000000001</v>
      </c>
      <c r="LA63">
        <v>2.2372200000000002</v>
      </c>
      <c r="LB63">
        <v>1.8402099999999999</v>
      </c>
      <c r="LC63">
        <v>3.3706200000000002</v>
      </c>
      <c r="LD63">
        <v>2.23468</v>
      </c>
      <c r="LE63">
        <v>2.5426099999999998</v>
      </c>
      <c r="LF63">
        <v>2.1584099999999999</v>
      </c>
      <c r="LG63">
        <v>1.9737899999999999</v>
      </c>
      <c r="LH63">
        <v>1.98803</v>
      </c>
      <c r="LI63">
        <v>2.0927600000000002</v>
      </c>
      <c r="LJ63">
        <v>1.9271199999999999</v>
      </c>
      <c r="LK63">
        <v>2.4955699999999998</v>
      </c>
      <c r="LL63">
        <v>1.9279599999999999</v>
      </c>
      <c r="LM63">
        <v>2.02745</v>
      </c>
      <c r="LN63">
        <v>1.9565699999999999</v>
      </c>
      <c r="LO63">
        <v>1.64981</v>
      </c>
      <c r="LP63">
        <v>1.6264799999999999</v>
      </c>
      <c r="LQ63">
        <v>1.8092900000000001</v>
      </c>
      <c r="LR63">
        <v>1.7134199999999999</v>
      </c>
      <c r="LS63">
        <v>2.0512199999999998</v>
      </c>
      <c r="LW63" t="s">
        <v>504</v>
      </c>
      <c r="LX63">
        <v>1.619</v>
      </c>
      <c r="MB63">
        <v>1.6672100000000001</v>
      </c>
      <c r="MC63">
        <v>1.6318900000000001</v>
      </c>
      <c r="MD63">
        <v>1.8153699999999999</v>
      </c>
      <c r="ME63">
        <v>1.6795100000000001</v>
      </c>
      <c r="MF63">
        <v>1.63856</v>
      </c>
      <c r="MG63">
        <v>1.7412799999999999</v>
      </c>
      <c r="MH63">
        <v>1.9633499999999999</v>
      </c>
      <c r="MI63">
        <v>1.68946</v>
      </c>
      <c r="MJ63">
        <v>1.4701200000000001</v>
      </c>
      <c r="MK63">
        <v>1.6011200000000001</v>
      </c>
      <c r="ML63">
        <v>1.51528</v>
      </c>
      <c r="MZ63" t="s">
        <v>535</v>
      </c>
      <c r="NA63">
        <v>1.42</v>
      </c>
      <c r="ND63">
        <v>1.4263300000000001</v>
      </c>
      <c r="NH63">
        <v>1.5202500000000001</v>
      </c>
      <c r="NI63">
        <v>1.16568</v>
      </c>
      <c r="NJ63">
        <v>1.5844100000000001</v>
      </c>
      <c r="NK63">
        <v>1.40347</v>
      </c>
      <c r="NL63">
        <v>1.4346300000000001</v>
      </c>
      <c r="NM63">
        <v>1.54758</v>
      </c>
      <c r="NN63">
        <v>1.4528799999999999</v>
      </c>
      <c r="NO63">
        <v>1.68374</v>
      </c>
      <c r="NP63">
        <v>1.36558</v>
      </c>
      <c r="NS63">
        <v>1.5954999999999999</v>
      </c>
      <c r="NT63">
        <v>1.4696199999999999</v>
      </c>
      <c r="NZ63" t="s">
        <v>533</v>
      </c>
      <c r="OA63">
        <v>134.77699999999999</v>
      </c>
      <c r="OC63" t="s">
        <v>504</v>
      </c>
      <c r="OD63">
        <v>341.08699999999999</v>
      </c>
      <c r="OF63" t="s">
        <v>535</v>
      </c>
      <c r="OG63">
        <v>323.91699999999997</v>
      </c>
      <c r="OI63">
        <v>3001242</v>
      </c>
      <c r="OJ63">
        <v>8</v>
      </c>
      <c r="OK63">
        <v>0</v>
      </c>
      <c r="PD63">
        <v>-95.7</v>
      </c>
      <c r="PE63">
        <v>2.48</v>
      </c>
      <c r="QC63">
        <v>-94.19</v>
      </c>
      <c r="QD63">
        <v>3.5</v>
      </c>
      <c r="QF63">
        <v>150124</v>
      </c>
      <c r="QG63">
        <v>6</v>
      </c>
      <c r="QH63">
        <v>0</v>
      </c>
      <c r="RA63">
        <v>-85.76</v>
      </c>
      <c r="RB63">
        <v>1.66</v>
      </c>
    </row>
    <row r="64" spans="130:470" ht="13.15" x14ac:dyDescent="0.4">
      <c r="DZ64">
        <v>310124</v>
      </c>
      <c r="EA64">
        <v>8</v>
      </c>
      <c r="EB64">
        <v>0</v>
      </c>
      <c r="EC64">
        <v>1</v>
      </c>
      <c r="ED64">
        <v>1</v>
      </c>
      <c r="EE64">
        <v>1</v>
      </c>
      <c r="EG64">
        <v>1</v>
      </c>
      <c r="EH64">
        <v>1</v>
      </c>
      <c r="EK64">
        <f t="shared" si="11"/>
        <v>5</v>
      </c>
      <c r="FA64">
        <v>160124</v>
      </c>
      <c r="FB64">
        <v>8</v>
      </c>
      <c r="FC64">
        <v>0</v>
      </c>
      <c r="FG64">
        <v>1</v>
      </c>
      <c r="FL64">
        <f>SUM(Supplementary_Fig7!FD64:FK64)</f>
        <v>1</v>
      </c>
      <c r="FO64" t="s">
        <v>533</v>
      </c>
      <c r="FP64">
        <v>97.46</v>
      </c>
      <c r="FS64" t="s">
        <v>533</v>
      </c>
      <c r="FT64">
        <f>63*FP64/100</f>
        <v>61.399799999999999</v>
      </c>
      <c r="FZ64">
        <v>58.168700000000001</v>
      </c>
      <c r="GA64" s="1">
        <f>AVERAGE(Supplementary_Fig7!GA61:GA63)</f>
        <v>51.424333333333344</v>
      </c>
      <c r="GH64" t="s">
        <v>1063</v>
      </c>
      <c r="GJ64">
        <v>49.47</v>
      </c>
      <c r="GL64" t="s">
        <v>1063</v>
      </c>
      <c r="GN64">
        <f t="shared" ref="GN64:GN81" si="18">63*GJ64/100</f>
        <v>31.1661</v>
      </c>
      <c r="GQ64">
        <v>86.018000000000001</v>
      </c>
      <c r="GR64">
        <v>92.686199999999999</v>
      </c>
      <c r="GS64">
        <v>77.95</v>
      </c>
      <c r="GT64">
        <v>50.516399999999997</v>
      </c>
      <c r="GU64">
        <v>83.455299999999994</v>
      </c>
      <c r="GV64">
        <v>118.81699999999999</v>
      </c>
      <c r="GZ64" t="s">
        <v>539</v>
      </c>
      <c r="HB64">
        <v>75.86</v>
      </c>
      <c r="HD64" t="s">
        <v>539</v>
      </c>
      <c r="HF64">
        <f>63*Supplementary_Fig7!HB64/100</f>
        <v>47.791800000000002</v>
      </c>
      <c r="HJ64">
        <v>34.549100000000003</v>
      </c>
      <c r="HK64">
        <v>64.656099999999995</v>
      </c>
      <c r="HL64">
        <v>22.544699999999999</v>
      </c>
      <c r="HM64">
        <v>94.340199999999996</v>
      </c>
      <c r="HN64">
        <v>108.491</v>
      </c>
      <c r="HO64">
        <v>20.912400000000002</v>
      </c>
      <c r="HV64" t="s">
        <v>529</v>
      </c>
      <c r="HW64">
        <v>89.69</v>
      </c>
      <c r="HZ64">
        <v>85.230999999999995</v>
      </c>
      <c r="IA64">
        <v>82.572900000000004</v>
      </c>
      <c r="IB64">
        <v>72.824100000000001</v>
      </c>
      <c r="IC64">
        <v>106.947</v>
      </c>
      <c r="ID64">
        <v>64.866600000000005</v>
      </c>
      <c r="IE64">
        <v>89.224199999999996</v>
      </c>
      <c r="IF64">
        <v>109.29900000000001</v>
      </c>
      <c r="IG64">
        <v>70.138499999999993</v>
      </c>
      <c r="IH64">
        <v>97.633399999999995</v>
      </c>
      <c r="II64">
        <v>71.565200000000004</v>
      </c>
      <c r="IJ64">
        <v>77.151499999999999</v>
      </c>
      <c r="IK64">
        <v>67.051699999999997</v>
      </c>
      <c r="IL64">
        <v>96.868899999999996</v>
      </c>
      <c r="IM64">
        <v>102.477</v>
      </c>
      <c r="IN64">
        <v>73.005700000000004</v>
      </c>
      <c r="IO64">
        <v>85.006699999999995</v>
      </c>
      <c r="IP64">
        <v>80.216999999999999</v>
      </c>
      <c r="IQ64">
        <v>116.051</v>
      </c>
      <c r="IR64">
        <v>90.450999999999993</v>
      </c>
      <c r="IS64">
        <v>93.872100000000003</v>
      </c>
      <c r="IX64" t="s">
        <v>1063</v>
      </c>
      <c r="IY64">
        <v>88.27</v>
      </c>
      <c r="JB64">
        <v>95.854200000000006</v>
      </c>
      <c r="JC64">
        <v>105.458</v>
      </c>
      <c r="JD64">
        <v>126.41800000000001</v>
      </c>
      <c r="JE64">
        <v>123.792</v>
      </c>
      <c r="JF64">
        <v>119.46299999999999</v>
      </c>
      <c r="JG64">
        <v>104.24299999999999</v>
      </c>
      <c r="JH64">
        <v>84.545900000000003</v>
      </c>
      <c r="JI64">
        <v>131.017</v>
      </c>
      <c r="JJ64">
        <v>91.839600000000004</v>
      </c>
      <c r="JK64">
        <v>89.750699999999995</v>
      </c>
      <c r="JL64">
        <v>91.221599999999995</v>
      </c>
      <c r="JM64">
        <v>98.384100000000004</v>
      </c>
      <c r="JN64">
        <v>94.044499999999999</v>
      </c>
      <c r="JO64">
        <v>104.187</v>
      </c>
      <c r="JP64">
        <v>101.286</v>
      </c>
      <c r="JQ64">
        <v>87.525899999999993</v>
      </c>
      <c r="JR64">
        <v>93.566900000000004</v>
      </c>
      <c r="JS64">
        <v>105.452</v>
      </c>
      <c r="JV64" t="s">
        <v>539</v>
      </c>
      <c r="JW64">
        <v>120.01</v>
      </c>
      <c r="JZ64">
        <v>110.616</v>
      </c>
      <c r="KD64">
        <v>119.646</v>
      </c>
      <c r="KE64">
        <v>94.761700000000005</v>
      </c>
      <c r="KF64">
        <v>108.102</v>
      </c>
      <c r="KG64">
        <v>120.033</v>
      </c>
      <c r="KH64">
        <v>100.047</v>
      </c>
      <c r="KI64">
        <v>118.095</v>
      </c>
      <c r="KJ64">
        <v>119.279</v>
      </c>
      <c r="KK64">
        <v>113.602</v>
      </c>
      <c r="KT64" t="s">
        <v>529</v>
      </c>
      <c r="KU64">
        <v>1.93</v>
      </c>
      <c r="KY64">
        <v>3.8219099999999999</v>
      </c>
      <c r="KZ64">
        <v>2.0857600000000001</v>
      </c>
      <c r="LA64">
        <v>2.1995300000000002</v>
      </c>
      <c r="LB64">
        <v>1.93601</v>
      </c>
      <c r="LC64">
        <v>3.4317500000000001</v>
      </c>
      <c r="LD64">
        <v>2.25467</v>
      </c>
      <c r="LE64">
        <v>2.6165699999999998</v>
      </c>
      <c r="LF64">
        <v>2.15463</v>
      </c>
      <c r="LG64">
        <v>2.0379</v>
      </c>
      <c r="LH64">
        <v>2.0259399999999999</v>
      </c>
      <c r="LI64">
        <v>2.0952099999999998</v>
      </c>
      <c r="LJ64">
        <v>1.88357</v>
      </c>
      <c r="LK64">
        <v>2.5135399999999999</v>
      </c>
      <c r="LL64">
        <v>1.9131100000000001</v>
      </c>
      <c r="LM64">
        <v>1.97786</v>
      </c>
      <c r="LN64">
        <v>2.0350899999999998</v>
      </c>
      <c r="LO64">
        <v>1.65662</v>
      </c>
      <c r="LP64">
        <v>1.61259</v>
      </c>
      <c r="LQ64">
        <v>1.8214999999999999</v>
      </c>
      <c r="LR64">
        <v>1.69526</v>
      </c>
      <c r="LS64">
        <v>2.1461700000000001</v>
      </c>
      <c r="LW64" t="s">
        <v>1063</v>
      </c>
      <c r="LX64">
        <v>1.69</v>
      </c>
      <c r="MB64">
        <v>1.77685</v>
      </c>
      <c r="MC64">
        <v>1.6721600000000001</v>
      </c>
      <c r="MD64">
        <v>1.8859600000000001</v>
      </c>
      <c r="ME64">
        <v>1.63619</v>
      </c>
      <c r="MF64">
        <v>1.7690600000000001</v>
      </c>
      <c r="MG64">
        <v>1.6247499999999999</v>
      </c>
      <c r="MH64">
        <v>1.92187</v>
      </c>
      <c r="MI64">
        <v>1.58121</v>
      </c>
      <c r="MJ64">
        <v>1.48126</v>
      </c>
      <c r="MK64">
        <v>1.6052900000000001</v>
      </c>
      <c r="ML64">
        <v>1.5370600000000001</v>
      </c>
      <c r="MZ64" t="s">
        <v>539</v>
      </c>
      <c r="NA64">
        <v>1.52</v>
      </c>
      <c r="ND64">
        <v>1.45566</v>
      </c>
      <c r="NH64">
        <v>1.4710700000000001</v>
      </c>
      <c r="NI64">
        <v>1.2149700000000001</v>
      </c>
      <c r="NJ64">
        <v>1.6279999999999999</v>
      </c>
      <c r="NK64">
        <f>AVERAGE(Supplementary_Fig7!NK56:NK63)</f>
        <v>1.4163887500000001</v>
      </c>
      <c r="NL64">
        <v>1.43265</v>
      </c>
      <c r="NM64">
        <v>1.50779</v>
      </c>
      <c r="NN64">
        <f>AVERAGE(Supplementary_Fig7!NN56:NN63)</f>
        <v>1.45524875</v>
      </c>
      <c r="NO64">
        <v>1.62896</v>
      </c>
      <c r="NP64">
        <v>1.39337</v>
      </c>
      <c r="NS64">
        <f>AVERAGE(Supplementary_Fig7!NS58:NS63)</f>
        <v>1.5864116666666668</v>
      </c>
      <c r="NT64">
        <v>1.4374199999999999</v>
      </c>
      <c r="NZ64" t="s">
        <v>537</v>
      </c>
      <c r="OA64">
        <v>235.47</v>
      </c>
      <c r="OC64" t="s">
        <v>1063</v>
      </c>
      <c r="OD64">
        <v>217.084</v>
      </c>
      <c r="OF64" t="s">
        <v>539</v>
      </c>
      <c r="OG64">
        <v>341.27</v>
      </c>
      <c r="OI64">
        <v>310124</v>
      </c>
      <c r="OJ64">
        <v>8</v>
      </c>
      <c r="OK64">
        <v>0</v>
      </c>
      <c r="PD64">
        <v>-95.71</v>
      </c>
      <c r="PE64">
        <v>3.92</v>
      </c>
      <c r="QC64">
        <v>-94.25</v>
      </c>
      <c r="QD64">
        <v>3.84</v>
      </c>
      <c r="QF64">
        <v>160124</v>
      </c>
      <c r="QG64">
        <v>8</v>
      </c>
      <c r="QH64">
        <v>0</v>
      </c>
      <c r="RA64">
        <v>-85.89</v>
      </c>
      <c r="RB64">
        <v>3.36</v>
      </c>
    </row>
    <row r="65" spans="130:470" ht="13.15" x14ac:dyDescent="0.4">
      <c r="DZ65">
        <v>3101242</v>
      </c>
      <c r="EA65">
        <v>7</v>
      </c>
      <c r="EB65">
        <v>0</v>
      </c>
      <c r="EC65">
        <v>1</v>
      </c>
      <c r="EF65">
        <v>1</v>
      </c>
      <c r="EG65">
        <v>1</v>
      </c>
      <c r="EH65">
        <v>1</v>
      </c>
      <c r="EK65">
        <f t="shared" si="11"/>
        <v>4</v>
      </c>
      <c r="FA65">
        <v>1601242</v>
      </c>
      <c r="FB65">
        <v>5</v>
      </c>
      <c r="FC65">
        <v>0</v>
      </c>
      <c r="FL65">
        <f>SUM(Supplementary_Fig7!FD65:FK65)</f>
        <v>0</v>
      </c>
      <c r="FO65" t="s">
        <v>537</v>
      </c>
      <c r="FQ65">
        <v>57.6</v>
      </c>
      <c r="FS65" t="s">
        <v>537</v>
      </c>
      <c r="FU65">
        <f>63*FQ65/100</f>
        <v>36.288000000000004</v>
      </c>
      <c r="FW65" s="1">
        <f>AVERAGE(Supplementary_Fig7!FW61:FW64)</f>
        <v>57.605533333333334</v>
      </c>
      <c r="FX65" s="1">
        <f>AVERAGE(Supplementary_Fig7!FX61:FX64)</f>
        <v>89.0321</v>
      </c>
      <c r="FY65" s="1">
        <f>AVERAGE(Supplementary_Fig7!FY61:FY64)</f>
        <v>54.656700000000001</v>
      </c>
      <c r="FZ65" s="1">
        <f>AVERAGE(Supplementary_Fig7!FZ61:FZ64)</f>
        <v>63.632449999999999</v>
      </c>
      <c r="GB65" s="1">
        <f>AVERAGE(Supplementary_Fig7!GB61:GB64)</f>
        <v>93.447299999999998</v>
      </c>
      <c r="GC65" s="1">
        <f>AVERAGE(Supplementary_Fig7!GC61:GC64)</f>
        <v>76.944500000000005</v>
      </c>
      <c r="GD65" s="1">
        <f>AVERAGE(Supplementary_Fig7!GD61:GD64)</f>
        <v>84.230599999999995</v>
      </c>
      <c r="GH65" t="s">
        <v>507</v>
      </c>
      <c r="GJ65">
        <v>47.78</v>
      </c>
      <c r="GL65" t="s">
        <v>507</v>
      </c>
      <c r="GN65">
        <f t="shared" si="18"/>
        <v>30.101399999999998</v>
      </c>
      <c r="GQ65">
        <v>56.981499999999997</v>
      </c>
      <c r="GR65">
        <v>111.309</v>
      </c>
      <c r="GS65">
        <v>46.584400000000002</v>
      </c>
      <c r="GT65">
        <v>38.540599999999998</v>
      </c>
      <c r="GU65">
        <v>54.3705</v>
      </c>
      <c r="GV65">
        <v>74.472800000000007</v>
      </c>
      <c r="GZ65" t="s">
        <v>543</v>
      </c>
      <c r="HB65">
        <v>86.68</v>
      </c>
      <c r="HD65" t="s">
        <v>543</v>
      </c>
      <c r="HF65">
        <f>63*Supplementary_Fig7!HB65/100</f>
        <v>54.608400000000003</v>
      </c>
      <c r="HJ65">
        <v>30.261800000000001</v>
      </c>
      <c r="HK65">
        <v>63.134399999999999</v>
      </c>
      <c r="HL65">
        <v>34.717100000000002</v>
      </c>
      <c r="HM65">
        <v>77.992800000000003</v>
      </c>
      <c r="HN65">
        <v>96.752499999999998</v>
      </c>
      <c r="HO65">
        <v>21.9711</v>
      </c>
      <c r="HV65" t="s">
        <v>533</v>
      </c>
      <c r="HW65">
        <v>89.42</v>
      </c>
      <c r="HZ65">
        <v>85.559100000000001</v>
      </c>
      <c r="IA65">
        <v>83.0505</v>
      </c>
      <c r="IB65">
        <v>72.834800000000001</v>
      </c>
      <c r="IC65">
        <v>110.512</v>
      </c>
      <c r="ID65">
        <v>89.445499999999996</v>
      </c>
      <c r="IE65">
        <v>117.006</v>
      </c>
      <c r="IF65">
        <v>109.889</v>
      </c>
      <c r="IG65">
        <v>85.800200000000004</v>
      </c>
      <c r="IH65">
        <v>97.235100000000003</v>
      </c>
      <c r="II65">
        <v>87.060500000000005</v>
      </c>
      <c r="IJ65">
        <v>77.236900000000006</v>
      </c>
      <c r="IK65">
        <v>86.625699999999995</v>
      </c>
      <c r="IL65">
        <v>98.5809</v>
      </c>
      <c r="IM65">
        <v>104.61</v>
      </c>
      <c r="IN65">
        <v>73.092699999999994</v>
      </c>
      <c r="IO65">
        <v>83.956900000000005</v>
      </c>
      <c r="IP65">
        <v>79.141199999999998</v>
      </c>
      <c r="IQ65">
        <v>116.226</v>
      </c>
      <c r="IR65">
        <v>89.506500000000003</v>
      </c>
      <c r="IS65">
        <v>94.329800000000006</v>
      </c>
      <c r="IX65" t="s">
        <v>507</v>
      </c>
      <c r="IY65">
        <v>92.35</v>
      </c>
      <c r="JB65">
        <v>95.2179</v>
      </c>
      <c r="JC65">
        <v>110.176</v>
      </c>
      <c r="JD65">
        <v>126.039</v>
      </c>
      <c r="JE65">
        <v>125.20399999999999</v>
      </c>
      <c r="JF65">
        <v>118.402</v>
      </c>
      <c r="JG65">
        <v>106.288</v>
      </c>
      <c r="JH65">
        <v>108.136</v>
      </c>
      <c r="JI65">
        <v>130.17699999999999</v>
      </c>
      <c r="JJ65">
        <v>92.394999999999996</v>
      </c>
      <c r="JK65">
        <v>89.245599999999996</v>
      </c>
      <c r="JL65">
        <v>89.212000000000003</v>
      </c>
      <c r="JM65">
        <v>99.710099999999997</v>
      </c>
      <c r="JN65">
        <v>91.406199999999998</v>
      </c>
      <c r="JO65">
        <v>102.721</v>
      </c>
      <c r="JP65">
        <v>102.113</v>
      </c>
      <c r="JQ65">
        <v>89.050299999999993</v>
      </c>
      <c r="JR65">
        <v>91.311599999999999</v>
      </c>
      <c r="JS65">
        <v>103.128</v>
      </c>
      <c r="JV65" t="s">
        <v>543</v>
      </c>
      <c r="JW65">
        <v>119.46</v>
      </c>
      <c r="JZ65">
        <v>112.48</v>
      </c>
      <c r="KD65">
        <v>120.88</v>
      </c>
      <c r="KE65">
        <v>94.596900000000005</v>
      </c>
      <c r="KF65">
        <v>108.652</v>
      </c>
      <c r="KG65">
        <f>AVERAGE(Supplementary_Fig7!KG57:KG64)</f>
        <v>106.85737499999999</v>
      </c>
      <c r="KH65">
        <v>99.775700000000001</v>
      </c>
      <c r="KI65">
        <v>120.267</v>
      </c>
      <c r="KJ65">
        <f>AVERAGE(Supplementary_Fig7!KJ57:KJ64)</f>
        <v>119.46499999999999</v>
      </c>
      <c r="KK65">
        <v>115.17</v>
      </c>
      <c r="KT65" t="s">
        <v>533</v>
      </c>
      <c r="KU65">
        <v>2.5099999999999998</v>
      </c>
      <c r="KY65">
        <v>6.8048099999999998</v>
      </c>
      <c r="KZ65">
        <v>2.5005899999999999</v>
      </c>
      <c r="LA65">
        <v>2.74566</v>
      </c>
      <c r="LB65">
        <v>2.5980599999999998</v>
      </c>
      <c r="LC65">
        <v>4.7514500000000002</v>
      </c>
      <c r="LD65">
        <v>2.2372999999999998</v>
      </c>
      <c r="LE65">
        <v>2.5820699999999999</v>
      </c>
      <c r="LF65">
        <v>2.2158199999999999</v>
      </c>
      <c r="LG65">
        <v>2.0447700000000002</v>
      </c>
      <c r="LH65">
        <v>1.9906299999999999</v>
      </c>
      <c r="LI65">
        <v>2.1116700000000002</v>
      </c>
      <c r="LJ65">
        <v>1.8856200000000001</v>
      </c>
      <c r="LK65">
        <v>2.4798100000000001</v>
      </c>
      <c r="LL65">
        <v>1.8891800000000001</v>
      </c>
      <c r="LM65">
        <v>2.0498400000000001</v>
      </c>
      <c r="LN65">
        <v>2.0189400000000002</v>
      </c>
      <c r="LO65">
        <v>1.65744</v>
      </c>
      <c r="LP65">
        <v>1.6332800000000001</v>
      </c>
      <c r="LQ65">
        <v>2.1452100000000001</v>
      </c>
      <c r="LR65">
        <v>1.72539</v>
      </c>
      <c r="LS65">
        <v>2.2637499999999999</v>
      </c>
      <c r="LW65" t="s">
        <v>507</v>
      </c>
      <c r="LX65">
        <v>1.69</v>
      </c>
      <c r="MB65">
        <v>1.76688</v>
      </c>
      <c r="MC65">
        <v>1.62239</v>
      </c>
      <c r="MD65">
        <v>1.8659600000000001</v>
      </c>
      <c r="ME65">
        <v>1.6493</v>
      </c>
      <c r="MF65">
        <v>1.79528</v>
      </c>
      <c r="MG65">
        <v>1.6879500000000001</v>
      </c>
      <c r="MH65">
        <v>1.9065000000000001</v>
      </c>
      <c r="MI65">
        <v>1.61998</v>
      </c>
      <c r="MK65">
        <v>1.54956</v>
      </c>
      <c r="ML65">
        <v>1.5344500000000001</v>
      </c>
      <c r="MZ65" t="s">
        <v>543</v>
      </c>
      <c r="NA65">
        <v>1.45</v>
      </c>
      <c r="ND65">
        <v>1.48193</v>
      </c>
      <c r="NH65">
        <v>1.47919</v>
      </c>
      <c r="NI65">
        <v>1.1831799999999999</v>
      </c>
      <c r="NJ65">
        <v>1.6871799999999999</v>
      </c>
      <c r="NL65">
        <v>1.4261600000000001</v>
      </c>
      <c r="NM65">
        <f>AVERAGE(Supplementary_Fig7!NM56:NM64)</f>
        <v>1.5221100000000001</v>
      </c>
      <c r="NO65">
        <f>AVERAGE(Supplementary_Fig7!NO56:NO64)</f>
        <v>1.6472177777777777</v>
      </c>
      <c r="NP65">
        <v>1.40523</v>
      </c>
      <c r="NT65">
        <v>1.5104599999999999</v>
      </c>
      <c r="NZ65" t="s">
        <v>541</v>
      </c>
      <c r="OA65">
        <v>230.76900000000001</v>
      </c>
      <c r="OC65" t="s">
        <v>507</v>
      </c>
      <c r="OD65">
        <v>251.34100000000001</v>
      </c>
      <c r="OF65" t="s">
        <v>543</v>
      </c>
      <c r="OG65">
        <v>370.79300000000001</v>
      </c>
      <c r="OI65">
        <v>3101242</v>
      </c>
      <c r="OJ65">
        <v>7</v>
      </c>
      <c r="OK65">
        <v>0</v>
      </c>
      <c r="PD65">
        <v>-95.75</v>
      </c>
      <c r="PE65">
        <v>4.97</v>
      </c>
      <c r="QC65">
        <v>-94.4</v>
      </c>
      <c r="QD65">
        <v>4.45</v>
      </c>
      <c r="QF65">
        <v>1601242</v>
      </c>
      <c r="QG65">
        <v>5</v>
      </c>
      <c r="QH65">
        <v>0</v>
      </c>
      <c r="RA65">
        <v>-85.98</v>
      </c>
      <c r="RB65">
        <v>3.03</v>
      </c>
    </row>
    <row r="66" spans="130:470" x14ac:dyDescent="0.35">
      <c r="DZ66">
        <v>20224</v>
      </c>
      <c r="EA66">
        <v>8</v>
      </c>
      <c r="EB66">
        <v>0</v>
      </c>
      <c r="EC66">
        <v>1</v>
      </c>
      <c r="ED66">
        <v>1</v>
      </c>
      <c r="EE66">
        <v>1</v>
      </c>
      <c r="EF66">
        <v>1</v>
      </c>
      <c r="EG66">
        <v>1</v>
      </c>
      <c r="EJ66">
        <v>1</v>
      </c>
      <c r="EK66">
        <f t="shared" si="11"/>
        <v>6</v>
      </c>
      <c r="FA66">
        <v>60324</v>
      </c>
      <c r="FB66">
        <v>6</v>
      </c>
      <c r="FC66">
        <v>0</v>
      </c>
      <c r="FL66">
        <f>SUM(Supplementary_Fig7!FD66:FK66)</f>
        <v>0</v>
      </c>
      <c r="FO66" t="s">
        <v>541</v>
      </c>
      <c r="FQ66">
        <v>89.03</v>
      </c>
      <c r="FS66" t="s">
        <v>541</v>
      </c>
      <c r="FU66">
        <f>63*FQ66/100</f>
        <v>56.088900000000002</v>
      </c>
      <c r="GH66" t="s">
        <v>510</v>
      </c>
      <c r="GJ66">
        <v>67.150000000000006</v>
      </c>
      <c r="GL66" t="s">
        <v>510</v>
      </c>
      <c r="GN66">
        <f t="shared" si="18"/>
        <v>42.304500000000004</v>
      </c>
      <c r="GR66">
        <v>98.680499999999995</v>
      </c>
      <c r="GS66">
        <v>23.876100000000001</v>
      </c>
      <c r="GT66">
        <v>47.757399999999997</v>
      </c>
      <c r="GU66">
        <v>75.078100000000006</v>
      </c>
      <c r="GZ66" t="s">
        <v>547</v>
      </c>
      <c r="HB66">
        <v>23.21</v>
      </c>
      <c r="HD66" t="s">
        <v>547</v>
      </c>
      <c r="HF66">
        <f>63*Supplementary_Fig7!HB66/100</f>
        <v>14.622300000000001</v>
      </c>
      <c r="HJ66">
        <v>28.8291</v>
      </c>
      <c r="HL66" s="8">
        <v>31.5869</v>
      </c>
      <c r="HM66">
        <v>58.859000000000002</v>
      </c>
      <c r="HN66">
        <v>60.8279</v>
      </c>
      <c r="HO66">
        <v>21.7256</v>
      </c>
      <c r="HV66" t="s">
        <v>537</v>
      </c>
      <c r="HW66">
        <v>107.99</v>
      </c>
      <c r="HZ66">
        <v>84.117099999999994</v>
      </c>
      <c r="IA66">
        <v>85.539199999999994</v>
      </c>
      <c r="IB66">
        <v>72.509799999999998</v>
      </c>
      <c r="IC66">
        <v>111.095</v>
      </c>
      <c r="ID66">
        <v>91.352800000000002</v>
      </c>
      <c r="IE66">
        <v>114.566</v>
      </c>
      <c r="IF66">
        <v>112.34</v>
      </c>
      <c r="IG66">
        <v>64.772000000000006</v>
      </c>
      <c r="IH66">
        <v>88.629199999999997</v>
      </c>
      <c r="II66">
        <v>82.479900000000001</v>
      </c>
      <c r="IJ66">
        <v>70.066800000000001</v>
      </c>
      <c r="IK66">
        <v>74.360699999999994</v>
      </c>
      <c r="IL66">
        <v>97.825599999999994</v>
      </c>
      <c r="IM66">
        <v>107.295</v>
      </c>
      <c r="IN66">
        <v>73.217799999999997</v>
      </c>
      <c r="IO66">
        <v>109.941</v>
      </c>
      <c r="IP66">
        <v>79.460099999999997</v>
      </c>
      <c r="IQ66">
        <v>117.17400000000001</v>
      </c>
      <c r="IR66">
        <v>87.753299999999996</v>
      </c>
      <c r="IS66">
        <v>97.0886</v>
      </c>
      <c r="IX66" t="s">
        <v>510</v>
      </c>
      <c r="IY66">
        <v>102.16</v>
      </c>
      <c r="JB66">
        <v>98.193399999999997</v>
      </c>
      <c r="JC66">
        <v>110.59099999999999</v>
      </c>
      <c r="JE66">
        <v>125.16</v>
      </c>
      <c r="JF66">
        <v>119.08</v>
      </c>
      <c r="JG66">
        <v>104.95</v>
      </c>
      <c r="JH66">
        <v>106.604</v>
      </c>
      <c r="JI66">
        <v>132.893</v>
      </c>
      <c r="JJ66">
        <v>91.320800000000006</v>
      </c>
      <c r="JK66">
        <v>88.999899999999997</v>
      </c>
      <c r="JL66">
        <v>87.785300000000007</v>
      </c>
      <c r="JM66">
        <v>117.95699999999999</v>
      </c>
      <c r="JN66">
        <v>90.260300000000001</v>
      </c>
      <c r="JO66">
        <v>100.52</v>
      </c>
      <c r="JP66">
        <v>101.553</v>
      </c>
      <c r="JQ66">
        <v>89.150999999999996</v>
      </c>
      <c r="JR66">
        <v>92.266800000000003</v>
      </c>
      <c r="JS66">
        <v>101.578</v>
      </c>
      <c r="JV66" t="s">
        <v>547</v>
      </c>
      <c r="JW66">
        <v>114.2</v>
      </c>
      <c r="JZ66">
        <v>113.45699999999999</v>
      </c>
      <c r="KD66">
        <v>123.143</v>
      </c>
      <c r="KE66">
        <v>98.046899999999994</v>
      </c>
      <c r="KF66">
        <v>108.07599999999999</v>
      </c>
      <c r="KH66">
        <v>101.431</v>
      </c>
      <c r="KI66">
        <f>AVERAGE(Supplementary_Fig7!KI57:KI65)</f>
        <v>120.01111111111112</v>
      </c>
      <c r="KK66">
        <f>AVERAGE(Supplementary_Fig7!KK57:KK65)</f>
        <v>114.20188888888889</v>
      </c>
      <c r="KT66" t="s">
        <v>537</v>
      </c>
      <c r="KU66">
        <v>1.92</v>
      </c>
      <c r="KY66">
        <v>3.8099500000000002</v>
      </c>
      <c r="KZ66">
        <v>2.10025</v>
      </c>
      <c r="LA66">
        <v>2.2316199999999999</v>
      </c>
      <c r="LB66">
        <v>1.86812</v>
      </c>
      <c r="LC66">
        <v>4.2573800000000004</v>
      </c>
      <c r="LD66">
        <v>2.2325900000000001</v>
      </c>
      <c r="LF66">
        <v>2.26729</v>
      </c>
      <c r="LG66">
        <v>2.0662600000000002</v>
      </c>
      <c r="LH66">
        <v>2.0101200000000001</v>
      </c>
      <c r="LJ66">
        <v>1.9159999999999999</v>
      </c>
      <c r="LK66">
        <v>2.4863</v>
      </c>
      <c r="LL66">
        <v>1.9957400000000001</v>
      </c>
      <c r="LM66">
        <v>2.42991</v>
      </c>
      <c r="LN66">
        <v>1.9827699999999999</v>
      </c>
      <c r="LO66">
        <v>1.8037700000000001</v>
      </c>
      <c r="LP66">
        <v>1.7144299999999999</v>
      </c>
      <c r="LQ66">
        <v>2.0193099999999999</v>
      </c>
      <c r="LR66">
        <v>1.6814</v>
      </c>
      <c r="LS66">
        <v>2.1796199999999999</v>
      </c>
      <c r="LW66" t="s">
        <v>510</v>
      </c>
      <c r="LX66">
        <v>1.51</v>
      </c>
      <c r="MB66">
        <v>1.7406699999999999</v>
      </c>
      <c r="MC66">
        <v>1.6109</v>
      </c>
      <c r="MD66">
        <v>1.86138</v>
      </c>
      <c r="ME66">
        <v>1.6541699999999999</v>
      </c>
      <c r="MF66">
        <v>1.7784500000000001</v>
      </c>
      <c r="MG66">
        <v>1.7287399999999999</v>
      </c>
      <c r="MH66">
        <v>1.9197</v>
      </c>
      <c r="MI66">
        <v>1.57772</v>
      </c>
      <c r="MJ66">
        <v>1.532</v>
      </c>
      <c r="MK66">
        <v>1.5199100000000001</v>
      </c>
      <c r="ML66">
        <v>1.51793</v>
      </c>
      <c r="MZ66" t="s">
        <v>547</v>
      </c>
      <c r="NA66">
        <v>1.64</v>
      </c>
      <c r="ND66">
        <v>1.4791300000000001</v>
      </c>
      <c r="NH66">
        <v>1.47068</v>
      </c>
      <c r="NI66">
        <v>1.1647700000000001</v>
      </c>
      <c r="NJ66">
        <v>1.73675</v>
      </c>
      <c r="NL66">
        <v>1.42709</v>
      </c>
      <c r="NP66">
        <v>1.4251499999999999</v>
      </c>
      <c r="NT66">
        <v>1.4416100000000001</v>
      </c>
      <c r="NZ66" t="s">
        <v>545</v>
      </c>
      <c r="OA66">
        <v>225.68600000000001</v>
      </c>
      <c r="OC66" t="s">
        <v>510</v>
      </c>
      <c r="OD66">
        <v>263.24799999999999</v>
      </c>
      <c r="OF66" t="s">
        <v>547</v>
      </c>
      <c r="OG66">
        <v>276.20499999999998</v>
      </c>
      <c r="OI66">
        <v>20224</v>
      </c>
      <c r="OJ66">
        <v>8</v>
      </c>
      <c r="OK66">
        <v>0</v>
      </c>
      <c r="PD66">
        <v>-95.77</v>
      </c>
      <c r="PE66">
        <v>7.67</v>
      </c>
      <c r="QC66">
        <v>-94.59</v>
      </c>
      <c r="QD66">
        <v>1.97</v>
      </c>
      <c r="QF66">
        <v>60324</v>
      </c>
      <c r="QG66">
        <v>6</v>
      </c>
      <c r="QH66">
        <v>0</v>
      </c>
      <c r="RA66">
        <v>-86.01</v>
      </c>
      <c r="RB66">
        <v>3.61</v>
      </c>
    </row>
    <row r="67" spans="130:470" ht="13.15" x14ac:dyDescent="0.4">
      <c r="DZ67">
        <v>202242</v>
      </c>
      <c r="EA67">
        <v>7</v>
      </c>
      <c r="EB67">
        <v>1</v>
      </c>
      <c r="ED67">
        <v>1</v>
      </c>
      <c r="EE67">
        <v>1</v>
      </c>
      <c r="EK67">
        <f t="shared" si="11"/>
        <v>2</v>
      </c>
      <c r="FA67">
        <v>70324</v>
      </c>
      <c r="FB67">
        <v>8</v>
      </c>
      <c r="FC67">
        <v>0</v>
      </c>
      <c r="FL67">
        <f>SUM(Supplementary_Fig7!FD67:FK67)</f>
        <v>0</v>
      </c>
      <c r="FO67" t="s">
        <v>545</v>
      </c>
      <c r="FQ67">
        <v>54.65</v>
      </c>
      <c r="FS67" t="s">
        <v>545</v>
      </c>
      <c r="FU67">
        <f>63*FQ67/100</f>
        <v>34.429499999999997</v>
      </c>
      <c r="FW67" t="s">
        <v>569</v>
      </c>
      <c r="FX67" t="s">
        <v>573</v>
      </c>
      <c r="FY67" t="s">
        <v>576</v>
      </c>
      <c r="FZ67" t="s">
        <v>741</v>
      </c>
      <c r="GA67" t="s">
        <v>579</v>
      </c>
      <c r="GB67" t="s">
        <v>582</v>
      </c>
      <c r="GH67" t="s">
        <v>513</v>
      </c>
      <c r="GJ67">
        <v>96.64</v>
      </c>
      <c r="GL67" t="s">
        <v>513</v>
      </c>
      <c r="GN67">
        <f t="shared" si="18"/>
        <v>60.883199999999995</v>
      </c>
      <c r="GS67" s="1">
        <f>AVERAGE(GS64:GS66)</f>
        <v>49.470166666666671</v>
      </c>
      <c r="GT67">
        <v>54.323799999999999</v>
      </c>
      <c r="GU67">
        <v>55.723500000000001</v>
      </c>
      <c r="GZ67" t="s">
        <v>551</v>
      </c>
      <c r="HB67">
        <v>37.76</v>
      </c>
      <c r="HD67" t="s">
        <v>551</v>
      </c>
      <c r="HF67">
        <f>63*Supplementary_Fig7!HB67/100</f>
        <v>23.788799999999995</v>
      </c>
      <c r="HJ67" s="1">
        <f>AVERAGE(Supplementary_Fig7!HJ63:HJ66)</f>
        <v>32.667200000000001</v>
      </c>
      <c r="HK67" s="1">
        <f>AVERAGE(Supplementary_Fig7!HK63:HK66)</f>
        <v>68.184766666666661</v>
      </c>
      <c r="HL67" s="1">
        <f>AVERAGE(Supplementary_Fig7!HL63:HL66)</f>
        <v>32.929774999999999</v>
      </c>
      <c r="HM67" s="1">
        <f>AVERAGE(Supplementary_Fig7!HM63:HM66)</f>
        <v>75.864499999999992</v>
      </c>
      <c r="HN67" s="1">
        <f>AVERAGE(Supplementary_Fig7!HN63:HN66)</f>
        <v>86.688924999999998</v>
      </c>
      <c r="HO67" s="1">
        <f>AVERAGE(Supplementary_Fig7!HO63:HO66)</f>
        <v>23.215075000000002</v>
      </c>
      <c r="HV67" t="s">
        <v>541</v>
      </c>
      <c r="HW67">
        <v>86.69</v>
      </c>
      <c r="HZ67">
        <v>83.58</v>
      </c>
      <c r="IA67">
        <v>85.501099999999994</v>
      </c>
      <c r="IB67">
        <v>74.861099999999993</v>
      </c>
      <c r="IC67">
        <v>112.553</v>
      </c>
      <c r="ID67">
        <v>94.699100000000001</v>
      </c>
      <c r="IE67">
        <v>116.003</v>
      </c>
      <c r="IF67">
        <v>87.905900000000003</v>
      </c>
      <c r="IG67">
        <v>85.304299999999998</v>
      </c>
      <c r="IH67">
        <v>94.987499999999997</v>
      </c>
      <c r="II67">
        <v>88.130200000000002</v>
      </c>
      <c r="IJ67">
        <v>75.1755</v>
      </c>
      <c r="IK67">
        <v>75.689700000000002</v>
      </c>
      <c r="IL67">
        <v>99.238600000000005</v>
      </c>
      <c r="IM67">
        <v>71.029700000000005</v>
      </c>
      <c r="IN67">
        <v>84.510800000000003</v>
      </c>
      <c r="IO67">
        <v>109.952</v>
      </c>
      <c r="IP67">
        <v>80.520600000000002</v>
      </c>
      <c r="IQ67">
        <v>84.129300000000001</v>
      </c>
      <c r="IR67">
        <v>88.369799999999998</v>
      </c>
      <c r="IS67">
        <v>96.185299999999998</v>
      </c>
      <c r="IX67" t="s">
        <v>513</v>
      </c>
      <c r="IY67">
        <v>112.48</v>
      </c>
      <c r="JB67">
        <v>97.514300000000006</v>
      </c>
      <c r="JC67">
        <v>84.757999999999996</v>
      </c>
      <c r="JD67">
        <v>124.35299999999999</v>
      </c>
      <c r="JG67">
        <v>101.608</v>
      </c>
      <c r="JH67">
        <v>109.145</v>
      </c>
      <c r="JI67">
        <v>130.04599999999999</v>
      </c>
      <c r="JJ67">
        <v>91.940299999999993</v>
      </c>
      <c r="JK67">
        <v>90.429699999999997</v>
      </c>
      <c r="JM67">
        <v>117.05200000000001</v>
      </c>
      <c r="JN67">
        <v>122.65600000000001</v>
      </c>
      <c r="JO67">
        <v>98.655699999999996</v>
      </c>
      <c r="JP67">
        <v>101.205</v>
      </c>
      <c r="JQ67">
        <v>89.512600000000006</v>
      </c>
      <c r="JR67">
        <v>92.591899999999995</v>
      </c>
      <c r="JS67">
        <v>101.7</v>
      </c>
      <c r="JV67" t="s">
        <v>551</v>
      </c>
      <c r="JW67">
        <v>106.05</v>
      </c>
      <c r="JZ67">
        <v>115.248</v>
      </c>
      <c r="KD67">
        <v>124.828</v>
      </c>
      <c r="KE67">
        <v>116.498</v>
      </c>
      <c r="KF67">
        <v>110.045</v>
      </c>
      <c r="KH67">
        <v>98.883099999999999</v>
      </c>
      <c r="KT67" t="s">
        <v>541</v>
      </c>
      <c r="KU67">
        <v>2.08</v>
      </c>
      <c r="KY67">
        <v>4.0628299999999999</v>
      </c>
      <c r="KZ67">
        <v>2.1611199999999999</v>
      </c>
      <c r="LA67">
        <v>2.5630500000000001</v>
      </c>
      <c r="LB67">
        <v>2.1212200000000001</v>
      </c>
      <c r="LD67">
        <v>2.3616700000000002</v>
      </c>
      <c r="LE67">
        <v>2.78627</v>
      </c>
      <c r="LF67">
        <v>2.43207</v>
      </c>
      <c r="LG67">
        <v>2.0169700000000002</v>
      </c>
      <c r="LH67">
        <v>2.2486299999999999</v>
      </c>
      <c r="LI67">
        <v>2.5291800000000002</v>
      </c>
      <c r="LJ67">
        <v>2.0555099999999999</v>
      </c>
      <c r="LK67">
        <v>2.9344399999999999</v>
      </c>
      <c r="LL67">
        <v>1.9278500000000001</v>
      </c>
      <c r="LM67">
        <v>2.2141000000000002</v>
      </c>
      <c r="LN67">
        <v>1.97271</v>
      </c>
      <c r="LO67">
        <v>1.7043999999999999</v>
      </c>
      <c r="LP67">
        <v>1.62107</v>
      </c>
      <c r="LQ67">
        <v>1.90099</v>
      </c>
      <c r="LR67">
        <v>1.7055800000000001</v>
      </c>
      <c r="LS67">
        <v>2.0989800000000001</v>
      </c>
      <c r="LW67" t="s">
        <v>513</v>
      </c>
      <c r="LX67">
        <v>1.86</v>
      </c>
      <c r="MB67">
        <v>1.6737200000000001</v>
      </c>
      <c r="MC67">
        <v>1.6196999999999999</v>
      </c>
      <c r="MD67">
        <v>1.8671199999999999</v>
      </c>
      <c r="ME67">
        <v>1.6718299999999999</v>
      </c>
      <c r="MF67">
        <v>1.6292899999999999</v>
      </c>
      <c r="MG67">
        <v>1.69228</v>
      </c>
      <c r="MH67">
        <v>1.9451700000000001</v>
      </c>
      <c r="MI67">
        <v>1.91039</v>
      </c>
      <c r="MJ67">
        <v>1.4775199999999999</v>
      </c>
      <c r="MK67">
        <v>1.5680700000000001</v>
      </c>
      <c r="ML67">
        <v>1.5410299999999999</v>
      </c>
      <c r="MZ67" t="s">
        <v>551</v>
      </c>
      <c r="NA67">
        <v>1.4</v>
      </c>
      <c r="ND67">
        <v>1.46739</v>
      </c>
      <c r="NH67">
        <f>AVERAGE(Supplementary_Fig7!NH56:NH66)</f>
        <v>1.4918845454545455</v>
      </c>
      <c r="NI67">
        <v>1.20845</v>
      </c>
      <c r="NJ67">
        <v>1.8533200000000001</v>
      </c>
      <c r="NL67">
        <v>1.43272</v>
      </c>
      <c r="NP67">
        <v>1.4024300000000001</v>
      </c>
      <c r="NT67">
        <v>1.4594</v>
      </c>
      <c r="NZ67" t="s">
        <v>549</v>
      </c>
      <c r="OA67">
        <v>289.68299999999999</v>
      </c>
      <c r="OC67" t="s">
        <v>513</v>
      </c>
      <c r="OD67">
        <v>292.55200000000002</v>
      </c>
      <c r="OF67" t="s">
        <v>551</v>
      </c>
      <c r="OG67">
        <v>315.14</v>
      </c>
      <c r="OI67">
        <v>202242</v>
      </c>
      <c r="OJ67">
        <v>7</v>
      </c>
      <c r="OK67">
        <v>1</v>
      </c>
      <c r="PD67">
        <v>-95.88</v>
      </c>
      <c r="PE67">
        <v>6.12</v>
      </c>
      <c r="QC67">
        <v>-94.6</v>
      </c>
      <c r="QD67">
        <v>2.62</v>
      </c>
      <c r="QF67">
        <v>70324</v>
      </c>
      <c r="QG67">
        <v>8</v>
      </c>
      <c r="QH67">
        <v>0</v>
      </c>
      <c r="RA67">
        <v>-86.03</v>
      </c>
      <c r="RB67">
        <v>2.96</v>
      </c>
    </row>
    <row r="68" spans="130:470" ht="13.15" x14ac:dyDescent="0.4">
      <c r="DZ68">
        <v>50224</v>
      </c>
      <c r="EA68">
        <v>7</v>
      </c>
      <c r="EB68">
        <v>0</v>
      </c>
      <c r="EC68">
        <v>1</v>
      </c>
      <c r="ED68">
        <v>1</v>
      </c>
      <c r="EF68">
        <v>1</v>
      </c>
      <c r="EH68">
        <v>1</v>
      </c>
      <c r="EJ68">
        <v>1</v>
      </c>
      <c r="EK68">
        <f t="shared" ref="EK68:EK73" si="19">SUM(EC68:EJ68)</f>
        <v>5</v>
      </c>
      <c r="FA68">
        <v>130324</v>
      </c>
      <c r="FB68">
        <v>6</v>
      </c>
      <c r="FC68">
        <v>0</v>
      </c>
      <c r="FL68">
        <f>SUM(Supplementary_Fig7!FD68:FK68)</f>
        <v>0</v>
      </c>
      <c r="FO68" t="s">
        <v>549</v>
      </c>
      <c r="FP68">
        <v>63.63</v>
      </c>
      <c r="FS68" t="s">
        <v>549</v>
      </c>
      <c r="FT68">
        <f>63*FP68/100</f>
        <v>40.0869</v>
      </c>
      <c r="FW68">
        <v>70.085499999999996</v>
      </c>
      <c r="FX68">
        <v>92.537300000000002</v>
      </c>
      <c r="GA68">
        <v>92.115099999999998</v>
      </c>
      <c r="GB68">
        <v>66.544600000000003</v>
      </c>
      <c r="GH68" t="s">
        <v>516</v>
      </c>
      <c r="GJ68">
        <v>83.25</v>
      </c>
      <c r="GL68" t="s">
        <v>516</v>
      </c>
      <c r="GN68">
        <f t="shared" si="18"/>
        <v>52.447499999999998</v>
      </c>
      <c r="GQ68" s="1">
        <f>AVERAGE(GQ64:GQ67)</f>
        <v>71.499750000000006</v>
      </c>
      <c r="GR68" s="1">
        <f>AVERAGE(GR64:GR67)</f>
        <v>100.89190000000001</v>
      </c>
      <c r="GT68" s="1">
        <f>AVERAGE(GT64:GT67)</f>
        <v>47.784549999999996</v>
      </c>
      <c r="GU68" s="1">
        <f>AVERAGE(GU64:GU67)</f>
        <v>67.156849999999991</v>
      </c>
      <c r="GV68" s="1">
        <f>AVERAGE(GV64:GV67)</f>
        <v>96.644900000000007</v>
      </c>
      <c r="GZ68" t="s">
        <v>555</v>
      </c>
      <c r="HB68">
        <v>52.29</v>
      </c>
      <c r="HD68" t="s">
        <v>555</v>
      </c>
      <c r="HF68">
        <f>63*Supplementary_Fig7!HB68/100</f>
        <v>32.942700000000002</v>
      </c>
      <c r="HV68" t="s">
        <v>545</v>
      </c>
      <c r="HW68">
        <v>88.58</v>
      </c>
      <c r="HZ68">
        <v>87.242099999999994</v>
      </c>
      <c r="IA68">
        <v>84.428399999999996</v>
      </c>
      <c r="IB68">
        <v>74.142499999999998</v>
      </c>
      <c r="IC68">
        <v>84.744299999999996</v>
      </c>
      <c r="ID68">
        <v>69.384799999999998</v>
      </c>
      <c r="IE68">
        <v>91.192599999999999</v>
      </c>
      <c r="IF68">
        <v>112.21599999999999</v>
      </c>
      <c r="IG68">
        <v>70.324700000000007</v>
      </c>
      <c r="IH68">
        <v>79.4983</v>
      </c>
      <c r="II68">
        <v>64.1678</v>
      </c>
      <c r="IJ68">
        <v>75.878900000000002</v>
      </c>
      <c r="IK68">
        <v>64.376800000000003</v>
      </c>
      <c r="IL68">
        <v>78.672799999999995</v>
      </c>
      <c r="IM68">
        <v>96.455399999999997</v>
      </c>
      <c r="IN68">
        <v>73.530600000000007</v>
      </c>
      <c r="IO68">
        <v>86.663799999999995</v>
      </c>
      <c r="IP68">
        <v>77.242999999999995</v>
      </c>
      <c r="IQ68">
        <v>83.680700000000002</v>
      </c>
      <c r="IR68">
        <v>90.853899999999996</v>
      </c>
      <c r="IS68">
        <v>72.090100000000007</v>
      </c>
      <c r="IX68" t="s">
        <v>516</v>
      </c>
      <c r="IY68">
        <v>110.69</v>
      </c>
      <c r="JB68">
        <v>97.628799999999998</v>
      </c>
      <c r="JC68">
        <v>86.857600000000005</v>
      </c>
      <c r="JD68">
        <v>126.02800000000001</v>
      </c>
      <c r="JE68">
        <v>94.718900000000005</v>
      </c>
      <c r="JF68">
        <v>121.051</v>
      </c>
      <c r="JG68">
        <v>103.262</v>
      </c>
      <c r="JH68">
        <v>110.123</v>
      </c>
      <c r="JI68">
        <v>130.88800000000001</v>
      </c>
      <c r="JJ68">
        <v>89.186099999999996</v>
      </c>
      <c r="JK68">
        <v>88.246200000000002</v>
      </c>
      <c r="JL68">
        <v>97.961399999999998</v>
      </c>
      <c r="JN68">
        <v>89.888000000000005</v>
      </c>
      <c r="JO68">
        <v>103.925</v>
      </c>
      <c r="JP68">
        <v>100.22</v>
      </c>
      <c r="JQ68">
        <v>89.540099999999995</v>
      </c>
      <c r="JR68">
        <v>92.414900000000003</v>
      </c>
      <c r="JS68">
        <v>104.762</v>
      </c>
      <c r="JV68" t="s">
        <v>555</v>
      </c>
      <c r="JW68">
        <v>94.78</v>
      </c>
      <c r="JZ68">
        <v>118.492</v>
      </c>
      <c r="KD68">
        <f>AVERAGE(Supplementary_Fig7!KD57:KD67)</f>
        <v>119.28821818181818</v>
      </c>
      <c r="KE68">
        <v>115.393</v>
      </c>
      <c r="KF68">
        <v>111.49</v>
      </c>
      <c r="KH68">
        <v>100.76</v>
      </c>
      <c r="KT68" t="s">
        <v>545</v>
      </c>
      <c r="KU68">
        <v>2</v>
      </c>
      <c r="KY68">
        <v>4.0450699999999999</v>
      </c>
      <c r="KZ68">
        <v>3.04976</v>
      </c>
      <c r="LA68">
        <v>2.5036200000000002</v>
      </c>
      <c r="LB68">
        <v>2.0153799999999999</v>
      </c>
      <c r="LC68">
        <v>2.8549000000000002</v>
      </c>
      <c r="LD68">
        <v>2.2052700000000001</v>
      </c>
      <c r="LE68">
        <v>2.7201300000000002</v>
      </c>
      <c r="LF68">
        <v>2.3894899999999999</v>
      </c>
      <c r="LG68">
        <v>1.9995799999999999</v>
      </c>
      <c r="LH68">
        <v>2.0119799999999999</v>
      </c>
      <c r="LI68">
        <v>2.3346800000000001</v>
      </c>
      <c r="LJ68">
        <v>1.98373</v>
      </c>
      <c r="LK68">
        <v>2.6030000000000002</v>
      </c>
      <c r="LL68">
        <v>1.8733599999999999</v>
      </c>
      <c r="LM68">
        <v>2.0678100000000001</v>
      </c>
      <c r="LN68">
        <v>1.9689099999999999</v>
      </c>
      <c r="LO68">
        <v>1.7078199999999999</v>
      </c>
      <c r="LP68">
        <v>1.5918099999999999</v>
      </c>
      <c r="LQ68">
        <v>1.84535</v>
      </c>
      <c r="LR68">
        <v>1.73004</v>
      </c>
      <c r="LS68">
        <v>2.0607199999999999</v>
      </c>
      <c r="LW68" t="s">
        <v>516</v>
      </c>
      <c r="LX68">
        <v>1.66</v>
      </c>
      <c r="MB68">
        <v>1.69245</v>
      </c>
      <c r="MC68">
        <v>1.61731</v>
      </c>
      <c r="MD68">
        <v>1.89981</v>
      </c>
      <c r="ME68">
        <v>1.69581</v>
      </c>
      <c r="MF68">
        <f>AVERAGE(MF59:MF67)</f>
        <v>1.7196155555555555</v>
      </c>
      <c r="MG68">
        <v>1.71208</v>
      </c>
      <c r="MH68">
        <v>1.9613799999999999</v>
      </c>
      <c r="MI68">
        <v>2.0207899999999999</v>
      </c>
      <c r="MJ68">
        <v>1.5162100000000001</v>
      </c>
      <c r="MK68">
        <v>1.5324899999999999</v>
      </c>
      <c r="ML68">
        <v>1.5287200000000001</v>
      </c>
      <c r="MZ68" t="s">
        <v>555</v>
      </c>
      <c r="NA68">
        <v>1.46</v>
      </c>
      <c r="ND68">
        <f>AVERAGE(Supplementary_Fig7!ND56:ND67)</f>
        <v>1.4596366666666665</v>
      </c>
      <c r="NI68">
        <f>AVERAGE(Supplementary_Fig7!NI56:NI67)</f>
        <v>1.1801808333333332</v>
      </c>
      <c r="NJ68">
        <f>AVERAGE(Supplementary_Fig7!NJ56:NJ67)</f>
        <v>1.6319800000000002</v>
      </c>
      <c r="NL68">
        <v>1.43272</v>
      </c>
      <c r="NP68">
        <v>1.3989400000000001</v>
      </c>
      <c r="NT68">
        <v>1.42832</v>
      </c>
      <c r="NZ68" t="s">
        <v>553</v>
      </c>
      <c r="OA68">
        <v>274.42</v>
      </c>
      <c r="OC68" t="s">
        <v>516</v>
      </c>
      <c r="OD68">
        <v>345.66500000000002</v>
      </c>
      <c r="OF68" t="s">
        <v>555</v>
      </c>
      <c r="OG68">
        <v>343.40699999999998</v>
      </c>
      <c r="OI68">
        <v>50224</v>
      </c>
      <c r="OJ68">
        <v>7</v>
      </c>
      <c r="OK68">
        <v>0</v>
      </c>
      <c r="PD68">
        <v>-95.91</v>
      </c>
      <c r="PE68">
        <v>5.38</v>
      </c>
      <c r="QC68">
        <v>-94.62</v>
      </c>
      <c r="QD68">
        <v>3.74</v>
      </c>
      <c r="QF68">
        <v>130324</v>
      </c>
      <c r="QG68">
        <v>6</v>
      </c>
      <c r="QH68">
        <v>0</v>
      </c>
      <c r="RA68">
        <v>-86.03</v>
      </c>
      <c r="RB68">
        <v>4.1100000000000003</v>
      </c>
    </row>
    <row r="69" spans="130:470" x14ac:dyDescent="0.35">
      <c r="DZ69">
        <v>502242</v>
      </c>
      <c r="EA69">
        <v>4</v>
      </c>
      <c r="EB69">
        <v>0</v>
      </c>
      <c r="ED69">
        <v>1</v>
      </c>
      <c r="EK69">
        <f t="shared" si="19"/>
        <v>1</v>
      </c>
      <c r="FA69" t="s">
        <v>1066</v>
      </c>
      <c r="FB69">
        <v>7</v>
      </c>
      <c r="FC69">
        <v>0</v>
      </c>
      <c r="FL69">
        <f>SUM(Supplementary_Fig7!FD69:FK69)</f>
        <v>0</v>
      </c>
      <c r="FO69" t="s">
        <v>553</v>
      </c>
      <c r="FP69">
        <v>51.42</v>
      </c>
      <c r="FS69" t="s">
        <v>553</v>
      </c>
      <c r="FT69">
        <f>63*FP69/100</f>
        <v>32.394599999999997</v>
      </c>
      <c r="FW69">
        <v>55.4315</v>
      </c>
      <c r="FX69">
        <v>86.025300000000001</v>
      </c>
      <c r="GA69">
        <v>92.787999999999997</v>
      </c>
      <c r="GB69">
        <v>40.970100000000002</v>
      </c>
      <c r="GH69" t="s">
        <v>519</v>
      </c>
      <c r="GJ69">
        <v>83.43</v>
      </c>
      <c r="GL69" t="s">
        <v>519</v>
      </c>
      <c r="GN69">
        <f t="shared" si="18"/>
        <v>52.560900000000004</v>
      </c>
      <c r="GZ69" t="s">
        <v>559</v>
      </c>
      <c r="HB69">
        <v>54.51</v>
      </c>
      <c r="HD69" t="s">
        <v>559</v>
      </c>
      <c r="HF69">
        <f>63*Supplementary_Fig7!HB69/100</f>
        <v>34.341299999999997</v>
      </c>
      <c r="HJ69" t="s">
        <v>551</v>
      </c>
      <c r="HK69" t="s">
        <v>555</v>
      </c>
      <c r="HL69" t="s">
        <v>559</v>
      </c>
      <c r="HM69" t="s">
        <v>563</v>
      </c>
      <c r="HN69" t="s">
        <v>567</v>
      </c>
      <c r="HV69" t="s">
        <v>549</v>
      </c>
      <c r="HW69">
        <v>91.74</v>
      </c>
      <c r="HZ69">
        <v>84.719800000000006</v>
      </c>
      <c r="IA69">
        <v>84.725999999999999</v>
      </c>
      <c r="IB69">
        <v>74.052400000000006</v>
      </c>
      <c r="IC69">
        <v>82.887299999999996</v>
      </c>
      <c r="ID69">
        <v>66.339100000000002</v>
      </c>
      <c r="IE69">
        <v>88.926699999999997</v>
      </c>
      <c r="IF69">
        <v>109.833</v>
      </c>
      <c r="IG69">
        <v>70.492599999999996</v>
      </c>
      <c r="IH69">
        <v>74.411000000000001</v>
      </c>
      <c r="II69">
        <v>67.713899999999995</v>
      </c>
      <c r="IJ69">
        <v>77.229299999999995</v>
      </c>
      <c r="IK69">
        <v>66.429100000000005</v>
      </c>
      <c r="IL69">
        <v>78.408799999999999</v>
      </c>
      <c r="IM69">
        <v>98.663300000000007</v>
      </c>
      <c r="IN69">
        <v>72.073400000000007</v>
      </c>
      <c r="IO69">
        <v>84.933499999999995</v>
      </c>
      <c r="IP69">
        <v>79.417400000000001</v>
      </c>
      <c r="IQ69">
        <v>117.964</v>
      </c>
      <c r="IR69">
        <v>90.5685</v>
      </c>
      <c r="IS69">
        <v>72.000100000000003</v>
      </c>
      <c r="IX69" t="s">
        <v>519</v>
      </c>
      <c r="IY69">
        <v>104.79</v>
      </c>
      <c r="JB69">
        <v>96.467600000000004</v>
      </c>
      <c r="JC69">
        <v>86.093100000000007</v>
      </c>
      <c r="JD69">
        <v>126.077</v>
      </c>
      <c r="JE69">
        <v>124.623</v>
      </c>
      <c r="JF69">
        <v>119.931</v>
      </c>
      <c r="JG69">
        <v>105.074</v>
      </c>
      <c r="JH69">
        <v>81.935100000000006</v>
      </c>
      <c r="JJ69">
        <v>88.928200000000004</v>
      </c>
      <c r="JK69">
        <v>88.9572</v>
      </c>
      <c r="JL69">
        <v>98.236099999999993</v>
      </c>
      <c r="JM69">
        <v>100.03400000000001</v>
      </c>
      <c r="JN69">
        <v>90.977500000000006</v>
      </c>
      <c r="JO69">
        <v>103.2</v>
      </c>
      <c r="JP69">
        <v>100.85899999999999</v>
      </c>
      <c r="JQ69">
        <v>86.656199999999998</v>
      </c>
      <c r="JR69">
        <v>86.589100000000002</v>
      </c>
      <c r="JS69">
        <v>106.461</v>
      </c>
      <c r="JV69" t="s">
        <v>559</v>
      </c>
      <c r="JW69">
        <v>114.813</v>
      </c>
      <c r="JZ69">
        <f>AVERAGE(Supplementary_Fig7!JZ57:JZ68)</f>
        <v>112.65900000000001</v>
      </c>
      <c r="KE69">
        <f>AVERAGE(Supplementary_Fig7!KE57:KE68)</f>
        <v>100.06008333333334</v>
      </c>
      <c r="KF69">
        <f>AVERAGE(Supplementary_Fig7!KF57:KF68)</f>
        <v>108.77125000000001</v>
      </c>
      <c r="KH69">
        <v>100.092</v>
      </c>
      <c r="KT69" t="s">
        <v>549</v>
      </c>
      <c r="KU69">
        <v>1.68</v>
      </c>
      <c r="KY69">
        <v>4.1151099999999996</v>
      </c>
      <c r="KZ69">
        <v>2.1661199999999998</v>
      </c>
      <c r="LA69">
        <v>2.2003900000000001</v>
      </c>
      <c r="LB69">
        <v>1.9638599999999999</v>
      </c>
      <c r="LC69">
        <v>2.5568599999999999</v>
      </c>
      <c r="LD69">
        <v>2.2030500000000002</v>
      </c>
      <c r="LE69">
        <v>2.6819700000000002</v>
      </c>
      <c r="LF69">
        <v>2.2224499999999998</v>
      </c>
      <c r="LG69">
        <v>2.0027400000000002</v>
      </c>
      <c r="LH69">
        <v>1.9917400000000001</v>
      </c>
      <c r="LI69">
        <v>2.2126800000000002</v>
      </c>
      <c r="LJ69">
        <v>1.9668099999999999</v>
      </c>
      <c r="LK69">
        <v>2.4584700000000002</v>
      </c>
      <c r="LL69">
        <v>1.94279</v>
      </c>
      <c r="LM69">
        <v>2.0741200000000002</v>
      </c>
      <c r="LN69">
        <v>1.98973</v>
      </c>
      <c r="LO69">
        <v>1.6654</v>
      </c>
      <c r="LP69">
        <v>1.6494</v>
      </c>
      <c r="LQ69">
        <v>1.84649</v>
      </c>
      <c r="LR69">
        <v>1.68763</v>
      </c>
      <c r="LS69">
        <v>2.0717400000000001</v>
      </c>
      <c r="LW69" t="s">
        <v>519</v>
      </c>
      <c r="LX69">
        <v>1.62</v>
      </c>
      <c r="MB69">
        <v>1.6780299999999999</v>
      </c>
      <c r="MC69">
        <v>1.6797200000000001</v>
      </c>
      <c r="MD69">
        <f>AVERAGE(MD59:MD68)</f>
        <v>1.8382940000000001</v>
      </c>
      <c r="ME69">
        <v>1.7098100000000001</v>
      </c>
      <c r="MG69">
        <v>1.69817</v>
      </c>
      <c r="MH69">
        <v>1.98966</v>
      </c>
      <c r="MI69">
        <v>1.72187</v>
      </c>
      <c r="MJ69">
        <v>1.4719800000000001</v>
      </c>
      <c r="MK69">
        <v>1.5161500000000001</v>
      </c>
      <c r="ML69">
        <v>1.5799300000000001</v>
      </c>
      <c r="MZ69" t="s">
        <v>559</v>
      </c>
      <c r="NA69">
        <v>1.7</v>
      </c>
      <c r="NL69">
        <f>AVERAGE(Supplementary_Fig7!NL56:NL68)</f>
        <v>1.4276307692307693</v>
      </c>
      <c r="NP69">
        <v>1.41353</v>
      </c>
      <c r="NT69">
        <f>AVERAGE(Supplementary_Fig7!NT56:NT68)</f>
        <v>1.453386923076923</v>
      </c>
      <c r="NZ69" t="s">
        <v>557</v>
      </c>
      <c r="OA69">
        <v>251.495</v>
      </c>
      <c r="OC69" t="s">
        <v>519</v>
      </c>
      <c r="OD69">
        <v>319.536</v>
      </c>
      <c r="OF69" t="s">
        <v>559</v>
      </c>
      <c r="OG69">
        <v>233.49600000000001</v>
      </c>
      <c r="OI69">
        <v>502242</v>
      </c>
      <c r="OJ69">
        <v>4</v>
      </c>
      <c r="OK69">
        <v>0</v>
      </c>
      <c r="PD69">
        <v>-96.05</v>
      </c>
      <c r="PE69">
        <v>7.42</v>
      </c>
      <c r="QC69">
        <v>-94.64</v>
      </c>
      <c r="QD69">
        <v>4.8600000000000003</v>
      </c>
      <c r="QF69" t="s">
        <v>1066</v>
      </c>
      <c r="QG69">
        <v>7</v>
      </c>
      <c r="QH69">
        <v>0</v>
      </c>
      <c r="RA69">
        <v>-86.11</v>
      </c>
      <c r="RB69">
        <v>1.56</v>
      </c>
    </row>
    <row r="70" spans="130:470" x14ac:dyDescent="0.35">
      <c r="DZ70">
        <v>60224</v>
      </c>
      <c r="EA70">
        <v>7</v>
      </c>
      <c r="EB70">
        <v>0</v>
      </c>
      <c r="EK70">
        <f t="shared" si="19"/>
        <v>0</v>
      </c>
      <c r="FA70">
        <v>150324</v>
      </c>
      <c r="FB70">
        <v>8</v>
      </c>
      <c r="FC70">
        <v>0</v>
      </c>
      <c r="FL70">
        <f>SUM(Supplementary_Fig7!FD70:FK70)</f>
        <v>0</v>
      </c>
      <c r="FO70" t="s">
        <v>557</v>
      </c>
      <c r="FQ70">
        <v>93.44</v>
      </c>
      <c r="FS70" t="s">
        <v>557</v>
      </c>
      <c r="FU70">
        <f>63*FQ70/100</f>
        <v>58.867200000000004</v>
      </c>
      <c r="GB70">
        <v>46.989199999999997</v>
      </c>
      <c r="GH70" t="s">
        <v>522</v>
      </c>
      <c r="GJ70">
        <v>97.86</v>
      </c>
      <c r="GL70" t="s">
        <v>522</v>
      </c>
      <c r="GN70">
        <f t="shared" si="18"/>
        <v>61.651800000000001</v>
      </c>
      <c r="GQ70" t="s">
        <v>516</v>
      </c>
      <c r="GR70" t="s">
        <v>519</v>
      </c>
      <c r="GS70" t="s">
        <v>522</v>
      </c>
      <c r="GT70" t="s">
        <v>526</v>
      </c>
      <c r="GU70" t="s">
        <v>530</v>
      </c>
      <c r="GV70" t="s">
        <v>534</v>
      </c>
      <c r="GW70" t="s">
        <v>538</v>
      </c>
      <c r="GZ70" t="s">
        <v>563</v>
      </c>
      <c r="HB70">
        <v>65.290000000000006</v>
      </c>
      <c r="HD70" t="s">
        <v>563</v>
      </c>
      <c r="HF70">
        <f>63*Supplementary_Fig7!HB70/100</f>
        <v>41.132700000000007</v>
      </c>
      <c r="HJ70">
        <v>37.889499999999998</v>
      </c>
      <c r="HK70">
        <v>55.282600000000002</v>
      </c>
      <c r="HL70">
        <v>55.911099999999998</v>
      </c>
      <c r="HM70">
        <v>59.7607</v>
      </c>
      <c r="HV70" t="s">
        <v>553</v>
      </c>
      <c r="HW70">
        <v>97.28</v>
      </c>
      <c r="HZ70">
        <v>84.2804</v>
      </c>
      <c r="IA70">
        <v>82.322699999999998</v>
      </c>
      <c r="IB70">
        <v>75.1648</v>
      </c>
      <c r="IC70">
        <v>83.100899999999996</v>
      </c>
      <c r="ID70">
        <v>67.517099999999999</v>
      </c>
      <c r="IE70">
        <v>88.563500000000005</v>
      </c>
      <c r="IF70">
        <v>112.7</v>
      </c>
      <c r="IG70">
        <v>70.486500000000007</v>
      </c>
      <c r="IH70">
        <v>79.8065</v>
      </c>
      <c r="II70">
        <v>73.503100000000003</v>
      </c>
      <c r="IJ70">
        <v>78.1494</v>
      </c>
      <c r="IK70">
        <v>66.638199999999998</v>
      </c>
      <c r="IL70">
        <v>77.044700000000006</v>
      </c>
      <c r="IM70">
        <v>100.188</v>
      </c>
      <c r="IN70">
        <v>72.219800000000006</v>
      </c>
      <c r="IO70">
        <v>83.288600000000002</v>
      </c>
      <c r="IP70">
        <v>78.875699999999995</v>
      </c>
      <c r="IQ70">
        <v>117.224</v>
      </c>
      <c r="IR70">
        <v>89.645399999999995</v>
      </c>
      <c r="IS70">
        <v>94.038399999999996</v>
      </c>
      <c r="IX70" t="s">
        <v>522</v>
      </c>
      <c r="IY70">
        <v>98.1</v>
      </c>
      <c r="JB70">
        <v>95.1828</v>
      </c>
      <c r="JC70">
        <v>108.717</v>
      </c>
      <c r="JD70">
        <v>126.024</v>
      </c>
      <c r="JE70">
        <v>125.342</v>
      </c>
      <c r="JF70">
        <v>120.419</v>
      </c>
      <c r="JG70">
        <v>106.42100000000001</v>
      </c>
      <c r="JH70">
        <v>84.021000000000001</v>
      </c>
      <c r="JI70">
        <v>130.99199999999999</v>
      </c>
      <c r="JJ70">
        <v>91.351299999999995</v>
      </c>
      <c r="JK70">
        <v>88.383499999999998</v>
      </c>
      <c r="JL70">
        <v>96.215800000000002</v>
      </c>
      <c r="JM70">
        <v>98.97</v>
      </c>
      <c r="JN70">
        <v>90.132099999999994</v>
      </c>
      <c r="JO70">
        <f>AVERAGE(JO61:JO69)</f>
        <v>101.41723333333334</v>
      </c>
      <c r="JP70">
        <v>102.92700000000001</v>
      </c>
      <c r="JQ70">
        <v>85.008200000000002</v>
      </c>
      <c r="JR70">
        <v>93.069500000000005</v>
      </c>
      <c r="JS70">
        <v>98.133899999999997</v>
      </c>
      <c r="JV70" t="s">
        <v>563</v>
      </c>
      <c r="JW70">
        <v>111.8</v>
      </c>
      <c r="KH70">
        <f>AVERAGE(Supplementary_Fig7!KH57:KH69)</f>
        <v>100.57867692307693</v>
      </c>
      <c r="KT70" t="s">
        <v>553</v>
      </c>
      <c r="KU70">
        <v>1.66</v>
      </c>
      <c r="KY70">
        <v>3.76484</v>
      </c>
      <c r="KZ70">
        <v>2.0367000000000002</v>
      </c>
      <c r="LA70">
        <v>2.1270099999999998</v>
      </c>
      <c r="LB70">
        <v>1.89544</v>
      </c>
      <c r="LC70">
        <v>2.8456100000000002</v>
      </c>
      <c r="LD70">
        <v>2.2550599999999998</v>
      </c>
      <c r="LE70">
        <v>2.5483099999999999</v>
      </c>
      <c r="LF70">
        <v>2.3031999999999999</v>
      </c>
      <c r="LG70">
        <v>2.03633</v>
      </c>
      <c r="LH70">
        <v>1.97221</v>
      </c>
      <c r="LI70">
        <v>2.1936200000000001</v>
      </c>
      <c r="LJ70">
        <v>1.91737</v>
      </c>
      <c r="LK70">
        <v>2.4125000000000001</v>
      </c>
      <c r="LL70">
        <v>1.9281299999999999</v>
      </c>
      <c r="LM70">
        <v>1.9985900000000001</v>
      </c>
      <c r="LN70">
        <v>1.98373</v>
      </c>
      <c r="LO70">
        <v>1.65188</v>
      </c>
      <c r="LP70">
        <v>1.65272</v>
      </c>
      <c r="LQ70">
        <v>1.8204499999999999</v>
      </c>
      <c r="LR70">
        <v>1.6951099999999999</v>
      </c>
      <c r="LS70">
        <v>2.0888499999999999</v>
      </c>
      <c r="LW70" t="s">
        <v>522</v>
      </c>
      <c r="LX70">
        <v>1.83</v>
      </c>
      <c r="MB70">
        <v>1.6451100000000001</v>
      </c>
      <c r="MC70">
        <f>AVERAGE(MC59:MC69)</f>
        <v>1.6233918181818183</v>
      </c>
      <c r="ME70">
        <v>1.6602699999999999</v>
      </c>
      <c r="MG70">
        <v>1.7253099999999999</v>
      </c>
      <c r="MH70">
        <v>1.87338</v>
      </c>
      <c r="MI70">
        <v>1.64703</v>
      </c>
      <c r="MJ70">
        <v>1.4933700000000001</v>
      </c>
      <c r="MK70">
        <v>1.5781499999999999</v>
      </c>
      <c r="ML70">
        <v>1.5500100000000001</v>
      </c>
      <c r="MZ70" t="s">
        <v>563</v>
      </c>
      <c r="NA70">
        <v>1.58</v>
      </c>
      <c r="NP70">
        <f>AVERAGE(Supplementary_Fig7!NP56:NP69)</f>
        <v>1.4098978571428573</v>
      </c>
      <c r="NZ70" t="s">
        <v>561</v>
      </c>
      <c r="OA70">
        <v>287.60700000000003</v>
      </c>
      <c r="OC70" t="s">
        <v>522</v>
      </c>
      <c r="OD70">
        <v>289.37700000000001</v>
      </c>
      <c r="OF70" t="s">
        <v>563</v>
      </c>
      <c r="OG70">
        <v>242.83099999999999</v>
      </c>
      <c r="OI70">
        <v>60224</v>
      </c>
      <c r="OJ70">
        <v>7</v>
      </c>
      <c r="OK70">
        <v>0</v>
      </c>
      <c r="PD70">
        <v>-96.09</v>
      </c>
      <c r="PE70">
        <v>8.7899999999999991</v>
      </c>
      <c r="QC70">
        <v>-94.68</v>
      </c>
      <c r="QD70">
        <v>3.68</v>
      </c>
      <c r="QF70">
        <v>150324</v>
      </c>
      <c r="QG70">
        <v>8</v>
      </c>
      <c r="QH70">
        <v>0</v>
      </c>
      <c r="QO70">
        <v>1.43</v>
      </c>
      <c r="QP70">
        <v>-85.46</v>
      </c>
      <c r="QS70">
        <v>1.29</v>
      </c>
      <c r="QT70">
        <v>-82.42</v>
      </c>
      <c r="RA70">
        <v>-86.24</v>
      </c>
      <c r="RB70">
        <v>2.5</v>
      </c>
    </row>
    <row r="71" spans="130:470" x14ac:dyDescent="0.35">
      <c r="DZ71">
        <v>602242</v>
      </c>
      <c r="EA71">
        <v>6</v>
      </c>
      <c r="EB71">
        <v>0</v>
      </c>
      <c r="EC71">
        <v>1</v>
      </c>
      <c r="ED71">
        <v>1</v>
      </c>
      <c r="EE71">
        <v>1</v>
      </c>
      <c r="EF71">
        <v>1</v>
      </c>
      <c r="EH71">
        <v>1</v>
      </c>
      <c r="EK71">
        <f t="shared" si="19"/>
        <v>5</v>
      </c>
      <c r="FA71">
        <v>190324</v>
      </c>
      <c r="FB71">
        <v>8</v>
      </c>
      <c r="FC71">
        <v>0</v>
      </c>
      <c r="FL71">
        <f>SUM(Supplementary_Fig7!FD71:FK71)</f>
        <v>0</v>
      </c>
      <c r="FO71" t="s">
        <v>561</v>
      </c>
      <c r="FQ71">
        <v>76.94</v>
      </c>
      <c r="FS71" t="s">
        <v>561</v>
      </c>
      <c r="FU71">
        <f>63*FQ71/100</f>
        <v>48.472200000000001</v>
      </c>
      <c r="GH71" t="s">
        <v>526</v>
      </c>
      <c r="GJ71">
        <v>72.48</v>
      </c>
      <c r="GL71" t="s">
        <v>526</v>
      </c>
      <c r="GN71">
        <f t="shared" si="18"/>
        <v>45.662400000000005</v>
      </c>
      <c r="GQ71">
        <v>100.877</v>
      </c>
      <c r="GR71">
        <v>73.981099999999998</v>
      </c>
      <c r="GS71">
        <v>103.089</v>
      </c>
      <c r="GT71">
        <v>97.739900000000006</v>
      </c>
      <c r="GU71">
        <v>73.934200000000004</v>
      </c>
      <c r="GV71">
        <v>128.495</v>
      </c>
      <c r="GW71">
        <v>68.653400000000005</v>
      </c>
      <c r="GZ71" t="s">
        <v>567</v>
      </c>
      <c r="HD71" t="s">
        <v>567</v>
      </c>
      <c r="HJ71">
        <v>37.636699999999998</v>
      </c>
      <c r="HK71">
        <v>66.108099999999993</v>
      </c>
      <c r="HL71">
        <v>62.283700000000003</v>
      </c>
      <c r="HM71">
        <v>70.610699999999994</v>
      </c>
      <c r="HV71" t="s">
        <v>557</v>
      </c>
      <c r="HW71">
        <v>102.21</v>
      </c>
      <c r="HZ71">
        <v>84.002700000000004</v>
      </c>
      <c r="IA71">
        <v>83.335899999999995</v>
      </c>
      <c r="IB71">
        <v>72.776799999999994</v>
      </c>
      <c r="IC71">
        <v>83.439599999999999</v>
      </c>
      <c r="ID71">
        <v>68.243399999999994</v>
      </c>
      <c r="IE71">
        <v>88.705399999999997</v>
      </c>
      <c r="IF71">
        <v>110.785</v>
      </c>
      <c r="IG71">
        <v>70.915199999999999</v>
      </c>
      <c r="IH71">
        <v>79.217500000000001</v>
      </c>
      <c r="II71">
        <v>74.299599999999998</v>
      </c>
      <c r="IJ71">
        <v>77.671800000000005</v>
      </c>
      <c r="IK71">
        <v>65.901200000000003</v>
      </c>
      <c r="IL71">
        <v>76.100200000000001</v>
      </c>
      <c r="IM71">
        <v>102.608</v>
      </c>
      <c r="IN71">
        <v>71.984899999999996</v>
      </c>
      <c r="IO71">
        <v>83.270300000000006</v>
      </c>
      <c r="IP71">
        <v>77.950999999999993</v>
      </c>
      <c r="IQ71">
        <v>117.55200000000001</v>
      </c>
      <c r="IR71">
        <v>89.193700000000007</v>
      </c>
      <c r="IS71">
        <v>94.360399999999998</v>
      </c>
      <c r="IX71" t="s">
        <v>526</v>
      </c>
      <c r="IY71">
        <v>98.25</v>
      </c>
      <c r="JB71">
        <v>94.569400000000002</v>
      </c>
      <c r="JC71">
        <v>107.35599999999999</v>
      </c>
      <c r="JD71">
        <v>124.709</v>
      </c>
      <c r="JE71">
        <v>125.223</v>
      </c>
      <c r="JF71">
        <v>119.298</v>
      </c>
      <c r="JG71">
        <v>105.042</v>
      </c>
      <c r="JH71">
        <v>111.798</v>
      </c>
      <c r="JI71">
        <v>130.80600000000001</v>
      </c>
      <c r="JJ71">
        <v>88.851900000000001</v>
      </c>
      <c r="JK71">
        <v>88.798500000000004</v>
      </c>
      <c r="JL71">
        <v>125.15900000000001</v>
      </c>
      <c r="JM71">
        <v>98.114000000000004</v>
      </c>
      <c r="JN71">
        <v>90.347300000000004</v>
      </c>
      <c r="JP71">
        <v>103.044</v>
      </c>
      <c r="JQ71">
        <v>88.667299999999997</v>
      </c>
      <c r="JR71">
        <v>93.148799999999994</v>
      </c>
      <c r="JS71">
        <v>98.194900000000004</v>
      </c>
      <c r="JV71" t="s">
        <v>567</v>
      </c>
      <c r="JW71">
        <v>99.49</v>
      </c>
      <c r="KT71" t="s">
        <v>557</v>
      </c>
      <c r="KU71">
        <v>1.87</v>
      </c>
      <c r="KY71">
        <v>3.7113800000000001</v>
      </c>
      <c r="KZ71">
        <v>2.0981000000000001</v>
      </c>
      <c r="LA71">
        <v>2.1700599999999999</v>
      </c>
      <c r="LB71">
        <v>1.8943099999999999</v>
      </c>
      <c r="LC71">
        <v>2.5375100000000002</v>
      </c>
      <c r="LD71">
        <v>2.2093400000000001</v>
      </c>
      <c r="LE71">
        <v>2.5573000000000001</v>
      </c>
      <c r="LF71">
        <v>2.26932</v>
      </c>
      <c r="LG71">
        <v>2.0283899999999999</v>
      </c>
      <c r="LH71">
        <v>2.0024199999999999</v>
      </c>
      <c r="LI71">
        <v>2.2049799999999999</v>
      </c>
      <c r="LJ71">
        <v>1.91689</v>
      </c>
      <c r="LK71">
        <v>2.3259500000000002</v>
      </c>
      <c r="LL71">
        <v>1.9439900000000001</v>
      </c>
      <c r="LM71">
        <v>2.00034</v>
      </c>
      <c r="LN71">
        <v>2.0129000000000001</v>
      </c>
      <c r="LO71">
        <v>1.6395299999999999</v>
      </c>
      <c r="LP71">
        <v>1.6843699999999999</v>
      </c>
      <c r="LQ71">
        <v>1.8073600000000001</v>
      </c>
      <c r="LR71">
        <v>1.7080599999999999</v>
      </c>
      <c r="LS71">
        <v>2.0637500000000002</v>
      </c>
      <c r="LW71" t="s">
        <v>526</v>
      </c>
      <c r="LX71">
        <v>1.65</v>
      </c>
      <c r="MB71">
        <v>1.6315599999999999</v>
      </c>
      <c r="ME71">
        <v>1.6420999999999999</v>
      </c>
      <c r="MG71">
        <v>1.7195199999999999</v>
      </c>
      <c r="MH71">
        <v>1.8757299999999999</v>
      </c>
      <c r="MI71">
        <v>1.63141</v>
      </c>
      <c r="MJ71">
        <v>1.4896400000000001</v>
      </c>
      <c r="MK71">
        <v>1.62741</v>
      </c>
      <c r="ML71">
        <v>1.5537000000000001</v>
      </c>
      <c r="MZ71" t="s">
        <v>567</v>
      </c>
      <c r="NA71">
        <v>1.45</v>
      </c>
      <c r="NZ71" t="s">
        <v>565</v>
      </c>
      <c r="OA71">
        <v>208.364</v>
      </c>
      <c r="OC71" t="s">
        <v>526</v>
      </c>
      <c r="OD71">
        <v>227.53399999999999</v>
      </c>
      <c r="OF71" t="s">
        <v>567</v>
      </c>
      <c r="OG71">
        <v>287.54599999999999</v>
      </c>
      <c r="OI71">
        <v>602242</v>
      </c>
      <c r="OJ71">
        <v>6</v>
      </c>
      <c r="OK71">
        <v>0</v>
      </c>
      <c r="PD71">
        <v>-96.11</v>
      </c>
      <c r="PE71">
        <v>8.16</v>
      </c>
      <c r="QC71">
        <v>-94.73</v>
      </c>
      <c r="QD71">
        <v>3.03</v>
      </c>
      <c r="QF71">
        <v>190324</v>
      </c>
      <c r="QG71">
        <v>8</v>
      </c>
      <c r="QH71">
        <v>0</v>
      </c>
      <c r="QI71">
        <v>4.8499999999999996</v>
      </c>
      <c r="QJ71">
        <v>-91.42</v>
      </c>
      <c r="QK71">
        <v>1.96</v>
      </c>
      <c r="QL71">
        <v>-92.2</v>
      </c>
      <c r="QO71">
        <v>2.5099999999999998</v>
      </c>
      <c r="QP71">
        <v>-88.43</v>
      </c>
      <c r="QQ71">
        <v>2.15</v>
      </c>
      <c r="QR71">
        <v>-91.21</v>
      </c>
      <c r="QS71">
        <v>2.38</v>
      </c>
      <c r="QT71">
        <v>-99.37</v>
      </c>
      <c r="QU71">
        <v>2.2599999999999998</v>
      </c>
      <c r="QV71">
        <v>-94.06</v>
      </c>
      <c r="QW71">
        <v>3.23</v>
      </c>
      <c r="QX71">
        <v>-97.59</v>
      </c>
      <c r="RA71">
        <v>-86.63</v>
      </c>
      <c r="RB71">
        <v>3.48</v>
      </c>
    </row>
    <row r="72" spans="130:470" ht="13.15" x14ac:dyDescent="0.4">
      <c r="DZ72">
        <v>80224</v>
      </c>
      <c r="EA72">
        <v>8</v>
      </c>
      <c r="EB72">
        <v>0</v>
      </c>
      <c r="EC72">
        <v>1</v>
      </c>
      <c r="ED72">
        <v>1</v>
      </c>
      <c r="EF72">
        <v>1</v>
      </c>
      <c r="EI72">
        <v>1</v>
      </c>
      <c r="EK72">
        <f t="shared" si="19"/>
        <v>4</v>
      </c>
      <c r="FA72">
        <v>200324</v>
      </c>
      <c r="FB72">
        <v>7</v>
      </c>
      <c r="FC72">
        <v>0</v>
      </c>
      <c r="FL72">
        <f>SUM(Supplementary_Fig7!FD72:FK72)</f>
        <v>0</v>
      </c>
      <c r="FO72" t="s">
        <v>565</v>
      </c>
      <c r="FP72">
        <v>84.23</v>
      </c>
      <c r="FS72" t="s">
        <v>565</v>
      </c>
      <c r="FT72">
        <f>63*FP72/100</f>
        <v>53.064900000000009</v>
      </c>
      <c r="FW72" s="1">
        <f>AVERAGE(Supplementary_Fig7!FW68:FW71)</f>
        <v>62.758499999999998</v>
      </c>
      <c r="FX72" s="1">
        <f>AVERAGE(Supplementary_Fig7!FX68:FX71)</f>
        <v>89.281300000000002</v>
      </c>
      <c r="FY72" s="1" t="e">
        <f>AVERAGE(Supplementary_Fig7!FY68:FY71)</f>
        <v>#DIV/0!</v>
      </c>
      <c r="FZ72" s="1" t="e">
        <f>AVERAGE(Supplementary_Fig7!FZ68:FZ71)</f>
        <v>#DIV/0!</v>
      </c>
      <c r="GA72" s="1">
        <f>AVERAGE(Supplementary_Fig7!GA68:GA71)</f>
        <v>92.451549999999997</v>
      </c>
      <c r="GB72" s="1">
        <f>AVERAGE(Supplementary_Fig7!GB68:GB71)</f>
        <v>51.501299999999993</v>
      </c>
      <c r="GH72" t="s">
        <v>530</v>
      </c>
      <c r="GJ72">
        <v>70.430000000000007</v>
      </c>
      <c r="GL72" t="s">
        <v>530</v>
      </c>
      <c r="GN72">
        <f t="shared" si="18"/>
        <v>44.370899999999999</v>
      </c>
      <c r="GQ72">
        <v>65.6357</v>
      </c>
      <c r="GR72">
        <v>117.599</v>
      </c>
      <c r="GS72">
        <v>92.647499999999994</v>
      </c>
      <c r="GT72">
        <v>83.080299999999994</v>
      </c>
      <c r="GU72">
        <v>66.936999999999998</v>
      </c>
      <c r="GV72">
        <v>84.258300000000006</v>
      </c>
      <c r="GW72">
        <v>44.402200000000001</v>
      </c>
      <c r="GZ72" t="s">
        <v>571</v>
      </c>
      <c r="HB72">
        <v>32.89</v>
      </c>
      <c r="HD72" t="s">
        <v>571</v>
      </c>
      <c r="HF72">
        <f>63*Supplementary_Fig7!HB72/100</f>
        <v>20.720700000000001</v>
      </c>
      <c r="HK72">
        <v>44.771099999999997</v>
      </c>
      <c r="HL72">
        <v>47.494599999999998</v>
      </c>
      <c r="HM72">
        <v>60.384700000000002</v>
      </c>
      <c r="HN72" s="1" t="e">
        <f>AVERAGE(Supplementary_Fig7!HN70:HN71)</f>
        <v>#DIV/0!</v>
      </c>
      <c r="HV72" t="s">
        <v>561</v>
      </c>
      <c r="HW72">
        <v>96.79</v>
      </c>
      <c r="HZ72">
        <v>85.687299999999993</v>
      </c>
      <c r="IA72">
        <f>AVERAGE(Supplementary_Fig7!IA60:IA71)</f>
        <v>84.634149999999991</v>
      </c>
      <c r="IB72">
        <v>73.5077</v>
      </c>
      <c r="IC72">
        <v>112.334</v>
      </c>
      <c r="ID72">
        <v>92.074600000000004</v>
      </c>
      <c r="IE72">
        <v>116.003</v>
      </c>
      <c r="IF72">
        <v>110.999</v>
      </c>
      <c r="IG72">
        <v>70.132400000000004</v>
      </c>
      <c r="IH72">
        <v>77.561999999999998</v>
      </c>
      <c r="II72">
        <v>74.266099999999994</v>
      </c>
      <c r="IJ72">
        <v>76.799000000000007</v>
      </c>
      <c r="IK72">
        <v>65.980500000000006</v>
      </c>
      <c r="IL72">
        <v>96.7941</v>
      </c>
      <c r="IM72">
        <v>104.126</v>
      </c>
      <c r="IN72">
        <v>72.625699999999995</v>
      </c>
      <c r="IO72">
        <v>84.4101</v>
      </c>
      <c r="IP72">
        <v>79.034400000000005</v>
      </c>
      <c r="IQ72">
        <v>118.208</v>
      </c>
      <c r="IR72">
        <v>87.944000000000003</v>
      </c>
      <c r="IS72">
        <v>93.602000000000004</v>
      </c>
      <c r="IX72" t="s">
        <v>530</v>
      </c>
      <c r="IY72">
        <v>99.22</v>
      </c>
      <c r="JB72">
        <v>98.178100000000001</v>
      </c>
      <c r="JC72">
        <v>109.96599999999999</v>
      </c>
      <c r="JD72">
        <f>AVERAGE(JD61:JD71)</f>
        <v>125.78790000000001</v>
      </c>
      <c r="JE72">
        <v>125.694</v>
      </c>
      <c r="JF72">
        <v>118.495</v>
      </c>
      <c r="JG72">
        <v>129.327</v>
      </c>
      <c r="JH72">
        <v>110.02500000000001</v>
      </c>
      <c r="JI72">
        <v>129.07599999999999</v>
      </c>
      <c r="JJ72">
        <v>89.009100000000004</v>
      </c>
      <c r="JK72">
        <v>90.408299999999997</v>
      </c>
      <c r="JL72">
        <v>125.122</v>
      </c>
      <c r="JM72">
        <v>97.757000000000005</v>
      </c>
      <c r="JN72">
        <v>90.008499999999998</v>
      </c>
      <c r="JP72">
        <v>100.47499999999999</v>
      </c>
      <c r="JQ72">
        <v>88.345299999999995</v>
      </c>
      <c r="JR72">
        <v>90.322900000000004</v>
      </c>
      <c r="JS72">
        <v>102.666</v>
      </c>
      <c r="JV72" t="s">
        <v>571</v>
      </c>
      <c r="JW72">
        <v>108.27</v>
      </c>
      <c r="JZ72" t="s">
        <v>551</v>
      </c>
      <c r="KA72" t="s">
        <v>555</v>
      </c>
      <c r="KB72" t="s">
        <v>559</v>
      </c>
      <c r="KC72" t="s">
        <v>563</v>
      </c>
      <c r="KD72" t="s">
        <v>567</v>
      </c>
      <c r="KE72" t="s">
        <v>571</v>
      </c>
      <c r="KF72" t="s">
        <v>575</v>
      </c>
      <c r="KG72" t="s">
        <v>578</v>
      </c>
      <c r="KH72" t="s">
        <v>581</v>
      </c>
      <c r="KI72" t="s">
        <v>584</v>
      </c>
      <c r="KJ72" t="s">
        <v>587</v>
      </c>
      <c r="KK72" t="s">
        <v>590</v>
      </c>
      <c r="KL72" t="s">
        <v>593</v>
      </c>
      <c r="KM72" t="s">
        <v>596</v>
      </c>
      <c r="KN72" t="s">
        <v>599</v>
      </c>
      <c r="KO72" t="s">
        <v>602</v>
      </c>
      <c r="KT72" t="s">
        <v>561</v>
      </c>
      <c r="KU72">
        <v>1.7190000000000001</v>
      </c>
      <c r="KY72">
        <v>3.79162</v>
      </c>
      <c r="KZ72">
        <v>1.9914099999999999</v>
      </c>
      <c r="LA72">
        <v>2.1422400000000001</v>
      </c>
      <c r="LB72">
        <v>1.81664</v>
      </c>
      <c r="LC72">
        <v>2.7395499999999999</v>
      </c>
      <c r="LD72">
        <v>2.22038</v>
      </c>
      <c r="LE72">
        <v>2.5818400000000001</v>
      </c>
      <c r="LF72">
        <v>2.1805099999999999</v>
      </c>
      <c r="LG72">
        <v>2.0831599999999999</v>
      </c>
      <c r="LH72">
        <v>2.0190100000000002</v>
      </c>
      <c r="LI72">
        <v>2.18764</v>
      </c>
      <c r="LJ72">
        <v>1.9309799999999999</v>
      </c>
      <c r="LK72">
        <v>2.3576899999999998</v>
      </c>
      <c r="LL72">
        <v>1.9277500000000001</v>
      </c>
      <c r="LM72">
        <v>2.0055399999999999</v>
      </c>
      <c r="LN72">
        <v>2.03931</v>
      </c>
      <c r="LO72">
        <v>1.64686</v>
      </c>
      <c r="LP72">
        <v>1.6434800000000001</v>
      </c>
      <c r="LQ72">
        <v>1.99326</v>
      </c>
      <c r="LR72">
        <v>1.78756</v>
      </c>
      <c r="LS72">
        <v>2.1088499999999999</v>
      </c>
      <c r="LW72" t="s">
        <v>530</v>
      </c>
      <c r="LX72">
        <v>1.71</v>
      </c>
      <c r="MB72">
        <f>AVERAGE(MB59:MB71)</f>
        <v>1.6673761538461538</v>
      </c>
      <c r="ME72">
        <v>1.6445399999999999</v>
      </c>
      <c r="MG72">
        <f>AVERAGE(MG59:MG71)</f>
        <v>1.7131576923076925</v>
      </c>
      <c r="MH72">
        <v>1.92167</v>
      </c>
      <c r="MI72">
        <v>1.64375</v>
      </c>
      <c r="MJ72">
        <f>AVERAGE(MJ59:MJ71)</f>
        <v>1.4820800000000001</v>
      </c>
      <c r="MK72">
        <v>1.56873</v>
      </c>
      <c r="ML72">
        <v>1.54874</v>
      </c>
      <c r="MZ72" t="s">
        <v>571</v>
      </c>
      <c r="NA72">
        <v>1.57</v>
      </c>
      <c r="ND72" t="s">
        <v>571</v>
      </c>
      <c r="NE72" t="s">
        <v>575</v>
      </c>
      <c r="NF72" t="s">
        <v>578</v>
      </c>
      <c r="NG72" t="s">
        <v>581</v>
      </c>
      <c r="NH72" t="s">
        <v>584</v>
      </c>
      <c r="NI72" t="s">
        <v>587</v>
      </c>
      <c r="NJ72" t="s">
        <v>590</v>
      </c>
      <c r="NK72" t="s">
        <v>593</v>
      </c>
      <c r="NL72" t="s">
        <v>596</v>
      </c>
      <c r="NM72" t="s">
        <v>599</v>
      </c>
      <c r="NN72" t="s">
        <v>602</v>
      </c>
      <c r="NO72" t="s">
        <v>605</v>
      </c>
      <c r="NP72" t="s">
        <v>608</v>
      </c>
      <c r="NQ72" t="s">
        <v>611</v>
      </c>
      <c r="NR72" t="s">
        <v>614</v>
      </c>
      <c r="NS72" t="s">
        <v>617</v>
      </c>
      <c r="NT72" t="s">
        <v>620</v>
      </c>
      <c r="NU72" t="s">
        <v>623</v>
      </c>
      <c r="NZ72" t="s">
        <v>569</v>
      </c>
      <c r="OA72">
        <v>116.04600000000001</v>
      </c>
      <c r="OC72" t="s">
        <v>530</v>
      </c>
      <c r="OD72">
        <v>382.72300000000001</v>
      </c>
      <c r="OF72" t="s">
        <v>571</v>
      </c>
      <c r="OG72">
        <v>278.303</v>
      </c>
      <c r="OI72">
        <v>80224</v>
      </c>
      <c r="OJ72">
        <v>8</v>
      </c>
      <c r="OK72">
        <v>0</v>
      </c>
      <c r="PD72">
        <v>-96.15</v>
      </c>
      <c r="PE72">
        <v>3.44</v>
      </c>
      <c r="QC72">
        <v>-94.74</v>
      </c>
      <c r="QD72">
        <v>3.66</v>
      </c>
      <c r="QF72">
        <v>200324</v>
      </c>
      <c r="QG72">
        <v>7</v>
      </c>
      <c r="QH72">
        <v>0</v>
      </c>
      <c r="RA72">
        <v>-86.65</v>
      </c>
      <c r="RB72">
        <v>2.3199999999999998</v>
      </c>
    </row>
    <row r="73" spans="130:470" x14ac:dyDescent="0.35">
      <c r="DZ73">
        <v>802242</v>
      </c>
      <c r="EA73">
        <v>6</v>
      </c>
      <c r="EB73">
        <v>0</v>
      </c>
      <c r="EF73">
        <v>1</v>
      </c>
      <c r="EI73">
        <v>1</v>
      </c>
      <c r="EJ73">
        <v>1</v>
      </c>
      <c r="EK73">
        <f t="shared" si="19"/>
        <v>3</v>
      </c>
      <c r="FA73">
        <v>210324</v>
      </c>
      <c r="FB73">
        <v>8</v>
      </c>
      <c r="FC73">
        <v>0</v>
      </c>
      <c r="FL73">
        <f>SUM(Supplementary_Fig7!FD73:FK73)</f>
        <v>0</v>
      </c>
      <c r="FO73" t="s">
        <v>569</v>
      </c>
      <c r="FQ73">
        <v>62.75</v>
      </c>
      <c r="FS73" t="s">
        <v>569</v>
      </c>
      <c r="FU73">
        <f>63*FQ73/100</f>
        <v>39.532499999999999</v>
      </c>
      <c r="GH73" t="s">
        <v>534</v>
      </c>
      <c r="GJ73">
        <v>106.37</v>
      </c>
      <c r="GL73" t="s">
        <v>534</v>
      </c>
      <c r="GN73">
        <f t="shared" si="18"/>
        <v>67.013100000000009</v>
      </c>
      <c r="GR73">
        <v>58.368099999999998</v>
      </c>
      <c r="GT73">
        <v>62.756500000000003</v>
      </c>
      <c r="GW73">
        <v>70.183599999999998</v>
      </c>
      <c r="GZ73" t="s">
        <v>575</v>
      </c>
      <c r="HB73">
        <v>73.959999999999994</v>
      </c>
      <c r="HD73" t="s">
        <v>575</v>
      </c>
      <c r="HF73">
        <f>63*Supplementary_Fig7!HB73/100</f>
        <v>46.594799999999992</v>
      </c>
      <c r="HK73">
        <v>43.022500000000001</v>
      </c>
      <c r="HL73">
        <v>52.366199999999999</v>
      </c>
      <c r="HM73">
        <v>70.42</v>
      </c>
      <c r="HV73" t="s">
        <v>565</v>
      </c>
      <c r="HW73">
        <v>108.28</v>
      </c>
      <c r="HZ73">
        <v>83.763099999999994</v>
      </c>
      <c r="IB73">
        <v>73.336799999999997</v>
      </c>
      <c r="IC73">
        <v>112.593</v>
      </c>
      <c r="ID73">
        <v>89.166300000000007</v>
      </c>
      <c r="IE73">
        <v>116.46</v>
      </c>
      <c r="IF73">
        <v>112.245</v>
      </c>
      <c r="IG73">
        <v>69.331400000000002</v>
      </c>
      <c r="IH73">
        <v>77.142300000000006</v>
      </c>
      <c r="II73">
        <v>74.011200000000002</v>
      </c>
      <c r="IJ73">
        <v>76.556399999999996</v>
      </c>
      <c r="IK73">
        <v>95.643600000000006</v>
      </c>
      <c r="IL73">
        <v>98.922700000000006</v>
      </c>
      <c r="IM73">
        <v>105.88200000000001</v>
      </c>
      <c r="IN73">
        <v>72.257999999999996</v>
      </c>
      <c r="IO73">
        <v>84.3887</v>
      </c>
      <c r="IP73">
        <v>79.126000000000005</v>
      </c>
      <c r="IQ73">
        <v>117.65900000000001</v>
      </c>
      <c r="IR73">
        <v>88.600200000000001</v>
      </c>
      <c r="IS73">
        <v>95.034800000000004</v>
      </c>
      <c r="IX73" t="s">
        <v>534</v>
      </c>
      <c r="IY73">
        <v>109.09</v>
      </c>
      <c r="JB73">
        <f>AVERAGE(JB61:JB72)</f>
        <v>96.902500000000018</v>
      </c>
      <c r="JC73">
        <v>88.08</v>
      </c>
      <c r="JE73">
        <f>AVERAGE(JE61:JE72)</f>
        <v>116.96496363636362</v>
      </c>
      <c r="JF73">
        <f>AVERAGE(JF61:JF72)</f>
        <v>115.18959090909092</v>
      </c>
      <c r="JG73">
        <v>102.538</v>
      </c>
      <c r="JH73">
        <v>112.068</v>
      </c>
      <c r="JI73">
        <v>130.21100000000001</v>
      </c>
      <c r="JJ73">
        <v>87.3917</v>
      </c>
      <c r="JK73">
        <v>88.896199999999993</v>
      </c>
      <c r="JL73">
        <v>122.041</v>
      </c>
      <c r="JM73">
        <v>99.8489</v>
      </c>
      <c r="JN73">
        <v>125.107</v>
      </c>
      <c r="JP73">
        <v>101.129</v>
      </c>
      <c r="JQ73">
        <v>89.564499999999995</v>
      </c>
      <c r="JR73">
        <v>94.467200000000005</v>
      </c>
      <c r="JS73">
        <v>103.77</v>
      </c>
      <c r="JV73" t="s">
        <v>575</v>
      </c>
      <c r="JW73">
        <v>100.75</v>
      </c>
      <c r="JZ73">
        <v>93.013000000000005</v>
      </c>
      <c r="KA73">
        <v>97.488399999999999</v>
      </c>
      <c r="KB73">
        <v>114.813</v>
      </c>
      <c r="KC73">
        <v>110.815</v>
      </c>
      <c r="KD73">
        <v>98.3078</v>
      </c>
      <c r="KE73">
        <v>109.77200000000001</v>
      </c>
      <c r="KF73">
        <v>91.304000000000002</v>
      </c>
      <c r="KG73">
        <v>87.013199999999998</v>
      </c>
      <c r="KH73">
        <v>103.691</v>
      </c>
      <c r="KI73">
        <v>114.336</v>
      </c>
      <c r="KJ73">
        <v>93.339500000000001</v>
      </c>
      <c r="KK73">
        <v>98.487899999999996</v>
      </c>
      <c r="KL73">
        <v>127.643</v>
      </c>
      <c r="KM73">
        <v>94.122299999999996</v>
      </c>
      <c r="KN73">
        <v>75.343299999999999</v>
      </c>
      <c r="KO73">
        <v>104.562</v>
      </c>
      <c r="KT73" t="s">
        <v>565</v>
      </c>
      <c r="KU73">
        <v>2.09</v>
      </c>
      <c r="KY73">
        <v>3.7977400000000001</v>
      </c>
      <c r="KZ73">
        <v>2.0280900000000002</v>
      </c>
      <c r="LA73">
        <v>2.2088999999999999</v>
      </c>
      <c r="LB73">
        <v>1.8710800000000001</v>
      </c>
      <c r="LC73">
        <v>3.6452399999999998</v>
      </c>
      <c r="LD73">
        <v>2.2414900000000002</v>
      </c>
      <c r="LE73">
        <v>2.5493199999999998</v>
      </c>
      <c r="LF73">
        <v>2.2649699999999999</v>
      </c>
      <c r="LG73">
        <v>2.0820799999999999</v>
      </c>
      <c r="LH73">
        <v>2.01511</v>
      </c>
      <c r="LI73">
        <v>2.2191000000000001</v>
      </c>
      <c r="LJ73">
        <v>1.91327</v>
      </c>
      <c r="LK73">
        <v>2.403</v>
      </c>
      <c r="LL73">
        <f>AVERAGE(Supplementary_Fig7!LL59:LL72)</f>
        <v>1.9224249999999998</v>
      </c>
      <c r="LM73">
        <v>2.0588700000000002</v>
      </c>
      <c r="LN73">
        <v>2.0501800000000001</v>
      </c>
      <c r="LO73">
        <v>1.70953</v>
      </c>
      <c r="LP73">
        <v>1.65235</v>
      </c>
      <c r="LQ73">
        <f>AVERAGE(Supplementary_Fig7!LQ59:LQ72)</f>
        <v>1.8729721428571426</v>
      </c>
      <c r="LR73">
        <v>1.7834300000000001</v>
      </c>
      <c r="LS73">
        <v>2.1800299999999999</v>
      </c>
      <c r="LW73" t="s">
        <v>534</v>
      </c>
      <c r="LX73">
        <v>1.71</v>
      </c>
      <c r="ME73">
        <v>1.6294299999999999</v>
      </c>
      <c r="MH73">
        <v>1.8524700000000001</v>
      </c>
      <c r="MI73">
        <v>1.63958</v>
      </c>
      <c r="MK73">
        <v>1.50234</v>
      </c>
      <c r="ML73">
        <f>AVERAGE(ML59:ML72)</f>
        <v>1.5332342857142855</v>
      </c>
      <c r="MZ73" t="s">
        <v>575</v>
      </c>
      <c r="NA73">
        <v>1.61</v>
      </c>
      <c r="ND73">
        <v>1.5881000000000001</v>
      </c>
      <c r="NE73">
        <v>1.6225000000000001</v>
      </c>
      <c r="NF73">
        <v>1.56348</v>
      </c>
      <c r="NG73">
        <v>1.9766699999999999</v>
      </c>
      <c r="NH73">
        <v>1.5123</v>
      </c>
      <c r="NI73">
        <v>1.51783</v>
      </c>
      <c r="NJ73">
        <v>1.58846</v>
      </c>
      <c r="NK73">
        <v>1.4044399999999999</v>
      </c>
      <c r="NL73">
        <v>1.3793500000000001</v>
      </c>
      <c r="NM73">
        <v>1.47953</v>
      </c>
      <c r="NN73">
        <v>1.35945</v>
      </c>
      <c r="NO73">
        <v>1.36456</v>
      </c>
      <c r="NP73">
        <v>1.2760400000000001</v>
      </c>
      <c r="NQ73">
        <v>1.5979000000000001</v>
      </c>
      <c r="NR73">
        <v>1.33344</v>
      </c>
      <c r="NS73">
        <v>1.3869199999999999</v>
      </c>
      <c r="NT73">
        <v>1.33338</v>
      </c>
      <c r="NU73">
        <v>1.72109</v>
      </c>
      <c r="NZ73" t="s">
        <v>573</v>
      </c>
      <c r="OA73">
        <v>105.495</v>
      </c>
      <c r="OC73" t="s">
        <v>534</v>
      </c>
      <c r="OD73">
        <v>286.56900000000002</v>
      </c>
      <c r="OF73" t="s">
        <v>575</v>
      </c>
      <c r="OG73">
        <v>294.62799999999999</v>
      </c>
      <c r="OI73">
        <v>802242</v>
      </c>
      <c r="OJ73">
        <v>6</v>
      </c>
      <c r="OK73">
        <v>0</v>
      </c>
      <c r="PD73">
        <v>-96.16</v>
      </c>
      <c r="PE73">
        <v>8.92</v>
      </c>
      <c r="QC73">
        <v>-94.74</v>
      </c>
      <c r="QD73">
        <v>3.56</v>
      </c>
      <c r="QF73">
        <v>210324</v>
      </c>
      <c r="QG73">
        <v>8</v>
      </c>
      <c r="QH73">
        <v>0</v>
      </c>
      <c r="QI73">
        <v>1.42</v>
      </c>
      <c r="QJ73">
        <v>-73.48</v>
      </c>
      <c r="QK73">
        <v>3.08</v>
      </c>
      <c r="QL73">
        <v>-100</v>
      </c>
      <c r="QO73">
        <v>6.53</v>
      </c>
      <c r="QP73">
        <v>-93.02</v>
      </c>
      <c r="QQ73">
        <v>3.01</v>
      </c>
      <c r="QR73">
        <v>-83.98</v>
      </c>
      <c r="QS73">
        <v>2.56</v>
      </c>
      <c r="QT73">
        <v>-91.86</v>
      </c>
      <c r="QU73">
        <v>6.57</v>
      </c>
      <c r="QV73">
        <v>-88.93</v>
      </c>
      <c r="QW73">
        <v>2.21</v>
      </c>
      <c r="QX73">
        <v>-79.11</v>
      </c>
      <c r="RA73">
        <v>-86.79</v>
      </c>
      <c r="RB73">
        <v>4.88</v>
      </c>
    </row>
    <row r="74" spans="130:470" ht="13.15" x14ac:dyDescent="0.4">
      <c r="EA74" s="1">
        <f>SUM(Supplementary_Fig7!EA4:EA73)</f>
        <v>460</v>
      </c>
      <c r="EB74" s="1"/>
      <c r="EK74">
        <f>SUM(EK4:EK73)</f>
        <v>168</v>
      </c>
      <c r="FA74">
        <v>250324</v>
      </c>
      <c r="FB74">
        <v>8</v>
      </c>
      <c r="FC74">
        <v>0</v>
      </c>
      <c r="FL74">
        <f>SUM(Supplementary_Fig7!FD74:FK74)</f>
        <v>0</v>
      </c>
      <c r="FO74" t="s">
        <v>573</v>
      </c>
      <c r="FQ74">
        <v>89.28</v>
      </c>
      <c r="FS74" t="s">
        <v>573</v>
      </c>
      <c r="FU74">
        <f>63*FQ74/100</f>
        <v>56.246400000000001</v>
      </c>
      <c r="GH74" t="s">
        <v>538</v>
      </c>
      <c r="GJ74">
        <v>67.11</v>
      </c>
      <c r="GL74" t="s">
        <v>538</v>
      </c>
      <c r="GN74">
        <f t="shared" si="18"/>
        <v>42.279300000000006</v>
      </c>
      <c r="GR74">
        <v>83.809700000000007</v>
      </c>
      <c r="GT74">
        <v>46.381300000000003</v>
      </c>
      <c r="GW74">
        <v>85.223200000000006</v>
      </c>
      <c r="GZ74" t="s">
        <v>578</v>
      </c>
      <c r="HB74">
        <v>59.78</v>
      </c>
      <c r="HD74" t="s">
        <v>578</v>
      </c>
      <c r="HF74">
        <f>63*Supplementary_Fig7!HB74/100</f>
        <v>37.6614</v>
      </c>
      <c r="HJ74" s="1">
        <f>AVERAGE(Supplementary_Fig7!HJ70:HJ73)</f>
        <v>37.763099999999994</v>
      </c>
      <c r="HK74" s="1">
        <f>AVERAGE(Supplementary_Fig7!HK70:HK73)</f>
        <v>52.296075000000002</v>
      </c>
      <c r="HL74" s="1">
        <f>AVERAGE(Supplementary_Fig7!HL70:HL73)</f>
        <v>54.5139</v>
      </c>
      <c r="HM74" s="1">
        <f>AVERAGE(Supplementary_Fig7!HM70:HM73)</f>
        <v>65.294025000000005</v>
      </c>
      <c r="HV74" t="s">
        <v>569</v>
      </c>
      <c r="HW74">
        <v>88.8</v>
      </c>
      <c r="HZ74">
        <v>84.805300000000003</v>
      </c>
      <c r="IB74">
        <f>AVERAGE(Supplementary_Fig7!IB60:IB73)</f>
        <v>73.503335714285726</v>
      </c>
      <c r="IC74">
        <v>110.663</v>
      </c>
      <c r="ID74">
        <v>95.065299999999993</v>
      </c>
      <c r="IE74">
        <v>116.182</v>
      </c>
      <c r="IF74">
        <f>AVERAGE(Supplementary_Fig7!IF60:IF73)</f>
        <v>105.27926428571429</v>
      </c>
      <c r="IG74">
        <v>83.886700000000005</v>
      </c>
      <c r="IH74">
        <v>95.320099999999996</v>
      </c>
      <c r="II74">
        <v>92.178299999999993</v>
      </c>
      <c r="IJ74">
        <v>76.069599999999994</v>
      </c>
      <c r="IK74">
        <v>87.777699999999996</v>
      </c>
      <c r="IL74">
        <v>99.218800000000002</v>
      </c>
      <c r="IM74">
        <f>AVERAGE(Supplementary_Fig7!IM60:IM73)</f>
        <v>95.210300000000004</v>
      </c>
      <c r="IN74">
        <v>86.109899999999996</v>
      </c>
      <c r="IO74">
        <v>110.048</v>
      </c>
      <c r="IP74">
        <v>79.219099999999997</v>
      </c>
      <c r="IQ74">
        <f>AVERAGE(Supplementary_Fig7!IQ60:IQ73)</f>
        <v>105.69167857142858</v>
      </c>
      <c r="IR74">
        <v>88.372799999999998</v>
      </c>
      <c r="IS74">
        <v>94.746399999999994</v>
      </c>
      <c r="IX74" t="s">
        <v>538</v>
      </c>
      <c r="IY74">
        <v>103.59</v>
      </c>
      <c r="JC74">
        <f>AVERAGE(JC61:JC73)</f>
        <v>96.893761538461533</v>
      </c>
      <c r="JG74">
        <v>104.48</v>
      </c>
      <c r="JH74">
        <v>106.345</v>
      </c>
      <c r="JI74">
        <v>131.03</v>
      </c>
      <c r="JJ74">
        <v>88.063000000000002</v>
      </c>
      <c r="JK74">
        <v>88.786299999999997</v>
      </c>
      <c r="JL74">
        <f>AVERAGE(JL61:JL73)</f>
        <v>99.57312499999999</v>
      </c>
      <c r="JM74">
        <v>118.822</v>
      </c>
      <c r="JN74">
        <v>123.755</v>
      </c>
      <c r="JP74">
        <v>99.415599999999998</v>
      </c>
      <c r="JQ74">
        <v>89.0869</v>
      </c>
      <c r="JR74">
        <v>92.840599999999995</v>
      </c>
      <c r="JS74">
        <v>100.941</v>
      </c>
      <c r="JV74" t="s">
        <v>578</v>
      </c>
      <c r="JW74">
        <v>88.73</v>
      </c>
      <c r="JZ74">
        <v>92.315700000000007</v>
      </c>
      <c r="KA74">
        <v>94.22</v>
      </c>
      <c r="KC74">
        <v>111.226</v>
      </c>
      <c r="KD74">
        <v>96.844499999999996</v>
      </c>
      <c r="KE74">
        <v>107.498</v>
      </c>
      <c r="KF74">
        <v>112.178</v>
      </c>
      <c r="KG74">
        <v>90.553299999999993</v>
      </c>
      <c r="KH74">
        <v>101.61</v>
      </c>
      <c r="KI74">
        <v>114.723</v>
      </c>
      <c r="KJ74">
        <v>127.087</v>
      </c>
      <c r="KK74">
        <v>100.75700000000001</v>
      </c>
      <c r="KL74">
        <v>128.554</v>
      </c>
      <c r="KM74">
        <v>95.072900000000004</v>
      </c>
      <c r="KN74">
        <v>99.023399999999995</v>
      </c>
      <c r="KO74">
        <v>102.87</v>
      </c>
      <c r="KT74" t="s">
        <v>569</v>
      </c>
      <c r="KU74">
        <v>2.4039999999999999</v>
      </c>
      <c r="KY74">
        <v>3.7117800000000001</v>
      </c>
      <c r="KZ74">
        <v>2.1261000000000001</v>
      </c>
      <c r="LA74">
        <v>2.1530399999999998</v>
      </c>
      <c r="LB74">
        <v>1.7785200000000001</v>
      </c>
      <c r="LC74">
        <v>3.3287599999999999</v>
      </c>
      <c r="LD74">
        <v>2.27244</v>
      </c>
      <c r="LE74">
        <f>AVERAGE(Supplementary_Fig7!LE59:LE73)</f>
        <v>2.6640600000000005</v>
      </c>
      <c r="LF74">
        <v>2.3452500000000001</v>
      </c>
      <c r="LG74">
        <v>2.11219</v>
      </c>
      <c r="LH74">
        <v>2.0172699999999999</v>
      </c>
      <c r="LI74">
        <f>AVERAGE(Supplementary_Fig7!LI59:LI73)</f>
        <v>2.2080199999999999</v>
      </c>
      <c r="LJ74">
        <v>1.94781</v>
      </c>
      <c r="LK74">
        <v>2.3987500000000002</v>
      </c>
      <c r="LM74">
        <f>AVERAGE(Supplementary_Fig7!LM59:LM73)</f>
        <v>2.0815860000000002</v>
      </c>
      <c r="LN74">
        <v>1.9651099999999999</v>
      </c>
      <c r="LO74">
        <f>AVERAGE(Supplementary_Fig7!LO59:LO73)</f>
        <v>1.6878946666666665</v>
      </c>
      <c r="LP74">
        <v>1.9178599999999999</v>
      </c>
      <c r="LR74">
        <v>1.73715</v>
      </c>
      <c r="LS74">
        <f>AVERAGE(Supplementary_Fig7!LS59:LS73)</f>
        <v>2.099787333333333</v>
      </c>
      <c r="LW74" t="s">
        <v>538</v>
      </c>
      <c r="LX74">
        <v>1.91</v>
      </c>
      <c r="ME74">
        <v>1.62924</v>
      </c>
      <c r="MH74">
        <f>AVERAGE(MH59:MH73)</f>
        <v>1.9174180000000001</v>
      </c>
      <c r="MI74">
        <f>AVERAGE(MI59:MI73)</f>
        <v>1.7084506666666666</v>
      </c>
      <c r="MK74">
        <f>AVERAGE(MK59:MK73)</f>
        <v>1.5851760000000001</v>
      </c>
      <c r="MZ74" t="s">
        <v>578</v>
      </c>
      <c r="NA74">
        <v>1.55</v>
      </c>
      <c r="ND74">
        <v>1.58904</v>
      </c>
      <c r="NE74">
        <v>1.6286799999999999</v>
      </c>
      <c r="NF74">
        <v>1.5178100000000001</v>
      </c>
      <c r="NG74">
        <v>1.93746</v>
      </c>
      <c r="NH74">
        <v>1.5251600000000001</v>
      </c>
      <c r="NI74">
        <v>1.49627</v>
      </c>
      <c r="NJ74">
        <v>1.74576</v>
      </c>
      <c r="NK74">
        <v>1.43912</v>
      </c>
      <c r="NL74">
        <v>1.3572500000000001</v>
      </c>
      <c r="NM74">
        <v>1.51996</v>
      </c>
      <c r="NN74">
        <v>1.3705799999999999</v>
      </c>
      <c r="NO74">
        <v>1.3694500000000001</v>
      </c>
      <c r="NP74">
        <v>1.27718</v>
      </c>
      <c r="NQ74">
        <v>1.6022099999999999</v>
      </c>
      <c r="NR74">
        <v>1.32914</v>
      </c>
      <c r="NS74">
        <v>1.4031100000000001</v>
      </c>
      <c r="NT74">
        <v>1.3394600000000001</v>
      </c>
      <c r="NU74">
        <v>1.7317</v>
      </c>
      <c r="NZ74" t="s">
        <v>576</v>
      </c>
      <c r="OA74">
        <v>191.697</v>
      </c>
      <c r="OC74" t="s">
        <v>538</v>
      </c>
      <c r="OD74">
        <v>221.41499999999999</v>
      </c>
      <c r="OF74" t="s">
        <v>578</v>
      </c>
      <c r="OG74">
        <v>245.29900000000001</v>
      </c>
      <c r="OL74" s="43" t="s">
        <v>1035</v>
      </c>
      <c r="OM74" s="43"/>
      <c r="ON74" s="43" t="s">
        <v>1036</v>
      </c>
      <c r="OO74" s="43"/>
      <c r="OP74" s="43" t="s">
        <v>1037</v>
      </c>
      <c r="OQ74" s="43"/>
      <c r="OR74" s="43" t="s">
        <v>1038</v>
      </c>
      <c r="OS74" s="43"/>
      <c r="OT74" s="43" t="s">
        <v>1039</v>
      </c>
      <c r="OU74" s="43"/>
      <c r="OV74" s="43" t="s">
        <v>1040</v>
      </c>
      <c r="OW74" s="43"/>
      <c r="OX74" s="43" t="s">
        <v>1041</v>
      </c>
      <c r="OY74" s="43"/>
      <c r="OZ74" s="43" t="s">
        <v>1042</v>
      </c>
      <c r="PA74" s="43"/>
      <c r="PD74">
        <v>-96.17</v>
      </c>
      <c r="PE74">
        <v>12.14</v>
      </c>
      <c r="QC74">
        <v>-94.78</v>
      </c>
      <c r="QD74">
        <v>2.88</v>
      </c>
      <c r="QF74">
        <v>250324</v>
      </c>
      <c r="QG74">
        <v>8</v>
      </c>
      <c r="QH74">
        <v>0</v>
      </c>
      <c r="QQ74">
        <v>2.12</v>
      </c>
      <c r="QR74">
        <v>-88.98</v>
      </c>
      <c r="QS74">
        <v>2.02</v>
      </c>
      <c r="QT74">
        <v>-91.49</v>
      </c>
      <c r="QU74">
        <v>1.58</v>
      </c>
      <c r="QV74">
        <v>-84.89</v>
      </c>
      <c r="QW74">
        <v>2.17</v>
      </c>
      <c r="QX74">
        <v>-91.47</v>
      </c>
      <c r="RA74">
        <v>-87.08</v>
      </c>
      <c r="RB74">
        <v>2.09</v>
      </c>
    </row>
    <row r="75" spans="130:470" ht="13.15" x14ac:dyDescent="0.4">
      <c r="EK75" s="1">
        <f>EK74*100/EA74</f>
        <v>36.521739130434781</v>
      </c>
      <c r="EL75" s="1" t="s">
        <v>1065</v>
      </c>
      <c r="FA75">
        <v>260324</v>
      </c>
      <c r="FB75">
        <v>8</v>
      </c>
      <c r="FC75">
        <v>0</v>
      </c>
      <c r="FL75">
        <f>SUM(Supplementary_Fig7!FD75:FK75)</f>
        <v>0</v>
      </c>
      <c r="FO75" t="s">
        <v>576</v>
      </c>
      <c r="FQ75">
        <v>92.45</v>
      </c>
      <c r="FS75" t="s">
        <v>576</v>
      </c>
      <c r="FU75">
        <f>63*FQ75/100</f>
        <v>58.243500000000004</v>
      </c>
      <c r="FW75" t="s">
        <v>585</v>
      </c>
      <c r="FX75" t="s">
        <v>588</v>
      </c>
      <c r="FY75" t="s">
        <v>591</v>
      </c>
      <c r="FZ75" t="s">
        <v>742</v>
      </c>
      <c r="GA75" t="s">
        <v>594</v>
      </c>
      <c r="GB75" t="s">
        <v>743</v>
      </c>
      <c r="GC75" t="s">
        <v>597</v>
      </c>
      <c r="GD75" t="s">
        <v>600</v>
      </c>
      <c r="GH75" t="s">
        <v>542</v>
      </c>
      <c r="GJ75">
        <v>55.75</v>
      </c>
      <c r="GL75" t="s">
        <v>542</v>
      </c>
      <c r="GN75">
        <f t="shared" si="18"/>
        <v>35.122500000000002</v>
      </c>
      <c r="GQ75" s="1">
        <f t="shared" ref="GQ75:GW75" si="20">AVERAGE(GQ71:GQ74)</f>
        <v>83.256349999999998</v>
      </c>
      <c r="GR75" s="1">
        <f t="shared" si="20"/>
        <v>83.439475000000002</v>
      </c>
      <c r="GS75" s="1">
        <f t="shared" si="20"/>
        <v>97.868249999999989</v>
      </c>
      <c r="GT75" s="1">
        <f t="shared" si="20"/>
        <v>72.489500000000007</v>
      </c>
      <c r="GU75" s="1">
        <f t="shared" si="20"/>
        <v>70.435599999999994</v>
      </c>
      <c r="GV75" s="1">
        <f t="shared" si="20"/>
        <v>106.37665000000001</v>
      </c>
      <c r="GW75" s="1">
        <f t="shared" si="20"/>
        <v>67.115600000000001</v>
      </c>
      <c r="GZ75" t="s">
        <v>581</v>
      </c>
      <c r="HB75">
        <v>53.78</v>
      </c>
      <c r="HD75" t="s">
        <v>581</v>
      </c>
      <c r="HF75">
        <f>63*Supplementary_Fig7!HB75/100</f>
        <v>33.881399999999999</v>
      </c>
      <c r="HV75" t="s">
        <v>573</v>
      </c>
      <c r="HW75">
        <v>89.57</v>
      </c>
      <c r="HZ75">
        <v>83.772300000000001</v>
      </c>
      <c r="IC75">
        <v>112.532</v>
      </c>
      <c r="ID75">
        <v>94.956999999999994</v>
      </c>
      <c r="IE75">
        <f>AVERAGE(Supplementary_Fig7!IE60:IE74)</f>
        <v>100.57541999999999</v>
      </c>
      <c r="IG75">
        <v>86.540199999999999</v>
      </c>
      <c r="IH75">
        <v>92.628500000000003</v>
      </c>
      <c r="II75">
        <v>91.624499999999998</v>
      </c>
      <c r="IJ75">
        <v>76.7273</v>
      </c>
      <c r="IK75">
        <v>88.632199999999997</v>
      </c>
      <c r="IL75">
        <v>99.072299999999998</v>
      </c>
      <c r="IN75">
        <v>84.597800000000007</v>
      </c>
      <c r="IO75">
        <v>110.547</v>
      </c>
      <c r="IP75">
        <v>79.496799999999993</v>
      </c>
      <c r="IR75">
        <v>87.022400000000005</v>
      </c>
      <c r="IS75">
        <v>95.036299999999997</v>
      </c>
      <c r="IX75" t="s">
        <v>542</v>
      </c>
      <c r="IY75">
        <v>101.26</v>
      </c>
      <c r="JG75">
        <v>105.06</v>
      </c>
      <c r="JH75">
        <v>115.562</v>
      </c>
      <c r="JI75">
        <v>130.76</v>
      </c>
      <c r="JJ75">
        <v>89.720200000000006</v>
      </c>
      <c r="JK75">
        <v>89.372299999999996</v>
      </c>
      <c r="JM75">
        <f>AVERAGE(JM61:JM74)</f>
        <v>103.42016923076923</v>
      </c>
      <c r="JN75">
        <f>AVERAGE(JN61:JN74)</f>
        <v>98.471178571428581</v>
      </c>
      <c r="JP75">
        <f>AVERAGE(JP61:JP74)</f>
        <v>101.40761428571429</v>
      </c>
      <c r="JQ75">
        <f>AVERAGE(JQ61:JQ74)</f>
        <v>88.277749999999983</v>
      </c>
      <c r="JR75">
        <f>AVERAGE(JR61:JR74)</f>
        <v>92.358957142857136</v>
      </c>
      <c r="JS75">
        <f>AVERAGE(JS61:JS74)</f>
        <v>102.16215714285714</v>
      </c>
      <c r="JV75" t="s">
        <v>581</v>
      </c>
      <c r="JW75">
        <v>102.74</v>
      </c>
      <c r="JZ75">
        <v>110.997</v>
      </c>
      <c r="KA75">
        <v>92.846699999999998</v>
      </c>
      <c r="KC75">
        <v>111.626</v>
      </c>
      <c r="KD75">
        <v>96.131900000000002</v>
      </c>
      <c r="KE75">
        <v>108.372</v>
      </c>
      <c r="KF75">
        <v>113.04</v>
      </c>
      <c r="KG75">
        <v>89.0625</v>
      </c>
      <c r="KH75">
        <v>102.92700000000001</v>
      </c>
      <c r="KI75">
        <v>112.923</v>
      </c>
      <c r="KJ75">
        <v>129.172</v>
      </c>
      <c r="KK75">
        <v>102.33199999999999</v>
      </c>
      <c r="KL75">
        <v>124.898</v>
      </c>
      <c r="KM75">
        <v>95.719899999999996</v>
      </c>
      <c r="KN75">
        <v>103.83799999999999</v>
      </c>
      <c r="KO75">
        <v>102.931</v>
      </c>
      <c r="KT75" t="s">
        <v>573</v>
      </c>
      <c r="KU75">
        <v>2.74</v>
      </c>
      <c r="KY75">
        <f>AVERAGE(Supplementary_Fig7!KY59:KY74)</f>
        <v>4.1438525000000004</v>
      </c>
      <c r="KZ75">
        <f>AVERAGE(Supplementary_Fig7!KZ59:KZ74)</f>
        <v>2.2388987499999997</v>
      </c>
      <c r="LA75">
        <f>AVERAGE(Supplementary_Fig7!LA59:LA74)</f>
        <v>2.3049181249999999</v>
      </c>
      <c r="LB75">
        <f>AVERAGE(Supplementary_Fig7!LB59:LB74)</f>
        <v>1.9713168750000003</v>
      </c>
      <c r="LC75">
        <f>AVERAGE(Supplementary_Fig7!LC59:LC74)</f>
        <v>3.2140653333333331</v>
      </c>
      <c r="LD75">
        <f>AVERAGE(Supplementary_Fig7!LD59:LD74)</f>
        <v>2.2392081250000002</v>
      </c>
      <c r="LF75">
        <f>AVERAGE(Supplementary_Fig7!LF59:LF74)</f>
        <v>2.2815537499999996</v>
      </c>
      <c r="LG75">
        <f>AVERAGE(Supplementary_Fig7!LG59:LG74)</f>
        <v>2.0250368750000001</v>
      </c>
      <c r="LH75">
        <f>AVERAGE(Supplementary_Fig7!LH59:LH74)</f>
        <v>2.0196800000000001</v>
      </c>
      <c r="LJ75">
        <f>AVERAGE(Supplementary_Fig7!LJ59:LJ74)</f>
        <v>1.9385506250000004</v>
      </c>
      <c r="LK75">
        <f>AVERAGE(Supplementary_Fig7!LK59:LK74)</f>
        <v>2.5126037499999998</v>
      </c>
      <c r="LN75">
        <f>AVERAGE(Supplementary_Fig7!LN59:LN74)</f>
        <v>2.0022181250000002</v>
      </c>
      <c r="LP75">
        <f>AVERAGE(Supplementary_Fig7!LP59:LP74)</f>
        <v>1.6643306249999998</v>
      </c>
      <c r="LR75">
        <f>AVERAGE(Supplementary_Fig7!LR59:LR74)</f>
        <v>1.7197424999999997</v>
      </c>
      <c r="LW75" t="s">
        <v>542</v>
      </c>
      <c r="LX75">
        <v>1.7</v>
      </c>
      <c r="ME75">
        <f>AVERAGE(ME59:ME74)</f>
        <v>1.6590843750000002</v>
      </c>
      <c r="MZ75" t="s">
        <v>581</v>
      </c>
      <c r="NA75">
        <v>1.95</v>
      </c>
      <c r="ND75">
        <v>1.58439</v>
      </c>
      <c r="NE75">
        <v>1.6367400000000001</v>
      </c>
      <c r="NF75">
        <v>1.55288</v>
      </c>
      <c r="NG75">
        <v>1.9564299999999999</v>
      </c>
      <c r="NH75">
        <v>1.5399700000000001</v>
      </c>
      <c r="NI75">
        <v>1.5073000000000001</v>
      </c>
      <c r="NJ75">
        <v>1.86328</v>
      </c>
      <c r="NK75">
        <v>1.43123</v>
      </c>
      <c r="NL75">
        <v>1.35253</v>
      </c>
      <c r="NM75">
        <v>1.5366899999999999</v>
      </c>
      <c r="NN75">
        <v>1.3763300000000001</v>
      </c>
      <c r="NO75">
        <v>1.36985</v>
      </c>
      <c r="NP75">
        <v>1.24098</v>
      </c>
      <c r="NQ75">
        <v>1.6160699999999999</v>
      </c>
      <c r="NR75">
        <v>1.3404499999999999</v>
      </c>
      <c r="NS75">
        <v>1.40208</v>
      </c>
      <c r="NT75">
        <v>1.34613</v>
      </c>
      <c r="NU75">
        <v>1.7936099999999999</v>
      </c>
      <c r="NZ75" t="s">
        <v>579</v>
      </c>
      <c r="OA75">
        <v>138.255</v>
      </c>
      <c r="OC75" t="s">
        <v>542</v>
      </c>
      <c r="OD75">
        <v>228.20500000000001</v>
      </c>
      <c r="OF75" t="s">
        <v>581</v>
      </c>
      <c r="OG75">
        <v>162.94300000000001</v>
      </c>
      <c r="OL75" s="1" t="s">
        <v>1045</v>
      </c>
      <c r="OM75" s="1" t="s">
        <v>1052</v>
      </c>
      <c r="ON75" s="1" t="s">
        <v>1045</v>
      </c>
      <c r="OO75" s="1" t="s">
        <v>1052</v>
      </c>
      <c r="OP75" s="1" t="s">
        <v>1045</v>
      </c>
      <c r="OQ75" s="1" t="s">
        <v>1052</v>
      </c>
      <c r="OR75" s="1" t="s">
        <v>1045</v>
      </c>
      <c r="OS75" s="1" t="s">
        <v>1052</v>
      </c>
      <c r="OT75" s="1" t="s">
        <v>1045</v>
      </c>
      <c r="OU75" s="1" t="s">
        <v>1052</v>
      </c>
      <c r="OV75" s="1" t="s">
        <v>1045</v>
      </c>
      <c r="OW75" s="1" t="s">
        <v>1052</v>
      </c>
      <c r="OX75" s="1" t="s">
        <v>1045</v>
      </c>
      <c r="OY75" s="1" t="s">
        <v>1052</v>
      </c>
      <c r="OZ75" s="1" t="s">
        <v>1045</v>
      </c>
      <c r="PA75" s="1" t="s">
        <v>1052</v>
      </c>
      <c r="PD75">
        <v>-96.46</v>
      </c>
      <c r="PE75">
        <v>8.51</v>
      </c>
      <c r="QB75">
        <v>4</v>
      </c>
      <c r="QC75">
        <v>-94.98</v>
      </c>
      <c r="QD75">
        <v>3.97</v>
      </c>
      <c r="QF75">
        <v>260324</v>
      </c>
      <c r="QG75">
        <v>8</v>
      </c>
      <c r="QH75">
        <v>0</v>
      </c>
      <c r="QI75">
        <v>7.13</v>
      </c>
      <c r="QJ75">
        <v>-90.78</v>
      </c>
      <c r="QM75">
        <v>2.5</v>
      </c>
      <c r="QN75">
        <v>-86.24</v>
      </c>
      <c r="QQ75">
        <v>3.9</v>
      </c>
      <c r="QR75">
        <v>-99.56</v>
      </c>
      <c r="QS75">
        <v>1.51</v>
      </c>
      <c r="QT75">
        <v>-83.47</v>
      </c>
      <c r="QW75">
        <v>4.97</v>
      </c>
      <c r="QX75">
        <v>-87.7</v>
      </c>
      <c r="RA75">
        <v>-87.09</v>
      </c>
      <c r="RB75">
        <v>2.66</v>
      </c>
    </row>
    <row r="76" spans="130:470" x14ac:dyDescent="0.35">
      <c r="FA76">
        <v>270324</v>
      </c>
      <c r="FB76">
        <v>6</v>
      </c>
      <c r="FC76">
        <v>0</v>
      </c>
      <c r="FE76">
        <v>1</v>
      </c>
      <c r="FK76">
        <v>1</v>
      </c>
      <c r="FL76">
        <f>SUM(Supplementary_Fig7!FD76:FK76)</f>
        <v>2</v>
      </c>
      <c r="FO76" t="s">
        <v>741</v>
      </c>
      <c r="FS76" t="s">
        <v>741</v>
      </c>
      <c r="FW76">
        <v>64.084999999999994</v>
      </c>
      <c r="FY76">
        <v>35.861600000000003</v>
      </c>
      <c r="GA76">
        <v>53.009700000000002</v>
      </c>
      <c r="GC76">
        <v>109.03100000000001</v>
      </c>
      <c r="GH76" t="s">
        <v>546</v>
      </c>
      <c r="GJ76">
        <v>69.13</v>
      </c>
      <c r="GL76" t="s">
        <v>546</v>
      </c>
      <c r="GN76">
        <f t="shared" si="18"/>
        <v>43.551899999999996</v>
      </c>
      <c r="GZ76" t="s">
        <v>584</v>
      </c>
      <c r="HB76">
        <v>78.45</v>
      </c>
      <c r="HD76" t="s">
        <v>584</v>
      </c>
      <c r="HF76">
        <f>63*Supplementary_Fig7!HB76/100</f>
        <v>49.423500000000004</v>
      </c>
      <c r="HJ76" t="s">
        <v>571</v>
      </c>
      <c r="HK76" t="s">
        <v>575</v>
      </c>
      <c r="HL76" t="s">
        <v>578</v>
      </c>
      <c r="HM76" t="s">
        <v>581</v>
      </c>
      <c r="HN76" t="s">
        <v>584</v>
      </c>
      <c r="HO76" t="s">
        <v>587</v>
      </c>
      <c r="HP76" t="s">
        <v>590</v>
      </c>
      <c r="HQ76" t="s">
        <v>593</v>
      </c>
      <c r="HV76" t="s">
        <v>576</v>
      </c>
      <c r="HW76">
        <v>88.06</v>
      </c>
      <c r="HZ76">
        <f>AVERAGE(Supplementary_Fig7!HZ60:HZ75)</f>
        <v>84.884450000000001</v>
      </c>
      <c r="IC76">
        <f>AVERAGE(Supplementary_Fig7!IC60:IC75)</f>
        <v>97.799243750000002</v>
      </c>
      <c r="ID76">
        <f>AVERAGE(Supplementary_Fig7!ID60:ID75)</f>
        <v>78.387162500000017</v>
      </c>
      <c r="IG76">
        <f>AVERAGE(Supplementary_Fig7!IG60:IG75)</f>
        <v>73.6204125</v>
      </c>
      <c r="IH76">
        <f>AVERAGE(Supplementary_Fig7!IH60:IH75)</f>
        <v>84.620662499999995</v>
      </c>
      <c r="II76">
        <f>AVERAGE(Supplementary_Fig7!II60:II75)</f>
        <v>75.920393749999988</v>
      </c>
      <c r="IJ76">
        <f>AVERAGE(Supplementary_Fig7!IJ60:IJ75)</f>
        <v>76.761331249999998</v>
      </c>
      <c r="IK76">
        <f>AVERAGE(Supplementary_Fig7!IK60:IK75)</f>
        <v>73.986343750000003</v>
      </c>
      <c r="IL76">
        <f>AVERAGE(Supplementary_Fig7!IL60:IL75)</f>
        <v>88.323787500000009</v>
      </c>
      <c r="IN76">
        <f>AVERAGE(Supplementary_Fig7!IN60:IN75)</f>
        <v>75.008781249999998</v>
      </c>
      <c r="IO76">
        <f>AVERAGE(Supplementary_Fig7!IO60:IO75)</f>
        <v>91.12122500000001</v>
      </c>
      <c r="IP76">
        <f>AVERAGE(Supplementary_Fig7!IP60:IP75)</f>
        <v>79.270918749999993</v>
      </c>
      <c r="IR76">
        <f>AVERAGE(Supplementary_Fig7!IR60:IR75)</f>
        <v>89.695643750000002</v>
      </c>
      <c r="IS76">
        <f>AVERAGE(Supplementary_Fig7!IS60:IS75)</f>
        <v>89.427756250000002</v>
      </c>
      <c r="IX76" t="s">
        <v>546</v>
      </c>
      <c r="IY76">
        <v>125.92</v>
      </c>
      <c r="JG76">
        <f>AVERAGE(JG61:JG75)</f>
        <v>105.97779999999997</v>
      </c>
      <c r="JH76">
        <f>AVERAGE(JH61:JH75)</f>
        <v>99.649280000000005</v>
      </c>
      <c r="JI76">
        <f>AVERAGE(JI61:JI75)</f>
        <v>126.4742142857143</v>
      </c>
      <c r="JJ76">
        <v>91.688500000000005</v>
      </c>
      <c r="JK76">
        <v>88.404799999999994</v>
      </c>
      <c r="JV76" t="s">
        <v>584</v>
      </c>
      <c r="JW76">
        <v>109.21</v>
      </c>
      <c r="JZ76">
        <v>113.986</v>
      </c>
      <c r="KA76">
        <v>96.513400000000004</v>
      </c>
      <c r="KC76">
        <v>111.96299999999999</v>
      </c>
      <c r="KD76">
        <v>95.762600000000006</v>
      </c>
      <c r="KE76">
        <v>107.443</v>
      </c>
      <c r="KF76">
        <v>114.801</v>
      </c>
      <c r="KG76">
        <v>91.079700000000003</v>
      </c>
      <c r="KH76">
        <f>AVERAGE(Supplementary_Fig7!KH73:KH75)</f>
        <v>102.74266666666666</v>
      </c>
      <c r="KI76">
        <v>113.443</v>
      </c>
      <c r="KJ76">
        <v>126.416</v>
      </c>
      <c r="KK76">
        <v>99.711600000000004</v>
      </c>
      <c r="KL76">
        <v>126.06</v>
      </c>
      <c r="KM76">
        <v>96.499600000000001</v>
      </c>
      <c r="KN76">
        <v>106.688</v>
      </c>
      <c r="KO76">
        <v>102.22199999999999</v>
      </c>
      <c r="KT76" t="s">
        <v>576</v>
      </c>
      <c r="KU76">
        <v>1.97</v>
      </c>
      <c r="LW76" t="s">
        <v>546</v>
      </c>
      <c r="LX76">
        <v>1.48</v>
      </c>
      <c r="MZ76" t="s">
        <v>584</v>
      </c>
      <c r="NA76">
        <v>1.52</v>
      </c>
      <c r="ND76">
        <v>1.57942</v>
      </c>
      <c r="NE76">
        <v>1.6412599999999999</v>
      </c>
      <c r="NF76">
        <v>1.5237799999999999</v>
      </c>
      <c r="NG76">
        <f>AVERAGE(Supplementary_Fig7!NG73:NG75)</f>
        <v>1.9568533333333333</v>
      </c>
      <c r="NH76">
        <v>1.5587800000000001</v>
      </c>
      <c r="NI76">
        <v>1.6137900000000001</v>
      </c>
      <c r="NJ76">
        <v>1.7520199999999999</v>
      </c>
      <c r="NK76">
        <v>1.4115599999999999</v>
      </c>
      <c r="NL76">
        <v>1.35066</v>
      </c>
      <c r="NM76">
        <v>1.54925</v>
      </c>
      <c r="NN76">
        <v>1.3831800000000001</v>
      </c>
      <c r="NO76">
        <v>1.3887499999999999</v>
      </c>
      <c r="NP76">
        <v>1.2373700000000001</v>
      </c>
      <c r="NQ76">
        <v>1.61426</v>
      </c>
      <c r="NR76">
        <v>1.33944</v>
      </c>
      <c r="NS76">
        <v>1.4317500000000001</v>
      </c>
      <c r="NT76">
        <v>1.3591599999999999</v>
      </c>
      <c r="NU76">
        <v>1.75546</v>
      </c>
      <c r="NZ76" t="s">
        <v>582</v>
      </c>
      <c r="OA76">
        <v>165.101</v>
      </c>
      <c r="OC76" t="s">
        <v>546</v>
      </c>
      <c r="OD76">
        <v>414.95699999999999</v>
      </c>
      <c r="OF76" t="s">
        <v>584</v>
      </c>
      <c r="OG76">
        <v>287.54599999999999</v>
      </c>
      <c r="PD76">
        <v>-96.95</v>
      </c>
      <c r="PE76">
        <v>4.93</v>
      </c>
      <c r="QC76">
        <v>-95.06</v>
      </c>
      <c r="QD76">
        <v>2.86</v>
      </c>
      <c r="QF76">
        <v>270324</v>
      </c>
      <c r="QG76">
        <v>6</v>
      </c>
      <c r="QH76">
        <v>0</v>
      </c>
      <c r="RA76">
        <v>-87.34</v>
      </c>
      <c r="RB76">
        <v>1.49</v>
      </c>
    </row>
    <row r="77" spans="130:470" x14ac:dyDescent="0.35">
      <c r="FA77">
        <v>280324</v>
      </c>
      <c r="FB77">
        <v>7</v>
      </c>
      <c r="FC77">
        <v>0</v>
      </c>
      <c r="FL77">
        <f>SUM(Supplementary_Fig7!FD77:FK77)</f>
        <v>0</v>
      </c>
      <c r="FO77" t="s">
        <v>579</v>
      </c>
      <c r="FS77" t="s">
        <v>579</v>
      </c>
      <c r="FW77">
        <v>31.180800000000001</v>
      </c>
      <c r="FY77">
        <v>38.5139</v>
      </c>
      <c r="GA77">
        <v>27.5212</v>
      </c>
      <c r="GC77">
        <v>77.655500000000004</v>
      </c>
      <c r="GH77" t="s">
        <v>550</v>
      </c>
      <c r="GJ77">
        <v>140.34</v>
      </c>
      <c r="GL77" t="s">
        <v>550</v>
      </c>
      <c r="GN77">
        <f t="shared" si="18"/>
        <v>88.414199999999994</v>
      </c>
      <c r="GZ77" t="s">
        <v>587</v>
      </c>
      <c r="HB77">
        <v>56.83</v>
      </c>
      <c r="HD77" t="s">
        <v>587</v>
      </c>
      <c r="HF77">
        <f>63*Supplementary_Fig7!HB77/100</f>
        <v>35.802900000000001</v>
      </c>
      <c r="HJ77">
        <v>32.856999999999999</v>
      </c>
      <c r="HK77">
        <v>63.962699999999998</v>
      </c>
      <c r="HL77">
        <v>57.521799999999999</v>
      </c>
      <c r="HM77">
        <v>56.686599999999999</v>
      </c>
      <c r="HN77">
        <v>91.704999999999998</v>
      </c>
      <c r="HO77">
        <v>47.248199999999997</v>
      </c>
      <c r="HP77">
        <v>59.703099999999999</v>
      </c>
      <c r="HQ77">
        <v>56.841799999999999</v>
      </c>
      <c r="HV77" t="s">
        <v>741</v>
      </c>
      <c r="HW77">
        <v>60.2</v>
      </c>
      <c r="IX77" t="s">
        <v>550</v>
      </c>
      <c r="IY77">
        <v>98.31</v>
      </c>
      <c r="JJ77">
        <f>AVERAGE(JJ61:JJ76)</f>
        <v>89.901825000000002</v>
      </c>
      <c r="JK77">
        <f>AVERAGE(JK61:JK76)</f>
        <v>89.071468750000008</v>
      </c>
      <c r="JV77" t="s">
        <v>587</v>
      </c>
      <c r="JW77">
        <v>113.65</v>
      </c>
      <c r="JZ77">
        <v>113.93300000000001</v>
      </c>
      <c r="KA77">
        <v>92.860399999999998</v>
      </c>
      <c r="KC77">
        <v>112.259</v>
      </c>
      <c r="KD77">
        <v>96.571399999999997</v>
      </c>
      <c r="KE77">
        <v>110.33</v>
      </c>
      <c r="KF77">
        <v>91.943399999999997</v>
      </c>
      <c r="KG77">
        <v>84.243799999999993</v>
      </c>
      <c r="KI77">
        <v>114.64700000000001</v>
      </c>
      <c r="KJ77">
        <v>128.95500000000001</v>
      </c>
      <c r="KK77">
        <v>23.1812</v>
      </c>
      <c r="KL77">
        <v>125.871</v>
      </c>
      <c r="KM77">
        <v>97.868300000000005</v>
      </c>
      <c r="KN77">
        <v>107.455</v>
      </c>
      <c r="KO77">
        <v>101.277</v>
      </c>
      <c r="KT77" t="s">
        <v>741</v>
      </c>
      <c r="KU77">
        <v>2.74</v>
      </c>
      <c r="KY77" t="s">
        <v>569</v>
      </c>
      <c r="KZ77" t="s">
        <v>573</v>
      </c>
      <c r="LA77" t="s">
        <v>576</v>
      </c>
      <c r="LB77" t="s">
        <v>741</v>
      </c>
      <c r="LC77" t="s">
        <v>579</v>
      </c>
      <c r="LD77" t="s">
        <v>582</v>
      </c>
      <c r="LE77" t="s">
        <v>585</v>
      </c>
      <c r="LF77" t="s">
        <v>588</v>
      </c>
      <c r="LG77" t="s">
        <v>591</v>
      </c>
      <c r="LH77" t="s">
        <v>742</v>
      </c>
      <c r="LI77" t="s">
        <v>594</v>
      </c>
      <c r="LJ77" t="s">
        <v>743</v>
      </c>
      <c r="LK77" t="s">
        <v>597</v>
      </c>
      <c r="LL77" t="s">
        <v>600</v>
      </c>
      <c r="LM77" t="s">
        <v>603</v>
      </c>
      <c r="LN77" t="s">
        <v>606</v>
      </c>
      <c r="LO77" t="s">
        <v>609</v>
      </c>
      <c r="LP77" t="s">
        <v>612</v>
      </c>
      <c r="LQ77" t="s">
        <v>615</v>
      </c>
      <c r="LR77" t="s">
        <v>618</v>
      </c>
      <c r="LS77" t="s">
        <v>621</v>
      </c>
      <c r="LT77" t="s">
        <v>624</v>
      </c>
      <c r="LW77" t="s">
        <v>550</v>
      </c>
      <c r="LX77">
        <v>1.58</v>
      </c>
      <c r="MB77" t="s">
        <v>558</v>
      </c>
      <c r="MC77" t="s">
        <v>562</v>
      </c>
      <c r="MD77" t="s">
        <v>566</v>
      </c>
      <c r="ME77" t="s">
        <v>570</v>
      </c>
      <c r="MF77" t="s">
        <v>574</v>
      </c>
      <c r="MG77" t="s">
        <v>577</v>
      </c>
      <c r="MH77" t="s">
        <v>580</v>
      </c>
      <c r="MI77" t="s">
        <v>583</v>
      </c>
      <c r="MJ77" t="s">
        <v>586</v>
      </c>
      <c r="MK77" t="s">
        <v>589</v>
      </c>
      <c r="ML77" t="s">
        <v>592</v>
      </c>
      <c r="MM77" t="s">
        <v>595</v>
      </c>
      <c r="MN77" t="s">
        <v>598</v>
      </c>
      <c r="MO77" t="s">
        <v>601</v>
      </c>
      <c r="MP77" t="s">
        <v>604</v>
      </c>
      <c r="MQ77" t="s">
        <v>607</v>
      </c>
      <c r="MZ77" t="s">
        <v>587</v>
      </c>
      <c r="NA77">
        <v>1.56</v>
      </c>
      <c r="ND77">
        <v>1.5752200000000001</v>
      </c>
      <c r="NE77">
        <v>1.5924400000000001</v>
      </c>
      <c r="NF77">
        <v>1.6101799999999999</v>
      </c>
      <c r="NH77">
        <v>1.4968900000000001</v>
      </c>
      <c r="NI77">
        <v>1.60876</v>
      </c>
      <c r="NJ77">
        <v>1.63303</v>
      </c>
      <c r="NK77">
        <v>1.41971</v>
      </c>
      <c r="NL77">
        <v>1.3622799999999999</v>
      </c>
      <c r="NM77">
        <v>1.57792</v>
      </c>
      <c r="NN77">
        <v>1.3918299999999999</v>
      </c>
      <c r="NO77">
        <v>1.37486</v>
      </c>
      <c r="NP77">
        <v>1.23987</v>
      </c>
      <c r="NQ77">
        <v>1.6328400000000001</v>
      </c>
      <c r="NR77">
        <v>1.31267</v>
      </c>
      <c r="NS77">
        <v>1.42598</v>
      </c>
      <c r="NT77">
        <v>1.3410200000000001</v>
      </c>
      <c r="NU77">
        <v>1.7601899999999999</v>
      </c>
      <c r="NZ77" t="s">
        <v>585</v>
      </c>
      <c r="OA77">
        <v>242.97900000000001</v>
      </c>
      <c r="OC77" t="s">
        <v>550</v>
      </c>
      <c r="OD77">
        <v>195.66499999999999</v>
      </c>
      <c r="OF77" t="s">
        <v>587</v>
      </c>
      <c r="OG77">
        <v>371.202</v>
      </c>
      <c r="PD77">
        <v>-97.06</v>
      </c>
      <c r="PE77">
        <v>7.32</v>
      </c>
      <c r="QC77">
        <v>-95.13</v>
      </c>
      <c r="QD77">
        <v>7.48</v>
      </c>
      <c r="QF77">
        <v>280324</v>
      </c>
      <c r="QG77">
        <v>7</v>
      </c>
      <c r="QH77">
        <v>0</v>
      </c>
      <c r="QS77">
        <v>2.5299999999999998</v>
      </c>
      <c r="QT77">
        <v>-87.64</v>
      </c>
      <c r="RA77">
        <v>-87.39</v>
      </c>
      <c r="RB77">
        <v>1.49</v>
      </c>
    </row>
    <row r="78" spans="130:470" ht="13.15" x14ac:dyDescent="0.4">
      <c r="FA78">
        <v>290324</v>
      </c>
      <c r="FB78">
        <v>5</v>
      </c>
      <c r="FC78">
        <v>0</v>
      </c>
      <c r="FE78">
        <v>1</v>
      </c>
      <c r="FL78">
        <f>SUM(Supplementary_Fig7!FD78:FK78)</f>
        <v>1</v>
      </c>
      <c r="FO78" t="s">
        <v>582</v>
      </c>
      <c r="FP78">
        <v>51.5</v>
      </c>
      <c r="FS78" t="s">
        <v>582</v>
      </c>
      <c r="FT78">
        <f>63*FP78/100</f>
        <v>32.445</v>
      </c>
      <c r="FW78">
        <v>19.879000000000001</v>
      </c>
      <c r="FX78" s="1" t="e">
        <f>AVERAGE(Supplementary_Fig7!FX76:FX77)</f>
        <v>#DIV/0!</v>
      </c>
      <c r="FY78">
        <v>19.6538</v>
      </c>
      <c r="GA78">
        <v>30.461300000000001</v>
      </c>
      <c r="GB78" s="1" t="e">
        <f>AVERAGE(Supplementary_Fig7!GB76:GB77)</f>
        <v>#DIV/0!</v>
      </c>
      <c r="GH78" t="s">
        <v>554</v>
      </c>
      <c r="GJ78">
        <v>69.5</v>
      </c>
      <c r="GL78" t="s">
        <v>554</v>
      </c>
      <c r="GN78">
        <f t="shared" si="18"/>
        <v>43.784999999999997</v>
      </c>
      <c r="GQ78" t="s">
        <v>542</v>
      </c>
      <c r="GR78" t="s">
        <v>546</v>
      </c>
      <c r="GS78" t="s">
        <v>550</v>
      </c>
      <c r="GT78" t="s">
        <v>554</v>
      </c>
      <c r="GU78" t="s">
        <v>1067</v>
      </c>
      <c r="GV78" t="s">
        <v>1068</v>
      </c>
      <c r="GZ78" t="s">
        <v>590</v>
      </c>
      <c r="HB78">
        <v>60.53</v>
      </c>
      <c r="HD78" t="s">
        <v>590</v>
      </c>
      <c r="HF78">
        <f>63*Supplementary_Fig7!HB78/100</f>
        <v>38.133899999999997</v>
      </c>
      <c r="HJ78">
        <v>34.349200000000003</v>
      </c>
      <c r="HK78">
        <v>66.031199999999998</v>
      </c>
      <c r="HL78">
        <v>63.973599999999998</v>
      </c>
      <c r="HM78">
        <v>44.7498</v>
      </c>
      <c r="HN78">
        <v>75.3703</v>
      </c>
      <c r="HO78">
        <v>66.428700000000006</v>
      </c>
      <c r="HP78">
        <v>65.052999999999997</v>
      </c>
      <c r="HQ78">
        <v>61.601500000000001</v>
      </c>
      <c r="HV78" t="s">
        <v>579</v>
      </c>
      <c r="HW78">
        <v>88.59</v>
      </c>
      <c r="HZ78" t="s">
        <v>537</v>
      </c>
      <c r="IA78" t="s">
        <v>541</v>
      </c>
      <c r="IB78" t="s">
        <v>545</v>
      </c>
      <c r="IC78" t="s">
        <v>549</v>
      </c>
      <c r="ID78" t="s">
        <v>553</v>
      </c>
      <c r="IE78" t="s">
        <v>557</v>
      </c>
      <c r="IF78" t="s">
        <v>561</v>
      </c>
      <c r="IG78" t="s">
        <v>565</v>
      </c>
      <c r="IH78" t="s">
        <v>569</v>
      </c>
      <c r="II78" t="s">
        <v>573</v>
      </c>
      <c r="IJ78" t="s">
        <v>576</v>
      </c>
      <c r="IK78" t="s">
        <v>741</v>
      </c>
      <c r="IL78" t="s">
        <v>579</v>
      </c>
      <c r="IM78" t="s">
        <v>582</v>
      </c>
      <c r="IN78" t="s">
        <v>585</v>
      </c>
      <c r="IO78" t="s">
        <v>588</v>
      </c>
      <c r="IP78" t="s">
        <v>591</v>
      </c>
      <c r="IQ78" t="s">
        <v>742</v>
      </c>
      <c r="IR78" t="s">
        <v>594</v>
      </c>
      <c r="IS78" t="s">
        <v>743</v>
      </c>
      <c r="IT78" t="s">
        <v>597</v>
      </c>
      <c r="IU78" t="s">
        <v>600</v>
      </c>
      <c r="IX78" t="s">
        <v>554</v>
      </c>
      <c r="IY78">
        <v>97.34</v>
      </c>
      <c r="JV78" t="s">
        <v>590</v>
      </c>
      <c r="JW78">
        <v>89.7</v>
      </c>
      <c r="JZ78">
        <v>111.72799999999999</v>
      </c>
      <c r="KA78">
        <f>AVERAGE(Supplementary_Fig7!KA73:KA77)</f>
        <v>94.785780000000003</v>
      </c>
      <c r="KC78">
        <v>112.95</v>
      </c>
      <c r="KD78">
        <v>97.801199999999994</v>
      </c>
      <c r="KE78">
        <v>108.84099999999999</v>
      </c>
      <c r="KF78">
        <v>113.48099999999999</v>
      </c>
      <c r="KG78">
        <v>86.866799999999998</v>
      </c>
      <c r="KI78">
        <v>115.062</v>
      </c>
      <c r="KJ78">
        <v>128.27099999999999</v>
      </c>
      <c r="KK78">
        <v>96.546899999999994</v>
      </c>
      <c r="KL78">
        <v>128.58099999999999</v>
      </c>
      <c r="KM78">
        <v>93.312100000000001</v>
      </c>
      <c r="KN78">
        <v>107.404</v>
      </c>
      <c r="KO78">
        <v>102.199</v>
      </c>
      <c r="KT78" t="s">
        <v>579</v>
      </c>
      <c r="KU78">
        <v>2.5</v>
      </c>
      <c r="KY78">
        <v>2.59239</v>
      </c>
      <c r="KZ78">
        <v>2.8233600000000001</v>
      </c>
      <c r="LA78">
        <v>2.2086100000000002</v>
      </c>
      <c r="LB78">
        <v>3.3256299999999999</v>
      </c>
      <c r="LC78">
        <v>2.6080899999999998</v>
      </c>
      <c r="LD78">
        <v>2.2030599999999998</v>
      </c>
      <c r="LE78">
        <v>1.7547699999999999</v>
      </c>
      <c r="LF78">
        <v>2.4324400000000002</v>
      </c>
      <c r="LG78">
        <v>1.52864</v>
      </c>
      <c r="LH78">
        <v>2.4838800000000001</v>
      </c>
      <c r="LI78">
        <v>2.0937600000000001</v>
      </c>
      <c r="LJ78">
        <v>2.6256200000000001</v>
      </c>
      <c r="LK78">
        <v>1.8757699999999999</v>
      </c>
      <c r="LL78">
        <v>1.8991</v>
      </c>
      <c r="LM78">
        <v>2.26797</v>
      </c>
      <c r="LN78">
        <v>1.92584</v>
      </c>
      <c r="LO78">
        <v>2.4779800000000001</v>
      </c>
      <c r="LP78">
        <v>3.0064700000000002</v>
      </c>
      <c r="LQ78">
        <v>1.5663899999999999</v>
      </c>
      <c r="LR78">
        <v>1.7222</v>
      </c>
      <c r="LS78">
        <v>2.3803000000000001</v>
      </c>
      <c r="LT78">
        <v>1.6205799999999999</v>
      </c>
      <c r="LW78" t="s">
        <v>554</v>
      </c>
      <c r="LX78">
        <v>1.53</v>
      </c>
      <c r="MB78">
        <v>1.7886899999999999</v>
      </c>
      <c r="MC78">
        <v>1.81749</v>
      </c>
      <c r="MD78">
        <v>1.79406</v>
      </c>
      <c r="ME78">
        <v>2.0167600000000001</v>
      </c>
      <c r="MF78">
        <v>1.73261</v>
      </c>
      <c r="MG78">
        <v>1.6306700000000001</v>
      </c>
      <c r="MH78">
        <v>1.4715100000000001</v>
      </c>
      <c r="MI78">
        <v>1.71217</v>
      </c>
      <c r="MJ78">
        <v>1.56419</v>
      </c>
      <c r="MK78">
        <v>1.53664</v>
      </c>
      <c r="ML78">
        <v>1.49776</v>
      </c>
      <c r="MM78">
        <v>1.52285</v>
      </c>
      <c r="MN78">
        <v>1.4286300000000001</v>
      </c>
      <c r="MO78">
        <v>1.6295200000000001</v>
      </c>
      <c r="MP78">
        <v>1.48587</v>
      </c>
      <c r="MQ78">
        <v>1.4980899999999999</v>
      </c>
      <c r="MZ78" t="s">
        <v>590</v>
      </c>
      <c r="NA78">
        <v>1.7</v>
      </c>
      <c r="ND78">
        <v>1.54792</v>
      </c>
      <c r="NE78">
        <v>1.58623</v>
      </c>
      <c r="NF78">
        <v>1.54451</v>
      </c>
      <c r="NH78">
        <v>1.49837</v>
      </c>
      <c r="NI78">
        <v>1.60561</v>
      </c>
      <c r="NJ78">
        <v>1.40242</v>
      </c>
      <c r="NK78">
        <v>1.4065799999999999</v>
      </c>
      <c r="NL78">
        <v>1.3742099999999999</v>
      </c>
      <c r="NM78">
        <v>1.56213</v>
      </c>
      <c r="NN78">
        <v>1.4012800000000001</v>
      </c>
      <c r="NO78">
        <v>1.3636999999999999</v>
      </c>
      <c r="NP78">
        <v>1.29419</v>
      </c>
      <c r="NQ78">
        <v>1.6071599999999999</v>
      </c>
      <c r="NR78">
        <v>1.33057</v>
      </c>
      <c r="NS78">
        <v>1.4252800000000001</v>
      </c>
      <c r="NT78">
        <v>1.3511</v>
      </c>
      <c r="NU78">
        <v>1.8016099999999999</v>
      </c>
      <c r="NZ78" t="s">
        <v>588</v>
      </c>
      <c r="OA78">
        <v>122.27</v>
      </c>
      <c r="OC78" t="s">
        <v>554</v>
      </c>
      <c r="OD78">
        <v>292.55200000000002</v>
      </c>
      <c r="OF78" t="s">
        <v>590</v>
      </c>
      <c r="OG78">
        <v>140.35400000000001</v>
      </c>
      <c r="PD78">
        <v>-97.2</v>
      </c>
      <c r="PE78">
        <v>8.42</v>
      </c>
      <c r="QC78">
        <v>-95.17</v>
      </c>
      <c r="QD78">
        <v>3.74</v>
      </c>
      <c r="QF78">
        <v>290324</v>
      </c>
      <c r="QG78">
        <v>5</v>
      </c>
      <c r="QH78">
        <v>0</v>
      </c>
      <c r="RA78">
        <v>-87.42</v>
      </c>
      <c r="RB78">
        <v>5.47</v>
      </c>
    </row>
    <row r="79" spans="130:470" ht="13.15" x14ac:dyDescent="0.4">
      <c r="FA79">
        <v>110624</v>
      </c>
      <c r="FB79">
        <v>6</v>
      </c>
      <c r="FC79">
        <v>0</v>
      </c>
      <c r="FL79">
        <f>SUM(Supplementary_Fig7!FD79:FK79)</f>
        <v>0</v>
      </c>
      <c r="FO79" t="s">
        <v>585</v>
      </c>
      <c r="FP79">
        <v>38.380000000000003</v>
      </c>
      <c r="FS79" t="s">
        <v>585</v>
      </c>
      <c r="FT79">
        <f>63*FP79/100</f>
        <v>24.179400000000001</v>
      </c>
      <c r="FY79">
        <v>25.231400000000001</v>
      </c>
      <c r="GA79" s="1">
        <f>AVERAGE(Supplementary_Fig7!GA76:GA78)</f>
        <v>36.997399999999999</v>
      </c>
      <c r="GH79" t="s">
        <v>1067</v>
      </c>
      <c r="GJ79">
        <v>47.56</v>
      </c>
      <c r="GL79" t="s">
        <v>1067</v>
      </c>
      <c r="GN79">
        <f t="shared" si="18"/>
        <v>29.962800000000001</v>
      </c>
      <c r="GQ79">
        <v>60.119199999999999</v>
      </c>
      <c r="GR79">
        <v>59.530999999999999</v>
      </c>
      <c r="GS79">
        <v>129.35599999999999</v>
      </c>
      <c r="GT79">
        <v>70.164599999999993</v>
      </c>
      <c r="GU79">
        <v>55.351700000000001</v>
      </c>
      <c r="GV79">
        <v>52.556800000000003</v>
      </c>
      <c r="GZ79" t="s">
        <v>593</v>
      </c>
      <c r="HB79">
        <v>59.64</v>
      </c>
      <c r="HD79" t="s">
        <v>593</v>
      </c>
      <c r="HF79">
        <f>63*Supplementary_Fig7!HB79/100</f>
        <v>37.5732</v>
      </c>
      <c r="HJ79">
        <v>35.184399999999997</v>
      </c>
      <c r="HK79">
        <v>91.913700000000006</v>
      </c>
      <c r="HL79">
        <v>55.086799999999997</v>
      </c>
      <c r="HM79">
        <v>57.048900000000003</v>
      </c>
      <c r="HN79">
        <v>68.284400000000005</v>
      </c>
      <c r="HP79">
        <v>56.841799999999999</v>
      </c>
      <c r="HQ79">
        <v>60.488799999999998</v>
      </c>
      <c r="HV79" t="s">
        <v>582</v>
      </c>
      <c r="HW79">
        <v>90.61</v>
      </c>
      <c r="HZ79">
        <v>90.504499999999993</v>
      </c>
      <c r="IA79">
        <v>89.303600000000003</v>
      </c>
      <c r="IB79">
        <v>87.487799999999993</v>
      </c>
      <c r="IC79">
        <v>96.092200000000005</v>
      </c>
      <c r="ID79">
        <v>92.807000000000002</v>
      </c>
      <c r="IE79">
        <v>91.693100000000001</v>
      </c>
      <c r="IF79">
        <v>94.860799999999998</v>
      </c>
      <c r="IG79">
        <v>87.065100000000001</v>
      </c>
      <c r="IH79">
        <v>75.942999999999998</v>
      </c>
      <c r="II79">
        <v>75.871300000000005</v>
      </c>
      <c r="IJ79">
        <v>84.3994</v>
      </c>
      <c r="IK79">
        <v>66.848799999999997</v>
      </c>
      <c r="IL79">
        <v>78.849800000000002</v>
      </c>
      <c r="IM79">
        <v>75.003100000000003</v>
      </c>
      <c r="IN79">
        <v>89.524799999999999</v>
      </c>
      <c r="IO79">
        <v>63.8123</v>
      </c>
      <c r="IP79">
        <v>87.411500000000004</v>
      </c>
      <c r="IQ79">
        <v>72.044399999999996</v>
      </c>
      <c r="IR79">
        <v>70.394900000000007</v>
      </c>
      <c r="IS79">
        <v>68.238799999999998</v>
      </c>
      <c r="IT79">
        <v>82.6828</v>
      </c>
      <c r="IU79">
        <v>77.902199999999993</v>
      </c>
      <c r="IX79" t="s">
        <v>558</v>
      </c>
      <c r="IY79">
        <v>112.41</v>
      </c>
      <c r="JB79" t="s">
        <v>516</v>
      </c>
      <c r="JC79" t="s">
        <v>519</v>
      </c>
      <c r="JD79" t="s">
        <v>522</v>
      </c>
      <c r="JE79" t="s">
        <v>526</v>
      </c>
      <c r="JF79" t="s">
        <v>530</v>
      </c>
      <c r="JG79" t="s">
        <v>534</v>
      </c>
      <c r="JH79" t="s">
        <v>538</v>
      </c>
      <c r="JI79" t="s">
        <v>542</v>
      </c>
      <c r="JJ79" t="s">
        <v>546</v>
      </c>
      <c r="JK79" t="s">
        <v>550</v>
      </c>
      <c r="JL79" t="s">
        <v>554</v>
      </c>
      <c r="JM79" t="s">
        <v>558</v>
      </c>
      <c r="JN79" t="s">
        <v>562</v>
      </c>
      <c r="JO79" t="s">
        <v>566</v>
      </c>
      <c r="JP79" t="s">
        <v>570</v>
      </c>
      <c r="JQ79" t="s">
        <v>574</v>
      </c>
      <c r="JR79" t="s">
        <v>577</v>
      </c>
      <c r="JS79" t="s">
        <v>580</v>
      </c>
      <c r="JV79" t="s">
        <v>593</v>
      </c>
      <c r="JW79">
        <v>125.29</v>
      </c>
      <c r="JZ79">
        <v>111.047</v>
      </c>
      <c r="KC79">
        <f>AVERAGE(Supplementary_Fig7!KC73:KC78)</f>
        <v>111.80650000000001</v>
      </c>
      <c r="KD79">
        <v>116.51</v>
      </c>
      <c r="KE79">
        <v>107.545</v>
      </c>
      <c r="KF79">
        <v>113.34099999999999</v>
      </c>
      <c r="KG79">
        <v>90.031400000000005</v>
      </c>
      <c r="KI79">
        <v>115.58499999999999</v>
      </c>
      <c r="KJ79">
        <v>128.08099999999999</v>
      </c>
      <c r="KK79">
        <v>98.658799999999999</v>
      </c>
      <c r="KL79">
        <v>128.65299999999999</v>
      </c>
      <c r="KM79">
        <v>97.215299999999999</v>
      </c>
      <c r="KN79">
        <v>108.11799999999999</v>
      </c>
      <c r="KO79">
        <v>103.224</v>
      </c>
      <c r="KT79" t="s">
        <v>582</v>
      </c>
      <c r="KU79">
        <v>2.11</v>
      </c>
      <c r="KY79">
        <v>2.2852800000000002</v>
      </c>
      <c r="KZ79">
        <v>2.7129699999999999</v>
      </c>
      <c r="LA79">
        <v>1.98674</v>
      </c>
      <c r="LB79">
        <v>3.1857600000000001</v>
      </c>
      <c r="LC79">
        <v>2.5241500000000001</v>
      </c>
      <c r="LD79">
        <v>2.0842700000000001</v>
      </c>
      <c r="LE79">
        <v>1.67225</v>
      </c>
      <c r="LF79">
        <v>2.3534899999999999</v>
      </c>
      <c r="LG79">
        <v>1.43116</v>
      </c>
      <c r="LH79">
        <v>2.3514400000000002</v>
      </c>
      <c r="LI79">
        <v>2.0721400000000001</v>
      </c>
      <c r="LJ79">
        <v>2.4389599999999998</v>
      </c>
      <c r="LK79">
        <v>1.74207</v>
      </c>
      <c r="LL79">
        <v>1.86744</v>
      </c>
      <c r="LM79">
        <v>1.6453100000000001</v>
      </c>
      <c r="LN79">
        <v>1.7637100000000001</v>
      </c>
      <c r="LO79">
        <v>2.3700800000000002</v>
      </c>
      <c r="LP79">
        <v>2.7088299999999998</v>
      </c>
      <c r="LQ79">
        <v>1.44878</v>
      </c>
      <c r="LR79">
        <v>1.7540800000000001</v>
      </c>
      <c r="LS79">
        <v>2.2572000000000001</v>
      </c>
      <c r="LT79">
        <v>1.6035600000000001</v>
      </c>
      <c r="LW79" t="s">
        <v>558</v>
      </c>
      <c r="LX79">
        <v>1.77</v>
      </c>
      <c r="MB79">
        <v>1.7700899999999999</v>
      </c>
      <c r="MC79">
        <v>1.7732399999999999</v>
      </c>
      <c r="MD79">
        <v>1.74647</v>
      </c>
      <c r="ME79">
        <v>2.0631499999999998</v>
      </c>
      <c r="MF79">
        <v>1.7405600000000001</v>
      </c>
      <c r="MG79">
        <v>1.7129300000000001</v>
      </c>
      <c r="MH79">
        <v>1.43974</v>
      </c>
      <c r="MI79">
        <v>1.7141599999999999</v>
      </c>
      <c r="MJ79">
        <v>1.5894299999999999</v>
      </c>
      <c r="MK79">
        <v>1.59338</v>
      </c>
      <c r="ML79">
        <v>1.4963</v>
      </c>
      <c r="MM79">
        <v>1.54884</v>
      </c>
      <c r="MN79">
        <v>1.4247300000000001</v>
      </c>
      <c r="MO79">
        <v>1.58725</v>
      </c>
      <c r="MP79">
        <v>1.45265</v>
      </c>
      <c r="MQ79">
        <v>1.4940199999999999</v>
      </c>
      <c r="MZ79" t="s">
        <v>593</v>
      </c>
      <c r="NA79">
        <v>1.42</v>
      </c>
      <c r="ND79">
        <v>1.5812299999999999</v>
      </c>
      <c r="NE79">
        <v>1.6007100000000001</v>
      </c>
      <c r="NF79">
        <v>1.5362199999999999</v>
      </c>
      <c r="NH79">
        <v>1.5020199999999999</v>
      </c>
      <c r="NI79">
        <v>1.50465</v>
      </c>
      <c r="NJ79">
        <v>1.94207</v>
      </c>
      <c r="NK79">
        <v>1.42065</v>
      </c>
      <c r="NL79">
        <v>1.36134</v>
      </c>
      <c r="NM79">
        <v>1.56385</v>
      </c>
      <c r="NN79">
        <v>1.3911500000000001</v>
      </c>
      <c r="NO79">
        <v>1.3534999999999999</v>
      </c>
      <c r="NP79">
        <v>1.2403299999999999</v>
      </c>
      <c r="NQ79">
        <f>AVERAGE(Supplementary_Fig7!NQ73:NQ78)</f>
        <v>1.6117400000000002</v>
      </c>
      <c r="NR79">
        <v>1.3643400000000001</v>
      </c>
      <c r="NS79">
        <v>1.3720300000000001</v>
      </c>
      <c r="NT79">
        <v>1.3829800000000001</v>
      </c>
      <c r="NU79">
        <v>1.69658</v>
      </c>
      <c r="NZ79" t="s">
        <v>591</v>
      </c>
      <c r="OA79">
        <v>223.429</v>
      </c>
      <c r="OC79" t="s">
        <v>558</v>
      </c>
      <c r="OD79">
        <v>314.22500000000002</v>
      </c>
      <c r="OF79" t="s">
        <v>593</v>
      </c>
      <c r="OG79">
        <v>474.35899999999998</v>
      </c>
      <c r="PD79">
        <v>-97.26</v>
      </c>
      <c r="PE79">
        <v>9.86</v>
      </c>
      <c r="QC79">
        <v>-95.28</v>
      </c>
      <c r="QD79">
        <v>7.22</v>
      </c>
      <c r="QF79">
        <v>110624</v>
      </c>
      <c r="QG79">
        <v>6</v>
      </c>
      <c r="QH79">
        <v>0</v>
      </c>
      <c r="RA79">
        <v>-87.46</v>
      </c>
      <c r="RB79">
        <v>7.06</v>
      </c>
    </row>
    <row r="80" spans="130:470" ht="13.15" x14ac:dyDescent="0.4">
      <c r="FA80">
        <v>1106242</v>
      </c>
      <c r="FB80">
        <v>8</v>
      </c>
      <c r="FC80">
        <v>0</v>
      </c>
      <c r="FL80">
        <f>SUM(Supplementary_Fig7!FD80:FK80)</f>
        <v>0</v>
      </c>
      <c r="FO80" t="s">
        <v>588</v>
      </c>
      <c r="FS80" t="s">
        <v>588</v>
      </c>
      <c r="FW80" s="1">
        <f>AVERAGE(Supplementary_Fig7!FW76:FW79)</f>
        <v>38.381599999999999</v>
      </c>
      <c r="FY80" s="1">
        <f>AVERAGE(Supplementary_Fig7!FY76:FY79)</f>
        <v>29.815175000000004</v>
      </c>
      <c r="FZ80" s="1" t="e">
        <f>AVERAGE(Supplementary_Fig7!FZ76:FZ79)</f>
        <v>#DIV/0!</v>
      </c>
      <c r="GC80" s="1">
        <f>AVERAGE(Supplementary_Fig7!GC76:GC79)</f>
        <v>93.343250000000012</v>
      </c>
      <c r="GD80" s="1" t="e">
        <f>AVERAGE(Supplementary_Fig7!GD76:GD79)</f>
        <v>#DIV/0!</v>
      </c>
      <c r="GH80" t="s">
        <v>1068</v>
      </c>
      <c r="GJ80">
        <v>51.34</v>
      </c>
      <c r="GL80" t="s">
        <v>1068</v>
      </c>
      <c r="GN80">
        <f t="shared" si="18"/>
        <v>32.344200000000001</v>
      </c>
      <c r="GQ80">
        <v>51.391199999999998</v>
      </c>
      <c r="GR80">
        <v>76.569299999999998</v>
      </c>
      <c r="GS80">
        <v>151.33099999999999</v>
      </c>
      <c r="GT80">
        <v>52.866500000000002</v>
      </c>
      <c r="GU80">
        <v>61.3962</v>
      </c>
      <c r="GV80">
        <v>37.516199999999998</v>
      </c>
      <c r="GZ80" t="s">
        <v>596</v>
      </c>
      <c r="HB80">
        <v>47.57</v>
      </c>
      <c r="HD80" t="s">
        <v>596</v>
      </c>
      <c r="HF80">
        <f>63*Supplementary_Fig7!HB80/100</f>
        <v>29.969099999999997</v>
      </c>
      <c r="HJ80">
        <v>29.169599999999999</v>
      </c>
      <c r="HL80" s="8">
        <v>62.565199999999997</v>
      </c>
      <c r="HM80">
        <v>56.655700000000003</v>
      </c>
      <c r="HQ80" s="1">
        <f>AVERAGE(Supplementary_Fig7!HQ77:HQ79)</f>
        <v>59.644033333333333</v>
      </c>
      <c r="HV80" t="s">
        <v>585</v>
      </c>
      <c r="HW80">
        <v>96.98</v>
      </c>
      <c r="HZ80">
        <v>88.53</v>
      </c>
      <c r="IA80">
        <v>89.09</v>
      </c>
      <c r="IB80">
        <v>86.209100000000007</v>
      </c>
      <c r="IC80">
        <v>94.760099999999994</v>
      </c>
      <c r="ID80">
        <v>92.027299999999997</v>
      </c>
      <c r="IE80">
        <v>88.809200000000004</v>
      </c>
      <c r="IF80">
        <v>93.112200000000001</v>
      </c>
      <c r="IG80">
        <v>83.300799999999995</v>
      </c>
      <c r="IH80">
        <v>76.792900000000003</v>
      </c>
      <c r="II80">
        <v>73.066699999999997</v>
      </c>
      <c r="IJ80">
        <v>86.131299999999996</v>
      </c>
      <c r="IK80">
        <v>63.638300000000001</v>
      </c>
      <c r="IL80">
        <v>78.422499999999999</v>
      </c>
      <c r="IM80">
        <v>74.935900000000004</v>
      </c>
      <c r="IN80">
        <v>88.414000000000001</v>
      </c>
      <c r="IO80">
        <v>62.177999999999997</v>
      </c>
      <c r="IP80">
        <v>91.856399999999994</v>
      </c>
      <c r="IQ80">
        <v>70.129400000000004</v>
      </c>
      <c r="IR80">
        <v>71.978800000000007</v>
      </c>
      <c r="IS80">
        <v>66.377300000000005</v>
      </c>
      <c r="IT80">
        <v>79.467799999999997</v>
      </c>
      <c r="IU80">
        <v>74.352999999999994</v>
      </c>
      <c r="IX80" t="s">
        <v>562</v>
      </c>
      <c r="IY80">
        <v>119.15</v>
      </c>
      <c r="JB80">
        <v>95.634500000000003</v>
      </c>
      <c r="JC80">
        <v>96.433999999999997</v>
      </c>
      <c r="JD80">
        <v>91.166700000000006</v>
      </c>
      <c r="JE80">
        <v>96.174599999999998</v>
      </c>
      <c r="JF80">
        <v>98.728899999999996</v>
      </c>
      <c r="JG80">
        <v>98.243700000000004</v>
      </c>
      <c r="JH80">
        <v>109.126</v>
      </c>
      <c r="JI80">
        <v>72.494500000000002</v>
      </c>
      <c r="JJ80">
        <v>125.29600000000001</v>
      </c>
      <c r="JK80">
        <v>80.297899999999998</v>
      </c>
      <c r="JL80">
        <v>97.766099999999994</v>
      </c>
      <c r="JM80">
        <v>99.462900000000005</v>
      </c>
      <c r="JN80">
        <v>119.63800000000001</v>
      </c>
      <c r="JO80">
        <v>97.929400000000001</v>
      </c>
      <c r="JP80">
        <v>83.070400000000006</v>
      </c>
      <c r="JQ80">
        <v>101.393</v>
      </c>
      <c r="JR80">
        <v>104.727</v>
      </c>
      <c r="JS80">
        <v>104.941</v>
      </c>
      <c r="JV80" t="s">
        <v>596</v>
      </c>
      <c r="JW80">
        <v>95.89</v>
      </c>
      <c r="JZ80">
        <v>89.801000000000002</v>
      </c>
      <c r="KD80">
        <v>97.982799999999997</v>
      </c>
      <c r="KE80">
        <v>106.43300000000001</v>
      </c>
      <c r="KF80">
        <v>113.773</v>
      </c>
      <c r="KG80">
        <v>90.252700000000004</v>
      </c>
      <c r="KI80">
        <v>114.34</v>
      </c>
      <c r="KJ80">
        <v>128.09399999999999</v>
      </c>
      <c r="KK80">
        <v>97.932400000000001</v>
      </c>
      <c r="KL80">
        <v>125.372</v>
      </c>
      <c r="KM80">
        <v>97.622699999999995</v>
      </c>
      <c r="KN80">
        <v>109.178</v>
      </c>
      <c r="KO80">
        <v>101.691</v>
      </c>
      <c r="KT80" t="s">
        <v>585</v>
      </c>
      <c r="KU80">
        <v>1.69</v>
      </c>
      <c r="KY80">
        <v>2.3252199999999998</v>
      </c>
      <c r="KZ80">
        <v>2.67184</v>
      </c>
      <c r="LA80">
        <v>1.9694700000000001</v>
      </c>
      <c r="LB80">
        <v>2.8600099999999999</v>
      </c>
      <c r="LC80">
        <v>2.5395699999999999</v>
      </c>
      <c r="LD80">
        <v>2.04101</v>
      </c>
      <c r="LE80">
        <v>1.6821699999999999</v>
      </c>
      <c r="LF80">
        <v>2.4187500000000002</v>
      </c>
      <c r="LG80">
        <v>1.39141</v>
      </c>
      <c r="LH80">
        <v>2.2429299999999999</v>
      </c>
      <c r="LI80">
        <v>2.1503299999999999</v>
      </c>
      <c r="LJ80">
        <v>2.4044699999999999</v>
      </c>
      <c r="LK80">
        <v>1.7214</v>
      </c>
      <c r="LL80">
        <v>1.9136200000000001</v>
      </c>
      <c r="LM80">
        <v>1.61239</v>
      </c>
      <c r="LN80">
        <v>1.7220299999999999</v>
      </c>
      <c r="LO80">
        <v>3.66282</v>
      </c>
      <c r="LP80">
        <v>2.5873499999999998</v>
      </c>
      <c r="LQ80">
        <v>1.4350000000000001</v>
      </c>
      <c r="LR80">
        <v>1.7077199999999999</v>
      </c>
      <c r="LS80">
        <v>2.2642899999999999</v>
      </c>
      <c r="LT80">
        <v>1.5843700000000001</v>
      </c>
      <c r="LW80" t="s">
        <v>562</v>
      </c>
      <c r="LX80">
        <v>1.79</v>
      </c>
      <c r="MB80">
        <v>1.78789</v>
      </c>
      <c r="MC80">
        <v>1.7609699999999999</v>
      </c>
      <c r="MD80">
        <v>1.77854</v>
      </c>
      <c r="ME80">
        <v>2.1375099999999998</v>
      </c>
      <c r="MF80">
        <v>1.75553</v>
      </c>
      <c r="MG80">
        <v>1.7103900000000001</v>
      </c>
      <c r="MH80">
        <v>1.51231</v>
      </c>
      <c r="MI80">
        <v>1.7023699999999999</v>
      </c>
      <c r="MJ80">
        <v>1.5748599999999999</v>
      </c>
      <c r="MK80">
        <v>1.5900799999999999</v>
      </c>
      <c r="ML80">
        <v>1.53352</v>
      </c>
      <c r="MM80">
        <v>1.50386</v>
      </c>
      <c r="MN80">
        <v>1.4417199999999999</v>
      </c>
      <c r="MO80">
        <v>1.6291199999999999</v>
      </c>
      <c r="MP80">
        <v>1.4682299999999999</v>
      </c>
      <c r="MQ80">
        <v>1.4745200000000001</v>
      </c>
      <c r="MZ80" t="s">
        <v>596</v>
      </c>
      <c r="NA80">
        <v>1.36</v>
      </c>
      <c r="ND80">
        <v>1.56751</v>
      </c>
      <c r="NE80">
        <v>1.6051800000000001</v>
      </c>
      <c r="NF80">
        <v>1.5344</v>
      </c>
      <c r="NH80">
        <v>1.49092</v>
      </c>
      <c r="NI80">
        <v>1.5255000000000001</v>
      </c>
      <c r="NJ80">
        <f>AVERAGE(Supplementary_Fig7!NJ73:NJ79)</f>
        <v>1.7038628571428569</v>
      </c>
      <c r="NK80">
        <v>1.4487300000000001</v>
      </c>
      <c r="NL80">
        <v>1.36094</v>
      </c>
      <c r="NM80">
        <v>1.58463</v>
      </c>
      <c r="NN80">
        <v>1.3904000000000001</v>
      </c>
      <c r="NO80">
        <v>1.37754</v>
      </c>
      <c r="NP80">
        <v>1.23719</v>
      </c>
      <c r="NR80">
        <v>1.35025</v>
      </c>
      <c r="NS80">
        <v>1.3762799999999999</v>
      </c>
      <c r="NT80">
        <v>1.35758</v>
      </c>
      <c r="NU80">
        <v>1.6753</v>
      </c>
      <c r="NZ80" t="s">
        <v>594</v>
      </c>
      <c r="OA80">
        <v>145.66499999999999</v>
      </c>
      <c r="OC80" t="s">
        <v>562</v>
      </c>
      <c r="OD80">
        <v>280.58600000000001</v>
      </c>
      <c r="OF80" t="s">
        <v>596</v>
      </c>
      <c r="OG80">
        <v>289.255</v>
      </c>
      <c r="PD80">
        <v>-97.36</v>
      </c>
      <c r="PE80">
        <v>8.5</v>
      </c>
      <c r="QC80">
        <v>-95.35</v>
      </c>
      <c r="QD80">
        <v>3.31</v>
      </c>
      <c r="QF80">
        <v>1106242</v>
      </c>
      <c r="QG80">
        <v>8</v>
      </c>
      <c r="QH80">
        <v>0</v>
      </c>
      <c r="QI80">
        <v>4.17</v>
      </c>
      <c r="QJ80">
        <v>-81.73</v>
      </c>
      <c r="QK80">
        <v>10.35</v>
      </c>
      <c r="QL80">
        <v>-95.47</v>
      </c>
      <c r="QO80">
        <v>5.3</v>
      </c>
      <c r="QP80">
        <v>-94.17</v>
      </c>
      <c r="QQ80">
        <v>9.99</v>
      </c>
      <c r="QR80">
        <v>-91.82</v>
      </c>
      <c r="QS80">
        <v>5.53</v>
      </c>
      <c r="QT80">
        <v>-94.28</v>
      </c>
      <c r="QU80">
        <v>7.06</v>
      </c>
      <c r="QV80">
        <v>-87.46</v>
      </c>
      <c r="QW80">
        <v>4.1399999999999997</v>
      </c>
      <c r="QX80">
        <v>-90.12</v>
      </c>
      <c r="RA80">
        <v>-87.52</v>
      </c>
      <c r="RB80">
        <v>3.06</v>
      </c>
    </row>
    <row r="81" spans="157:470" ht="13.15" x14ac:dyDescent="0.4">
      <c r="FA81">
        <v>120624</v>
      </c>
      <c r="FB81">
        <v>6</v>
      </c>
      <c r="FC81">
        <v>0</v>
      </c>
      <c r="FL81">
        <f>SUM(Supplementary_Fig7!FD81:FK81)</f>
        <v>0</v>
      </c>
      <c r="FO81" t="s">
        <v>591</v>
      </c>
      <c r="FQ81">
        <v>29.81</v>
      </c>
      <c r="FS81" t="s">
        <v>591</v>
      </c>
      <c r="FU81">
        <f>63*FQ81/100</f>
        <v>18.7803</v>
      </c>
      <c r="GH81" t="s">
        <v>558</v>
      </c>
      <c r="GJ81">
        <v>86.09</v>
      </c>
      <c r="GL81" t="s">
        <v>558</v>
      </c>
      <c r="GN81">
        <f t="shared" si="18"/>
        <v>54.236699999999999</v>
      </c>
      <c r="GR81">
        <v>55.519500000000001</v>
      </c>
      <c r="GT81">
        <v>73.931100000000001</v>
      </c>
      <c r="GU81">
        <v>39.114100000000001</v>
      </c>
      <c r="GV81">
        <v>63.969900000000003</v>
      </c>
      <c r="GZ81" t="s">
        <v>599</v>
      </c>
      <c r="HA81">
        <v>72.67</v>
      </c>
      <c r="HD81" t="s">
        <v>599</v>
      </c>
      <c r="HE81">
        <f>63*Supplementary_Fig7!HA81/100</f>
        <v>45.7821</v>
      </c>
      <c r="HJ81" s="1">
        <f>AVERAGE(Supplementary_Fig7!HJ77:HJ80)</f>
        <v>32.890049999999995</v>
      </c>
      <c r="HK81" s="1">
        <f>AVERAGE(Supplementary_Fig7!HK77:HK80)</f>
        <v>73.969200000000001</v>
      </c>
      <c r="HL81" s="1">
        <f>AVERAGE(Supplementary_Fig7!HL77:HL80)</f>
        <v>59.786850000000001</v>
      </c>
      <c r="HM81" s="1">
        <f>AVERAGE(Supplementary_Fig7!HM77:HM80)</f>
        <v>53.785249999999998</v>
      </c>
      <c r="HN81" s="1">
        <f>AVERAGE(Supplementary_Fig7!HN77:HN80)</f>
        <v>78.45323333333333</v>
      </c>
      <c r="HO81" s="1">
        <f>AVERAGE(Supplementary_Fig7!HO77:HO80)</f>
        <v>56.838450000000002</v>
      </c>
      <c r="HP81" s="1">
        <f>AVERAGE(Supplementary_Fig7!HP77:HP80)</f>
        <v>60.532633333333337</v>
      </c>
      <c r="HV81" t="s">
        <v>588</v>
      </c>
      <c r="HW81">
        <v>71.77</v>
      </c>
      <c r="HZ81">
        <v>103.456</v>
      </c>
      <c r="IA81">
        <v>84.709199999999996</v>
      </c>
      <c r="IB81">
        <v>86.039699999999996</v>
      </c>
      <c r="IC81">
        <v>91.523700000000005</v>
      </c>
      <c r="ID81">
        <v>92.799400000000006</v>
      </c>
      <c r="IE81">
        <v>88.884</v>
      </c>
      <c r="IF81">
        <v>90.805099999999996</v>
      </c>
      <c r="IG81">
        <v>110.28100000000001</v>
      </c>
      <c r="IH81">
        <v>93.261700000000005</v>
      </c>
      <c r="II81">
        <v>72.311400000000006</v>
      </c>
      <c r="IJ81">
        <v>84.602400000000003</v>
      </c>
      <c r="IK81">
        <v>60.414099999999998</v>
      </c>
      <c r="IL81">
        <v>78.546099999999996</v>
      </c>
      <c r="IM81">
        <v>73.155199999999994</v>
      </c>
      <c r="IN81">
        <v>87.197900000000004</v>
      </c>
      <c r="IO81">
        <v>62.693800000000003</v>
      </c>
      <c r="IP81">
        <v>105.82899999999999</v>
      </c>
      <c r="IQ81">
        <v>69.178799999999995</v>
      </c>
      <c r="IR81">
        <v>70.843500000000006</v>
      </c>
      <c r="IS81">
        <v>65.4709</v>
      </c>
      <c r="IT81">
        <v>79.277000000000001</v>
      </c>
      <c r="IU81">
        <v>72.651700000000005</v>
      </c>
      <c r="IX81" t="s">
        <v>566</v>
      </c>
      <c r="IY81">
        <v>99</v>
      </c>
      <c r="JB81">
        <v>93.5501</v>
      </c>
      <c r="JC81">
        <v>94.426000000000002</v>
      </c>
      <c r="JD81">
        <v>90.895099999999999</v>
      </c>
      <c r="JE81">
        <v>98.664900000000003</v>
      </c>
      <c r="JF81">
        <v>97.885099999999994</v>
      </c>
      <c r="JG81">
        <v>100.43</v>
      </c>
      <c r="JH81">
        <v>109.52</v>
      </c>
      <c r="JI81">
        <v>70.970200000000006</v>
      </c>
      <c r="JJ81">
        <v>126.56699999999999</v>
      </c>
      <c r="JK81">
        <v>88.734399999999994</v>
      </c>
      <c r="JL81">
        <v>99.971000000000004</v>
      </c>
      <c r="JM81">
        <v>98.14</v>
      </c>
      <c r="JN81">
        <v>121.15600000000001</v>
      </c>
      <c r="JO81">
        <v>98.962400000000002</v>
      </c>
      <c r="JP81">
        <v>81.578100000000006</v>
      </c>
      <c r="JQ81">
        <v>98.5214</v>
      </c>
      <c r="JR81">
        <v>103.345</v>
      </c>
      <c r="JS81">
        <v>112.834</v>
      </c>
      <c r="JV81" t="s">
        <v>599</v>
      </c>
      <c r="JW81">
        <v>93.53</v>
      </c>
      <c r="JZ81">
        <v>93.145799999999994</v>
      </c>
      <c r="KD81">
        <v>97.061199999999999</v>
      </c>
      <c r="KE81">
        <f>AVERAGE(Supplementary_Fig7!KE73:KE80)</f>
        <v>108.27924999999999</v>
      </c>
      <c r="KF81">
        <v>92.454499999999996</v>
      </c>
      <c r="KG81">
        <v>88.430800000000005</v>
      </c>
      <c r="KI81">
        <v>95.315600000000003</v>
      </c>
      <c r="KJ81">
        <v>93.9148</v>
      </c>
      <c r="KK81">
        <f>AVERAGE(Supplementary_Fig7!KK73:KK80)</f>
        <v>89.700975</v>
      </c>
      <c r="KL81">
        <v>103.947</v>
      </c>
      <c r="KM81">
        <v>95.584100000000007</v>
      </c>
      <c r="KN81">
        <v>108.768</v>
      </c>
      <c r="KO81">
        <v>102.783</v>
      </c>
      <c r="KT81" t="s">
        <v>588</v>
      </c>
      <c r="KU81">
        <v>2.36</v>
      </c>
      <c r="KY81">
        <v>2.28301</v>
      </c>
      <c r="KZ81">
        <v>2.6643500000000002</v>
      </c>
      <c r="LA81">
        <v>1.927</v>
      </c>
      <c r="LB81">
        <v>2.6137800000000002</v>
      </c>
      <c r="LC81">
        <v>2.50624</v>
      </c>
      <c r="LD81">
        <v>2.0190299999999999</v>
      </c>
      <c r="LE81">
        <v>1.6216699999999999</v>
      </c>
      <c r="LF81">
        <v>2.38273</v>
      </c>
      <c r="LG81">
        <v>1.3896599999999999</v>
      </c>
      <c r="LH81">
        <v>2.2955999999999999</v>
      </c>
      <c r="LI81">
        <v>2.1599900000000001</v>
      </c>
      <c r="LJ81">
        <v>2.4719600000000002</v>
      </c>
      <c r="LK81">
        <v>1.724</v>
      </c>
      <c r="LL81">
        <v>1.8326800000000001</v>
      </c>
      <c r="LM81">
        <v>1.59416</v>
      </c>
      <c r="LN81">
        <v>1.6755</v>
      </c>
      <c r="LO81">
        <v>3.0296799999999999</v>
      </c>
      <c r="LP81">
        <v>2.6379899999999998</v>
      </c>
      <c r="LQ81">
        <v>1.4086799999999999</v>
      </c>
      <c r="LR81">
        <v>1.66812</v>
      </c>
      <c r="LS81">
        <v>2.38524</v>
      </c>
      <c r="LT81">
        <v>1.56816</v>
      </c>
      <c r="LW81" t="s">
        <v>566</v>
      </c>
      <c r="LX81">
        <v>1.78</v>
      </c>
      <c r="MB81">
        <v>1.67065</v>
      </c>
      <c r="MC81">
        <v>1.81233</v>
      </c>
      <c r="MD81">
        <v>1.77911</v>
      </c>
      <c r="ME81">
        <v>2.1024699999999998</v>
      </c>
      <c r="MF81">
        <v>1.7825599999999999</v>
      </c>
      <c r="MG81">
        <v>1.70529</v>
      </c>
      <c r="MH81">
        <v>1.5105999999999999</v>
      </c>
      <c r="MI81">
        <v>1.6697900000000001</v>
      </c>
      <c r="MJ81">
        <v>1.59321</v>
      </c>
      <c r="MK81">
        <v>1.6043000000000001</v>
      </c>
      <c r="ML81">
        <v>1.53657</v>
      </c>
      <c r="MM81">
        <v>1.4755400000000001</v>
      </c>
      <c r="MN81">
        <v>1.43022</v>
      </c>
      <c r="MO81">
        <v>1.62527</v>
      </c>
      <c r="MP81">
        <v>1.4890699999999999</v>
      </c>
      <c r="MQ81">
        <v>1.4878800000000001</v>
      </c>
      <c r="MZ81" t="s">
        <v>599</v>
      </c>
      <c r="NA81">
        <v>1.58</v>
      </c>
      <c r="ND81">
        <f>AVERAGE(Supplementary_Fig7!ND73:ND80)</f>
        <v>1.5766037500000001</v>
      </c>
      <c r="NE81">
        <v>1.62083</v>
      </c>
      <c r="NF81">
        <v>1.59334</v>
      </c>
      <c r="NH81">
        <v>1.5667899999999999</v>
      </c>
      <c r="NI81">
        <v>1.61425</v>
      </c>
      <c r="NK81">
        <v>1.4147700000000001</v>
      </c>
      <c r="NL81">
        <v>1.38385</v>
      </c>
      <c r="NM81">
        <v>1.5933299999999999</v>
      </c>
      <c r="NN81">
        <v>1.4089700000000001</v>
      </c>
      <c r="NO81">
        <v>1.3858699999999999</v>
      </c>
      <c r="NP81">
        <v>1.23726</v>
      </c>
      <c r="NR81">
        <v>1.3497699999999999</v>
      </c>
      <c r="NS81">
        <v>1.37937</v>
      </c>
      <c r="NT81">
        <v>1.36327</v>
      </c>
      <c r="NU81">
        <v>1.6836100000000001</v>
      </c>
      <c r="NZ81" t="s">
        <v>743</v>
      </c>
      <c r="OA81">
        <v>142.00200000000001</v>
      </c>
      <c r="OC81" t="s">
        <v>566</v>
      </c>
      <c r="OD81">
        <v>274.72500000000002</v>
      </c>
      <c r="OF81" t="s">
        <v>599</v>
      </c>
      <c r="OG81">
        <v>235.53100000000001</v>
      </c>
      <c r="PD81">
        <v>-97.69</v>
      </c>
      <c r="PE81">
        <v>6.75</v>
      </c>
      <c r="QC81">
        <v>-95.43</v>
      </c>
      <c r="QD81">
        <v>3.61</v>
      </c>
      <c r="QF81">
        <v>120624</v>
      </c>
      <c r="QG81">
        <v>6</v>
      </c>
      <c r="QH81">
        <v>0</v>
      </c>
      <c r="RA81">
        <v>-87.64</v>
      </c>
      <c r="RB81">
        <v>2.5299999999999998</v>
      </c>
    </row>
    <row r="82" spans="157:470" x14ac:dyDescent="0.35">
      <c r="FA82">
        <v>1206242</v>
      </c>
      <c r="FB82">
        <v>7</v>
      </c>
      <c r="FC82">
        <v>0</v>
      </c>
      <c r="FL82">
        <f>SUM(Supplementary_Fig7!FD82:FK82)</f>
        <v>0</v>
      </c>
      <c r="FO82" t="s">
        <v>742</v>
      </c>
      <c r="FS82" t="s">
        <v>742</v>
      </c>
      <c r="GH82" t="s">
        <v>562</v>
      </c>
      <c r="GI82">
        <v>77.069999999999993</v>
      </c>
      <c r="GL82" t="s">
        <v>562</v>
      </c>
      <c r="GM82">
        <f>63*GI82/100</f>
        <v>48.554099999999998</v>
      </c>
      <c r="GR82">
        <v>84.912499999999994</v>
      </c>
      <c r="GT82">
        <v>81.043700000000001</v>
      </c>
      <c r="GU82">
        <v>34.386499999999998</v>
      </c>
      <c r="GZ82" t="s">
        <v>602</v>
      </c>
      <c r="HA82">
        <v>44.15</v>
      </c>
      <c r="HD82" t="s">
        <v>602</v>
      </c>
      <c r="HE82">
        <f>63*Supplementary_Fig7!HA82/100</f>
        <v>27.814499999999999</v>
      </c>
      <c r="HV82" t="s">
        <v>591</v>
      </c>
      <c r="HW82">
        <v>101.34</v>
      </c>
      <c r="HZ82">
        <v>107.848</v>
      </c>
      <c r="IA82">
        <v>83.456400000000002</v>
      </c>
      <c r="IB82">
        <v>85.348500000000001</v>
      </c>
      <c r="IC82">
        <v>89.601100000000002</v>
      </c>
      <c r="ID82">
        <v>92.416399999999996</v>
      </c>
      <c r="IE82">
        <v>103.589</v>
      </c>
      <c r="IF82">
        <v>91.574100000000001</v>
      </c>
      <c r="IG82">
        <v>110.40300000000001</v>
      </c>
      <c r="IH82">
        <v>92.959599999999995</v>
      </c>
      <c r="II82">
        <v>95.794700000000006</v>
      </c>
      <c r="IJ82">
        <v>81.861900000000006</v>
      </c>
      <c r="IK82">
        <v>59.635899999999999</v>
      </c>
      <c r="IL82">
        <v>76.710499999999996</v>
      </c>
      <c r="IM82">
        <v>100.43300000000001</v>
      </c>
      <c r="IN82">
        <v>86.183199999999999</v>
      </c>
      <c r="IO82">
        <v>89.416499999999999</v>
      </c>
      <c r="IP82">
        <v>106.65900000000001</v>
      </c>
      <c r="IQ82">
        <v>66.894499999999994</v>
      </c>
      <c r="IR82">
        <v>72.689800000000005</v>
      </c>
      <c r="IS82">
        <v>63.743600000000001</v>
      </c>
      <c r="IT82">
        <v>100.661</v>
      </c>
      <c r="IU82">
        <v>95.739699999999999</v>
      </c>
      <c r="IX82" t="s">
        <v>570</v>
      </c>
      <c r="IY82">
        <v>87.82</v>
      </c>
      <c r="JB82">
        <v>125.85899999999999</v>
      </c>
      <c r="JC82">
        <v>93.757599999999996</v>
      </c>
      <c r="JD82">
        <v>90.365600000000001</v>
      </c>
      <c r="JE82">
        <v>95.249899999999997</v>
      </c>
      <c r="JF82">
        <v>98.352099999999993</v>
      </c>
      <c r="JG82">
        <v>100.848</v>
      </c>
      <c r="JH82">
        <v>111.215</v>
      </c>
      <c r="JI82">
        <v>67.752099999999999</v>
      </c>
      <c r="JJ82">
        <v>124.77</v>
      </c>
      <c r="JK82">
        <v>95.866399999999999</v>
      </c>
      <c r="JL82">
        <v>100.342</v>
      </c>
      <c r="JM82">
        <v>121.806</v>
      </c>
      <c r="JN82">
        <v>120.354</v>
      </c>
      <c r="JO82">
        <v>100.145</v>
      </c>
      <c r="JP82">
        <v>83.145099999999999</v>
      </c>
      <c r="JQ82">
        <v>97.860699999999994</v>
      </c>
      <c r="JR82">
        <v>131.36000000000001</v>
      </c>
      <c r="JS82">
        <v>114.786</v>
      </c>
      <c r="JV82" t="s">
        <v>602</v>
      </c>
      <c r="JW82">
        <v>102.59</v>
      </c>
      <c r="JZ82">
        <v>109.453</v>
      </c>
      <c r="KD82">
        <v>96.394300000000001</v>
      </c>
      <c r="KF82">
        <v>92.07</v>
      </c>
      <c r="KG82">
        <v>89.813199999999995</v>
      </c>
      <c r="KI82">
        <v>96.283000000000001</v>
      </c>
      <c r="KJ82">
        <v>93.907200000000003</v>
      </c>
      <c r="KL82">
        <v>128.804</v>
      </c>
      <c r="KM82">
        <f>AVERAGE(Supplementary_Fig7!KM73:KM81)</f>
        <v>95.890799999999999</v>
      </c>
      <c r="KN82">
        <v>86.575299999999999</v>
      </c>
      <c r="KO82">
        <v>101.462</v>
      </c>
      <c r="KT82" t="s">
        <v>591</v>
      </c>
      <c r="KU82">
        <v>1.41</v>
      </c>
      <c r="KY82">
        <v>2.2555200000000002</v>
      </c>
      <c r="KZ82">
        <v>2.76858</v>
      </c>
      <c r="LA82">
        <v>1.8557600000000001</v>
      </c>
      <c r="LB82">
        <v>2.5307400000000002</v>
      </c>
      <c r="LC82">
        <v>2.5372699999999999</v>
      </c>
      <c r="LD82">
        <v>2.0125299999999999</v>
      </c>
      <c r="LE82">
        <v>1.6322399999999999</v>
      </c>
      <c r="LF82">
        <v>2.2883599999999999</v>
      </c>
      <c r="LG82">
        <v>1.3923000000000001</v>
      </c>
      <c r="LH82">
        <v>2.2431899999999998</v>
      </c>
      <c r="LI82">
        <v>2.0019200000000001</v>
      </c>
      <c r="LJ82">
        <v>2.2972600000000001</v>
      </c>
      <c r="LK82">
        <v>1.6666700000000001</v>
      </c>
      <c r="LL82">
        <v>1.7986599999999999</v>
      </c>
      <c r="LM82">
        <v>1.61758</v>
      </c>
      <c r="LN82">
        <v>1.7010099999999999</v>
      </c>
      <c r="LO82">
        <v>2.4218099999999998</v>
      </c>
      <c r="LP82">
        <v>2.61348</v>
      </c>
      <c r="LQ82">
        <v>1.38452</v>
      </c>
      <c r="LR82">
        <v>1.6607499999999999</v>
      </c>
      <c r="LS82">
        <v>2.5278299999999998</v>
      </c>
      <c r="LT82">
        <v>1.56511</v>
      </c>
      <c r="LW82" t="s">
        <v>570</v>
      </c>
      <c r="LX82">
        <v>2.14</v>
      </c>
      <c r="MB82">
        <v>1.7756700000000001</v>
      </c>
      <c r="MC82">
        <v>1.8596200000000001</v>
      </c>
      <c r="MD82">
        <v>1.7862199999999999</v>
      </c>
      <c r="ME82">
        <v>2.2049599999999998</v>
      </c>
      <c r="MF82">
        <v>1.7710600000000001</v>
      </c>
      <c r="MG82">
        <v>1.68421</v>
      </c>
      <c r="MH82">
        <v>1.518</v>
      </c>
      <c r="MI82">
        <v>1.6560900000000001</v>
      </c>
      <c r="MJ82">
        <v>1.6225799999999999</v>
      </c>
      <c r="MK82">
        <v>1.5841499999999999</v>
      </c>
      <c r="ML82">
        <v>1.55467</v>
      </c>
      <c r="MM82">
        <v>1.4746300000000001</v>
      </c>
      <c r="MN82">
        <v>1.4747300000000001</v>
      </c>
      <c r="MO82">
        <v>1.6411500000000001</v>
      </c>
      <c r="MP82">
        <v>1.5224299999999999</v>
      </c>
      <c r="MQ82">
        <v>1.4762500000000001</v>
      </c>
      <c r="MZ82" t="s">
        <v>602</v>
      </c>
      <c r="NA82">
        <v>1.38</v>
      </c>
      <c r="NE82">
        <v>1.5970899999999999</v>
      </c>
      <c r="NF82">
        <v>1.5717699999999999</v>
      </c>
      <c r="NH82">
        <v>1.5347900000000001</v>
      </c>
      <c r="NI82">
        <v>1.58057</v>
      </c>
      <c r="NK82">
        <v>1.46739</v>
      </c>
      <c r="NL82">
        <f>AVERAGE(Supplementary_Fig7!NL73:NL81)</f>
        <v>1.3647122222222223</v>
      </c>
      <c r="NM82">
        <v>1.3659399999999999</v>
      </c>
      <c r="NN82">
        <v>1.38005</v>
      </c>
      <c r="NO82">
        <v>1.38978</v>
      </c>
      <c r="NP82">
        <f>AVERAGE(Supplementary_Fig7!NP73:NP81)</f>
        <v>1.2533788888888888</v>
      </c>
      <c r="NR82">
        <v>1.3469800000000001</v>
      </c>
      <c r="NS82">
        <v>1.4030400000000001</v>
      </c>
      <c r="NT82">
        <v>1.37713</v>
      </c>
      <c r="NU82">
        <v>1.6737500000000001</v>
      </c>
      <c r="NZ82" t="s">
        <v>597</v>
      </c>
      <c r="OA82">
        <v>216.78899999999999</v>
      </c>
      <c r="OC82" t="s">
        <v>570</v>
      </c>
      <c r="OD82">
        <v>195.971</v>
      </c>
      <c r="OF82" t="s">
        <v>602</v>
      </c>
      <c r="OG82">
        <v>333.23200000000003</v>
      </c>
      <c r="PD82">
        <v>-97.71</v>
      </c>
      <c r="PE82">
        <v>8</v>
      </c>
      <c r="QC82">
        <v>-95.43</v>
      </c>
      <c r="QD82">
        <v>2.58</v>
      </c>
      <c r="QF82">
        <v>1206242</v>
      </c>
      <c r="QG82">
        <v>7</v>
      </c>
      <c r="QH82">
        <v>0</v>
      </c>
      <c r="QM82">
        <v>2.46</v>
      </c>
      <c r="QN82">
        <v>-82.7</v>
      </c>
      <c r="QS82">
        <v>3.36</v>
      </c>
      <c r="QT82">
        <v>-85.89</v>
      </c>
      <c r="QW82">
        <v>1.47</v>
      </c>
      <c r="QX82">
        <v>-88.7</v>
      </c>
      <c r="RA82">
        <v>-87.7</v>
      </c>
      <c r="RB82">
        <v>4.97</v>
      </c>
    </row>
    <row r="83" spans="157:470" ht="13.15" x14ac:dyDescent="0.4">
      <c r="FA83">
        <v>130624</v>
      </c>
      <c r="FB83">
        <v>8</v>
      </c>
      <c r="FC83">
        <v>0</v>
      </c>
      <c r="FL83">
        <f>SUM(Supplementary_Fig7!FD83:FK83)</f>
        <v>0</v>
      </c>
      <c r="FO83" t="s">
        <v>594</v>
      </c>
      <c r="FQ83">
        <v>36.99</v>
      </c>
      <c r="FS83" t="s">
        <v>594</v>
      </c>
      <c r="FU83">
        <f>63*FQ83/100</f>
        <v>23.303700000000003</v>
      </c>
      <c r="FW83" t="s">
        <v>603</v>
      </c>
      <c r="FX83" t="s">
        <v>606</v>
      </c>
      <c r="FY83" t="s">
        <v>609</v>
      </c>
      <c r="FZ83" t="s">
        <v>612</v>
      </c>
      <c r="GA83" t="s">
        <v>615</v>
      </c>
      <c r="GB83" t="s">
        <v>618</v>
      </c>
      <c r="GC83" t="s">
        <v>621</v>
      </c>
      <c r="GD83" t="s">
        <v>624</v>
      </c>
      <c r="GH83" t="s">
        <v>566</v>
      </c>
      <c r="GI83">
        <v>134.33000000000001</v>
      </c>
      <c r="GL83" t="s">
        <v>566</v>
      </c>
      <c r="GM83">
        <f>63*GI83/100</f>
        <v>84.627900000000011</v>
      </c>
      <c r="GQ83" s="1">
        <f t="shared" ref="GQ83:GV83" si="21">AVERAGE(GQ79:GQ82)</f>
        <v>55.755200000000002</v>
      </c>
      <c r="GR83" s="1">
        <f t="shared" si="21"/>
        <v>69.133074999999991</v>
      </c>
      <c r="GS83" s="1">
        <f t="shared" si="21"/>
        <v>140.34350000000001</v>
      </c>
      <c r="GT83" s="1">
        <f t="shared" si="21"/>
        <v>69.501474999999999</v>
      </c>
      <c r="GU83" s="1">
        <f t="shared" si="21"/>
        <v>47.562124999999995</v>
      </c>
      <c r="GV83" s="1">
        <f t="shared" si="21"/>
        <v>51.347633333333334</v>
      </c>
      <c r="GZ83" t="s">
        <v>605</v>
      </c>
      <c r="HB83">
        <v>67.48</v>
      </c>
      <c r="HD83" t="s">
        <v>605</v>
      </c>
      <c r="HF83">
        <f>63*Supplementary_Fig7!HB83/100</f>
        <v>42.512400000000007</v>
      </c>
      <c r="HJ83" t="s">
        <v>596</v>
      </c>
      <c r="HK83" t="s">
        <v>599</v>
      </c>
      <c r="HL83" t="s">
        <v>602</v>
      </c>
      <c r="HM83" t="s">
        <v>605</v>
      </c>
      <c r="HN83" t="s">
        <v>608</v>
      </c>
      <c r="HO83" t="s">
        <v>611</v>
      </c>
      <c r="HP83" t="s">
        <v>614</v>
      </c>
      <c r="HQ83" t="s">
        <v>617</v>
      </c>
      <c r="HR83" t="s">
        <v>620</v>
      </c>
      <c r="HS83" t="s">
        <v>623</v>
      </c>
      <c r="HV83" t="s">
        <v>742</v>
      </c>
      <c r="HW83">
        <v>78.319999999999993</v>
      </c>
      <c r="HZ83">
        <v>111.77200000000001</v>
      </c>
      <c r="IA83">
        <v>84.332300000000004</v>
      </c>
      <c r="IB83">
        <v>84.295699999999997</v>
      </c>
      <c r="IC83">
        <v>89.837599999999995</v>
      </c>
      <c r="ID83">
        <v>92.086799999999997</v>
      </c>
      <c r="IE83">
        <v>107.182</v>
      </c>
      <c r="IF83">
        <v>90.8279</v>
      </c>
      <c r="IG83">
        <v>111.884</v>
      </c>
      <c r="IH83">
        <v>94.827299999999994</v>
      </c>
      <c r="II83">
        <v>95.967100000000002</v>
      </c>
      <c r="IJ83">
        <v>81.742900000000006</v>
      </c>
      <c r="IK83">
        <v>59.498600000000003</v>
      </c>
      <c r="IL83">
        <v>98.986800000000002</v>
      </c>
      <c r="IM83">
        <v>100.333</v>
      </c>
      <c r="IN83">
        <v>111.786</v>
      </c>
      <c r="IO83">
        <v>91.123999999999995</v>
      </c>
      <c r="IP83">
        <v>104.69499999999999</v>
      </c>
      <c r="IQ83">
        <v>66.387900000000002</v>
      </c>
      <c r="IR83">
        <v>74.703999999999994</v>
      </c>
      <c r="IS83">
        <v>62.5595</v>
      </c>
      <c r="IT83">
        <v>102.666</v>
      </c>
      <c r="IU83">
        <v>96.823099999999997</v>
      </c>
      <c r="IX83" t="s">
        <v>574</v>
      </c>
      <c r="IY83">
        <v>98.76</v>
      </c>
      <c r="JB83">
        <v>128.79900000000001</v>
      </c>
      <c r="JC83">
        <v>118.047</v>
      </c>
      <c r="JD83">
        <v>91.108699999999999</v>
      </c>
      <c r="JE83">
        <v>96.075400000000002</v>
      </c>
      <c r="JF83">
        <v>98.266599999999997</v>
      </c>
      <c r="JG83">
        <v>112.321</v>
      </c>
      <c r="JH83">
        <v>111.07</v>
      </c>
      <c r="JI83">
        <v>108.914</v>
      </c>
      <c r="JJ83">
        <v>126.047</v>
      </c>
      <c r="JK83">
        <v>107.54900000000001</v>
      </c>
      <c r="JL83">
        <v>99.415599999999998</v>
      </c>
      <c r="JM83">
        <v>119.73699999999999</v>
      </c>
      <c r="JN83">
        <v>122.595</v>
      </c>
      <c r="JO83">
        <v>101.726</v>
      </c>
      <c r="JP83">
        <v>82.083100000000002</v>
      </c>
      <c r="JQ83">
        <v>96.9238</v>
      </c>
      <c r="JR83">
        <v>130.59800000000001</v>
      </c>
      <c r="JS83">
        <v>115.381</v>
      </c>
      <c r="JV83" t="s">
        <v>605</v>
      </c>
      <c r="JW83">
        <v>122.97</v>
      </c>
      <c r="JZ83">
        <v>111.04600000000001</v>
      </c>
      <c r="KD83">
        <v>96.302800000000005</v>
      </c>
      <c r="KF83">
        <v>91.685500000000005</v>
      </c>
      <c r="KG83">
        <f>AVERAGE(Supplementary_Fig7!KG73:KG82)</f>
        <v>88.734739999999988</v>
      </c>
      <c r="KI83">
        <v>94.71</v>
      </c>
      <c r="KJ83">
        <v>93.563800000000001</v>
      </c>
      <c r="KL83">
        <v>129.834</v>
      </c>
      <c r="KN83">
        <v>51.463299999999997</v>
      </c>
      <c r="KO83">
        <v>103.465</v>
      </c>
      <c r="KT83" t="s">
        <v>742</v>
      </c>
      <c r="KU83">
        <v>2.29</v>
      </c>
      <c r="KY83">
        <v>2.3753500000000001</v>
      </c>
      <c r="KZ83">
        <v>2.8537400000000002</v>
      </c>
      <c r="LA83">
        <v>1.8954</v>
      </c>
      <c r="LB83">
        <v>2.4578899999999999</v>
      </c>
      <c r="LC83">
        <v>2.5282499999999999</v>
      </c>
      <c r="LD83">
        <v>2.0310000000000001</v>
      </c>
      <c r="LE83">
        <v>1.6319399999999999</v>
      </c>
      <c r="LF83">
        <v>1.9447399999999999</v>
      </c>
      <c r="LG83">
        <v>1.40263</v>
      </c>
      <c r="LH83">
        <v>2.1947800000000002</v>
      </c>
      <c r="LI83">
        <v>1.9258599999999999</v>
      </c>
      <c r="LJ83">
        <v>2.4744199999999998</v>
      </c>
      <c r="LK83">
        <v>1.72563</v>
      </c>
      <c r="LL83">
        <v>1.7922499999999999</v>
      </c>
      <c r="LM83">
        <v>1.6003799999999999</v>
      </c>
      <c r="LN83">
        <v>1.68862</v>
      </c>
      <c r="LO83">
        <v>3.4506600000000001</v>
      </c>
      <c r="LP83">
        <v>2.6692</v>
      </c>
      <c r="LQ83">
        <v>1.4131100000000001</v>
      </c>
      <c r="LR83">
        <v>1.6049500000000001</v>
      </c>
      <c r="LS83">
        <v>2.53518</v>
      </c>
      <c r="LT83">
        <v>1.5612999999999999</v>
      </c>
      <c r="LW83" t="s">
        <v>574</v>
      </c>
      <c r="LX83">
        <v>1.74</v>
      </c>
      <c r="MB83">
        <v>1.7786200000000001</v>
      </c>
      <c r="MC83">
        <v>1.7802800000000001</v>
      </c>
      <c r="MD83">
        <v>1.79234</v>
      </c>
      <c r="ME83">
        <v>2.2403599999999999</v>
      </c>
      <c r="MF83">
        <v>1.7641</v>
      </c>
      <c r="MH83">
        <v>1.5367900000000001</v>
      </c>
      <c r="MI83">
        <v>1.6653</v>
      </c>
      <c r="MJ83">
        <v>1.64113</v>
      </c>
      <c r="ML83">
        <v>1.57498</v>
      </c>
      <c r="MM83">
        <v>1.53735</v>
      </c>
      <c r="MN83">
        <v>1.49509</v>
      </c>
      <c r="MO83">
        <v>1.6321600000000001</v>
      </c>
      <c r="MP83">
        <v>1.5666100000000001</v>
      </c>
      <c r="MQ83">
        <v>1.4857</v>
      </c>
      <c r="MZ83" t="s">
        <v>605</v>
      </c>
      <c r="NA83">
        <v>1.37</v>
      </c>
      <c r="NE83">
        <v>1.59781</v>
      </c>
      <c r="NF83">
        <f>AVERAGE(Supplementary_Fig7!NF73:NF82)</f>
        <v>1.5548369999999998</v>
      </c>
      <c r="NH83">
        <v>1.5240800000000001</v>
      </c>
      <c r="NI83">
        <v>1.5653900000000001</v>
      </c>
      <c r="NK83">
        <v>1.42774</v>
      </c>
      <c r="NM83">
        <v>1.8489599999999999</v>
      </c>
      <c r="NN83">
        <v>1.34175</v>
      </c>
      <c r="NO83">
        <f>AVERAGE(Supplementary_Fig7!NO73:NO82)</f>
        <v>1.3737860000000002</v>
      </c>
      <c r="NR83">
        <v>1.34067</v>
      </c>
      <c r="NS83">
        <v>1.39391</v>
      </c>
      <c r="NT83">
        <v>1.3850100000000001</v>
      </c>
      <c r="NU83">
        <v>1.83067</v>
      </c>
      <c r="NZ83" t="s">
        <v>600</v>
      </c>
      <c r="OA83" s="8">
        <v>172.91</v>
      </c>
      <c r="OC83" t="s">
        <v>574</v>
      </c>
      <c r="OD83">
        <v>338.339</v>
      </c>
      <c r="OF83" t="s">
        <v>605</v>
      </c>
      <c r="OG83">
        <v>382.90600000000001</v>
      </c>
      <c r="PD83">
        <v>-97.76</v>
      </c>
      <c r="PE83">
        <v>5</v>
      </c>
      <c r="QC83">
        <v>-95.55</v>
      </c>
      <c r="QD83">
        <v>4.3</v>
      </c>
      <c r="QF83">
        <v>130624</v>
      </c>
      <c r="QG83">
        <v>8</v>
      </c>
      <c r="QH83">
        <v>0</v>
      </c>
      <c r="QI83">
        <v>3.69</v>
      </c>
      <c r="QJ83">
        <v>-84.87</v>
      </c>
      <c r="QM83">
        <v>5.08</v>
      </c>
      <c r="QN83">
        <v>-89.72</v>
      </c>
      <c r="QU83">
        <v>1.74</v>
      </c>
      <c r="QV83">
        <v>-87.88</v>
      </c>
      <c r="QW83">
        <v>3.33</v>
      </c>
      <c r="QX83">
        <v>-82.93</v>
      </c>
      <c r="RA83">
        <v>-87.74</v>
      </c>
      <c r="RB83">
        <v>2.79</v>
      </c>
    </row>
    <row r="84" spans="157:470" x14ac:dyDescent="0.35">
      <c r="FA84">
        <v>1306242</v>
      </c>
      <c r="FB84">
        <v>8</v>
      </c>
      <c r="FC84">
        <v>0</v>
      </c>
      <c r="FL84">
        <f>SUM(Supplementary_Fig7!FD84:FK84)</f>
        <v>0</v>
      </c>
      <c r="FO84" t="s">
        <v>743</v>
      </c>
      <c r="FS84" t="s">
        <v>743</v>
      </c>
      <c r="FW84">
        <v>65.930300000000003</v>
      </c>
      <c r="FX84">
        <v>53.556899999999999</v>
      </c>
      <c r="FY84">
        <v>58.335099999999997</v>
      </c>
      <c r="FZ84">
        <v>53.658499999999997</v>
      </c>
      <c r="GA84">
        <v>68.073300000000003</v>
      </c>
      <c r="GB84">
        <v>70.3446</v>
      </c>
      <c r="GC84">
        <v>64.191800000000001</v>
      </c>
      <c r="GD84">
        <v>64.815899999999999</v>
      </c>
      <c r="GH84" t="s">
        <v>570</v>
      </c>
      <c r="GJ84">
        <v>70.42</v>
      </c>
      <c r="GL84" t="s">
        <v>570</v>
      </c>
      <c r="GN84">
        <f>63*GJ84/100</f>
        <v>44.364600000000003</v>
      </c>
      <c r="GZ84" t="s">
        <v>608</v>
      </c>
      <c r="HB84">
        <v>56.14</v>
      </c>
      <c r="HD84" t="s">
        <v>608</v>
      </c>
      <c r="HF84">
        <f>63*Supplementary_Fig7!HB84/100</f>
        <v>35.368200000000002</v>
      </c>
      <c r="HJ84">
        <v>48.4983</v>
      </c>
      <c r="HK84">
        <v>74.150199999999998</v>
      </c>
      <c r="HL84">
        <v>43.565600000000003</v>
      </c>
      <c r="HM84">
        <v>64.986999999999995</v>
      </c>
      <c r="HN84">
        <v>50.398699999999998</v>
      </c>
      <c r="HO84">
        <v>70.018199999999993</v>
      </c>
      <c r="HP84">
        <v>61.7502</v>
      </c>
      <c r="HQ84">
        <v>30.9238</v>
      </c>
      <c r="HR84">
        <v>104.60899999999999</v>
      </c>
      <c r="HS84">
        <v>46.595599999999997</v>
      </c>
      <c r="HV84" t="s">
        <v>594</v>
      </c>
      <c r="HW84">
        <v>75.650000000000006</v>
      </c>
      <c r="HZ84">
        <v>115.157</v>
      </c>
      <c r="IA84">
        <v>83.506799999999998</v>
      </c>
      <c r="IB84">
        <v>84.847999999999999</v>
      </c>
      <c r="IC84">
        <v>90.321399999999997</v>
      </c>
      <c r="ID84">
        <v>91.795299999999997</v>
      </c>
      <c r="IE84">
        <v>109.08199999999999</v>
      </c>
      <c r="IF84">
        <v>111.182</v>
      </c>
      <c r="IG84">
        <v>114.024</v>
      </c>
      <c r="IH84">
        <v>94.235200000000006</v>
      </c>
      <c r="II84">
        <v>95.446799999999996</v>
      </c>
      <c r="IJ84">
        <v>79.675299999999993</v>
      </c>
      <c r="IK84">
        <v>58.905000000000001</v>
      </c>
      <c r="IL84">
        <v>97.837800000000001</v>
      </c>
      <c r="IM84">
        <v>100.655</v>
      </c>
      <c r="IN84">
        <v>111.35899999999999</v>
      </c>
      <c r="IO84">
        <v>94.483900000000006</v>
      </c>
      <c r="IP84">
        <v>105.116</v>
      </c>
      <c r="IQ84">
        <v>101.22199999999999</v>
      </c>
      <c r="IR84">
        <v>77.131699999999995</v>
      </c>
      <c r="IS84">
        <v>62.805199999999999</v>
      </c>
      <c r="IT84">
        <v>103.51900000000001</v>
      </c>
      <c r="IU84">
        <v>94.680800000000005</v>
      </c>
      <c r="IX84" t="s">
        <v>577</v>
      </c>
      <c r="IY84">
        <v>122.85</v>
      </c>
      <c r="JB84">
        <v>128.227</v>
      </c>
      <c r="JC84">
        <v>117.551</v>
      </c>
      <c r="JD84">
        <v>122.91</v>
      </c>
      <c r="JE84">
        <v>105.11499999999999</v>
      </c>
      <c r="JF84">
        <v>101.669</v>
      </c>
      <c r="JG84">
        <v>117.215</v>
      </c>
      <c r="JH84">
        <v>114.639</v>
      </c>
      <c r="JI84">
        <v>114.36499999999999</v>
      </c>
      <c r="JJ84">
        <v>125.928</v>
      </c>
      <c r="JK84">
        <v>106.17100000000001</v>
      </c>
      <c r="JL84">
        <v>98.823499999999996</v>
      </c>
      <c r="JM84">
        <v>122.188</v>
      </c>
      <c r="JN84">
        <v>121.44499999999999</v>
      </c>
      <c r="JO84">
        <v>98.815899999999999</v>
      </c>
      <c r="JP84">
        <v>104.233</v>
      </c>
      <c r="JQ84">
        <v>97.152699999999996</v>
      </c>
      <c r="JR84">
        <v>126.938</v>
      </c>
      <c r="JS84">
        <v>115.68899999999999</v>
      </c>
      <c r="JV84" t="s">
        <v>608</v>
      </c>
      <c r="JW84">
        <v>97.36</v>
      </c>
      <c r="JZ84">
        <v>111.964</v>
      </c>
      <c r="KD84">
        <v>97.369399999999999</v>
      </c>
      <c r="KF84">
        <v>89.981099999999998</v>
      </c>
      <c r="KI84">
        <f>AVERAGE(Supplementary_Fig7!KI73:KI83)</f>
        <v>109.21523636363636</v>
      </c>
      <c r="KJ84">
        <v>93.063400000000001</v>
      </c>
      <c r="KL84">
        <f>AVERAGE(Supplementary_Fig7!KL73:KL83)</f>
        <v>125.29245454545458</v>
      </c>
      <c r="KN84">
        <v>65.312200000000004</v>
      </c>
      <c r="KO84">
        <v>103.169</v>
      </c>
      <c r="KT84" t="s">
        <v>594</v>
      </c>
      <c r="KU84">
        <v>1.94</v>
      </c>
      <c r="KY84">
        <v>2.4247999999999998</v>
      </c>
      <c r="KZ84">
        <v>2.9402499999999998</v>
      </c>
      <c r="LA84">
        <v>1.9067099999999999</v>
      </c>
      <c r="LB84">
        <v>2.4453800000000001</v>
      </c>
      <c r="LC84">
        <v>2.4454899999999999</v>
      </c>
      <c r="LD84">
        <v>2.0755599999999998</v>
      </c>
      <c r="LE84">
        <v>1.6523099999999999</v>
      </c>
      <c r="LF84">
        <v>2.0435300000000001</v>
      </c>
      <c r="LG84">
        <v>1.4039299999999999</v>
      </c>
      <c r="LH84">
        <v>2.2168299999999999</v>
      </c>
      <c r="LI84">
        <v>1.9400200000000001</v>
      </c>
      <c r="LJ84">
        <v>2.3260900000000002</v>
      </c>
      <c r="LK84">
        <v>1.71879</v>
      </c>
      <c r="LL84">
        <v>1.7662100000000001</v>
      </c>
      <c r="LM84">
        <v>1.5663199999999999</v>
      </c>
      <c r="LN84">
        <v>1.7388999999999999</v>
      </c>
      <c r="LO84">
        <v>3.0109499999999998</v>
      </c>
      <c r="LP84">
        <v>2.7553899999999998</v>
      </c>
      <c r="LQ84">
        <v>1.3809199999999999</v>
      </c>
      <c r="LR84">
        <v>1.5487500000000001</v>
      </c>
      <c r="LS84">
        <v>2.7857599999999998</v>
      </c>
      <c r="LT84">
        <v>1.5645500000000001</v>
      </c>
      <c r="LW84" t="s">
        <v>577</v>
      </c>
      <c r="LX84">
        <v>1.69</v>
      </c>
      <c r="MB84">
        <v>1.8267800000000001</v>
      </c>
      <c r="MC84">
        <v>1.79538</v>
      </c>
      <c r="MD84">
        <v>1.7912399999999999</v>
      </c>
      <c r="ME84">
        <v>2.1625800000000002</v>
      </c>
      <c r="MF84">
        <v>1.6897800000000001</v>
      </c>
      <c r="MG84">
        <v>1.71854</v>
      </c>
      <c r="MH84">
        <v>1.49129</v>
      </c>
      <c r="MI84">
        <v>1.75179</v>
      </c>
      <c r="MJ84">
        <v>1.6766300000000001</v>
      </c>
      <c r="MK84">
        <v>1.6358900000000001</v>
      </c>
      <c r="ML84">
        <v>1.6012500000000001</v>
      </c>
      <c r="MM84">
        <v>1.5228200000000001</v>
      </c>
      <c r="MN84">
        <v>1.48706</v>
      </c>
      <c r="MO84">
        <v>1.6526000000000001</v>
      </c>
      <c r="MP84">
        <v>1.5783400000000001</v>
      </c>
      <c r="MQ84">
        <v>1.4745699999999999</v>
      </c>
      <c r="MZ84" t="s">
        <v>608</v>
      </c>
      <c r="NA84">
        <v>1.25</v>
      </c>
      <c r="NE84">
        <v>1.69506</v>
      </c>
      <c r="NH84">
        <f>AVERAGE(Supplementary_Fig7!NH73:NH83)</f>
        <v>1.5227336363636363</v>
      </c>
      <c r="NI84">
        <v>1.64493</v>
      </c>
      <c r="NK84">
        <f>AVERAGE(Supplementary_Fig7!NK73:NK83)</f>
        <v>1.4265381818181819</v>
      </c>
      <c r="NM84">
        <v>1.55596</v>
      </c>
      <c r="NN84">
        <v>1.3706700000000001</v>
      </c>
      <c r="NR84">
        <v>1.35347</v>
      </c>
      <c r="NS84">
        <v>1.38934</v>
      </c>
      <c r="NT84">
        <f>AVERAGE(Supplementary_Fig7!NT73:NT83)</f>
        <v>1.3578381818181817</v>
      </c>
      <c r="NU84">
        <v>1.6228</v>
      </c>
      <c r="NZ84" t="s">
        <v>603</v>
      </c>
      <c r="OA84">
        <v>198.23099999999999</v>
      </c>
      <c r="OC84" t="s">
        <v>577</v>
      </c>
      <c r="OD84">
        <v>420.30500000000001</v>
      </c>
      <c r="OF84" t="s">
        <v>608</v>
      </c>
      <c r="OG84">
        <v>331.86799999999999</v>
      </c>
      <c r="PD84">
        <v>-97.99</v>
      </c>
      <c r="PE84">
        <v>9.27</v>
      </c>
      <c r="QC84">
        <v>-95.65</v>
      </c>
      <c r="QD84">
        <v>4.07</v>
      </c>
      <c r="QF84">
        <v>1306242</v>
      </c>
      <c r="QG84">
        <v>8</v>
      </c>
      <c r="QH84">
        <v>0</v>
      </c>
      <c r="QO84">
        <v>1.76</v>
      </c>
      <c r="QP84">
        <v>-81.78</v>
      </c>
      <c r="QQ84">
        <v>3.03</v>
      </c>
      <c r="QR84">
        <v>-85.98</v>
      </c>
      <c r="QS84">
        <v>1.1499999999999999</v>
      </c>
      <c r="QT84">
        <v>-82.05</v>
      </c>
      <c r="QW84">
        <v>2.94</v>
      </c>
      <c r="QX84">
        <v>-92.06</v>
      </c>
      <c r="RA84">
        <v>-87.88</v>
      </c>
      <c r="RB84">
        <v>1.74</v>
      </c>
    </row>
    <row r="85" spans="157:470" ht="13.15" x14ac:dyDescent="0.4">
      <c r="FB85" s="1">
        <f>SUM(Supplementary_Fig7!FB4:FB84)</f>
        <v>529</v>
      </c>
      <c r="FL85" s="1">
        <f>SUM(Supplementary_Fig7!FL4:FL84)</f>
        <v>20</v>
      </c>
      <c r="FO85" t="s">
        <v>597</v>
      </c>
      <c r="FQ85">
        <v>93.34</v>
      </c>
      <c r="FS85" t="s">
        <v>597</v>
      </c>
      <c r="FU85">
        <f>63*FQ85/100</f>
        <v>58.804200000000002</v>
      </c>
      <c r="FW85">
        <v>72.080699999999993</v>
      </c>
      <c r="FX85">
        <v>55.305900000000001</v>
      </c>
      <c r="FY85">
        <v>49.898699999999998</v>
      </c>
      <c r="FZ85">
        <v>54.927999999999997</v>
      </c>
      <c r="GA85">
        <v>68.6982</v>
      </c>
      <c r="GB85">
        <v>75.181100000000001</v>
      </c>
      <c r="GC85">
        <v>54.283999999999999</v>
      </c>
      <c r="GD85">
        <v>68.933899999999994</v>
      </c>
      <c r="GH85" t="s">
        <v>574</v>
      </c>
      <c r="GJ85">
        <v>93.1</v>
      </c>
      <c r="GL85" t="s">
        <v>574</v>
      </c>
      <c r="GN85">
        <f>63*GJ85/100</f>
        <v>58.652999999999992</v>
      </c>
      <c r="GQ85" t="s">
        <v>558</v>
      </c>
      <c r="GR85" t="s">
        <v>562</v>
      </c>
      <c r="GS85" t="s">
        <v>566</v>
      </c>
      <c r="GT85" t="s">
        <v>570</v>
      </c>
      <c r="GU85" t="s">
        <v>574</v>
      </c>
      <c r="GV85" t="s">
        <v>577</v>
      </c>
      <c r="GW85" t="s">
        <v>580</v>
      </c>
      <c r="GX85" t="s">
        <v>583</v>
      </c>
      <c r="GZ85" t="s">
        <v>611</v>
      </c>
      <c r="HB85">
        <v>58.17</v>
      </c>
      <c r="HD85" t="s">
        <v>611</v>
      </c>
      <c r="HF85">
        <f>63*Supplementary_Fig7!HB85/100</f>
        <v>36.647100000000002</v>
      </c>
      <c r="HJ85">
        <v>41.945900000000002</v>
      </c>
      <c r="HK85">
        <v>94.133799999999994</v>
      </c>
      <c r="HL85">
        <v>46.9985</v>
      </c>
      <c r="HM85">
        <v>65.899100000000004</v>
      </c>
      <c r="HN85">
        <v>71.984099999999998</v>
      </c>
      <c r="HO85">
        <v>75.729299999999995</v>
      </c>
      <c r="HP85">
        <v>35.624600000000001</v>
      </c>
      <c r="HQ85">
        <v>20.430700000000002</v>
      </c>
      <c r="HR85">
        <v>56.600999999999999</v>
      </c>
      <c r="HS85">
        <v>52.845599999999997</v>
      </c>
      <c r="HV85" t="s">
        <v>743</v>
      </c>
      <c r="HW85">
        <v>74.680000000000007</v>
      </c>
      <c r="HZ85">
        <v>116.309</v>
      </c>
      <c r="IA85">
        <v>82.104500000000002</v>
      </c>
      <c r="IB85">
        <v>102.374</v>
      </c>
      <c r="IC85">
        <v>88.621499999999997</v>
      </c>
      <c r="ID85">
        <v>91.534400000000005</v>
      </c>
      <c r="IE85">
        <v>114.589</v>
      </c>
      <c r="IF85">
        <v>109.114</v>
      </c>
      <c r="IG85">
        <v>115.26600000000001</v>
      </c>
      <c r="IH85">
        <v>93.6447</v>
      </c>
      <c r="II85">
        <v>95.642099999999999</v>
      </c>
      <c r="IJ85">
        <v>80.105599999999995</v>
      </c>
      <c r="IK85">
        <v>56.886299999999999</v>
      </c>
      <c r="IL85">
        <v>97.679100000000005</v>
      </c>
      <c r="IM85">
        <v>101.779</v>
      </c>
      <c r="IN85">
        <v>111.9</v>
      </c>
      <c r="IO85">
        <v>92.318700000000007</v>
      </c>
      <c r="IP85">
        <v>102.93899999999999</v>
      </c>
      <c r="IQ85">
        <v>101.413</v>
      </c>
      <c r="IR85">
        <v>77.778599999999997</v>
      </c>
      <c r="IS85">
        <v>105.17400000000001</v>
      </c>
      <c r="IT85">
        <v>102.29600000000001</v>
      </c>
      <c r="IU85">
        <v>98.379499999999993</v>
      </c>
      <c r="IX85" t="s">
        <v>580</v>
      </c>
      <c r="IY85">
        <v>110.93</v>
      </c>
      <c r="JB85">
        <v>128.14500000000001</v>
      </c>
      <c r="JC85">
        <v>116.93600000000001</v>
      </c>
      <c r="JD85">
        <v>123.271</v>
      </c>
      <c r="JE85">
        <v>106.967</v>
      </c>
      <c r="JG85">
        <v>116.26600000000001</v>
      </c>
      <c r="JH85">
        <v>116.116</v>
      </c>
      <c r="JI85">
        <v>117.78700000000001</v>
      </c>
      <c r="JJ85">
        <v>127.15</v>
      </c>
      <c r="JK85">
        <v>104.358</v>
      </c>
      <c r="JL85">
        <v>81.300399999999996</v>
      </c>
      <c r="JM85">
        <v>122.667</v>
      </c>
      <c r="JN85">
        <v>120.123</v>
      </c>
      <c r="JO85">
        <v>100.989</v>
      </c>
      <c r="JP85">
        <v>108.012</v>
      </c>
      <c r="JQ85">
        <v>96.063199999999995</v>
      </c>
      <c r="JR85">
        <v>129.64599999999999</v>
      </c>
      <c r="JS85">
        <v>116.53</v>
      </c>
      <c r="JV85" t="s">
        <v>611</v>
      </c>
      <c r="JW85">
        <v>111.52</v>
      </c>
      <c r="JZ85">
        <v>111.836</v>
      </c>
      <c r="KD85">
        <v>95.635999999999996</v>
      </c>
      <c r="KF85">
        <v>88.726799999999997</v>
      </c>
      <c r="KJ85">
        <f>AVERAGE(Supplementary_Fig7!KJ73:KJ84)</f>
        <v>113.65539166666667</v>
      </c>
      <c r="KN85">
        <v>73.883099999999999</v>
      </c>
      <c r="KO85">
        <v>102.608</v>
      </c>
      <c r="KT85" t="s">
        <v>743</v>
      </c>
      <c r="KU85">
        <v>2.4300000000000002</v>
      </c>
      <c r="KY85">
        <v>2.4066100000000001</v>
      </c>
      <c r="KZ85">
        <v>2.85615</v>
      </c>
      <c r="LA85">
        <v>1.9444300000000001</v>
      </c>
      <c r="LB85">
        <v>2.3963299999999998</v>
      </c>
      <c r="LC85">
        <v>2.3579400000000001</v>
      </c>
      <c r="LD85">
        <v>2.0856499999999998</v>
      </c>
      <c r="LE85">
        <v>1.64592</v>
      </c>
      <c r="LF85">
        <v>1.90448</v>
      </c>
      <c r="LG85">
        <v>1.38432</v>
      </c>
      <c r="LH85">
        <v>2.2788499999999998</v>
      </c>
      <c r="LI85">
        <v>1.982</v>
      </c>
      <c r="LJ85">
        <v>2.4138500000000001</v>
      </c>
      <c r="LK85">
        <v>1.6826000000000001</v>
      </c>
      <c r="LL85">
        <v>1.74566</v>
      </c>
      <c r="LM85">
        <v>1.56464</v>
      </c>
      <c r="LN85">
        <v>1.75597</v>
      </c>
      <c r="LO85">
        <v>2.60798</v>
      </c>
      <c r="LP85">
        <v>2.7310699999999999</v>
      </c>
      <c r="LQ85">
        <v>1.3906099999999999</v>
      </c>
      <c r="LR85">
        <v>1.5072099999999999</v>
      </c>
      <c r="LS85">
        <v>2.3871600000000002</v>
      </c>
      <c r="LT85">
        <v>1.58876</v>
      </c>
      <c r="LW85" t="s">
        <v>580</v>
      </c>
      <c r="LX85">
        <v>1.49</v>
      </c>
      <c r="MB85">
        <v>1.8063400000000001</v>
      </c>
      <c r="MC85">
        <v>1.82514</v>
      </c>
      <c r="MD85">
        <v>1.7739100000000001</v>
      </c>
      <c r="ME85">
        <v>2.14527</v>
      </c>
      <c r="MF85">
        <v>1.7494700000000001</v>
      </c>
      <c r="MG85">
        <v>1.6592499999999999</v>
      </c>
      <c r="MH85">
        <v>1.5126599999999999</v>
      </c>
      <c r="MI85">
        <v>1.7348300000000001</v>
      </c>
      <c r="MJ85">
        <v>1.5931200000000001</v>
      </c>
      <c r="MK85">
        <v>1.6621699999999999</v>
      </c>
      <c r="ML85">
        <v>1.5204</v>
      </c>
      <c r="MM85">
        <v>1.51471</v>
      </c>
      <c r="MN85">
        <v>1.45794</v>
      </c>
      <c r="MO85">
        <v>1.65093</v>
      </c>
      <c r="MP85">
        <v>1.5595699999999999</v>
      </c>
      <c r="MQ85">
        <v>1.57178</v>
      </c>
      <c r="MZ85" t="s">
        <v>611</v>
      </c>
      <c r="NA85">
        <v>1.61</v>
      </c>
      <c r="NE85">
        <v>1.6636500000000001</v>
      </c>
      <c r="NI85">
        <f>AVERAGE(Supplementary_Fig7!NI73:NI84)</f>
        <v>1.5654041666666665</v>
      </c>
      <c r="NM85">
        <v>1.73584</v>
      </c>
      <c r="NN85">
        <v>1.37235</v>
      </c>
      <c r="NR85">
        <v>1.36188</v>
      </c>
      <c r="NS85">
        <v>1.3996599999999999</v>
      </c>
      <c r="NU85">
        <v>1.6831700000000001</v>
      </c>
      <c r="NZ85" t="s">
        <v>606</v>
      </c>
      <c r="OA85">
        <v>164.24600000000001</v>
      </c>
      <c r="OC85" t="s">
        <v>580</v>
      </c>
      <c r="OD85">
        <v>346.82499999999999</v>
      </c>
      <c r="OF85" t="s">
        <v>611</v>
      </c>
      <c r="OG85">
        <v>278.327</v>
      </c>
      <c r="PD85">
        <v>-98.02</v>
      </c>
      <c r="PE85">
        <v>6.57</v>
      </c>
      <c r="QC85">
        <v>-95.78</v>
      </c>
      <c r="QD85">
        <v>2.67</v>
      </c>
      <c r="QI85" s="43" t="s">
        <v>1035</v>
      </c>
      <c r="QJ85" s="43"/>
      <c r="QK85" s="43" t="s">
        <v>1036</v>
      </c>
      <c r="QL85" s="43"/>
      <c r="QM85" s="43" t="s">
        <v>1037</v>
      </c>
      <c r="QN85" s="43"/>
      <c r="QO85" s="43" t="s">
        <v>1038</v>
      </c>
      <c r="QP85" s="43"/>
      <c r="QQ85" s="43" t="s">
        <v>1039</v>
      </c>
      <c r="QR85" s="43"/>
      <c r="QS85" s="43" t="s">
        <v>1040</v>
      </c>
      <c r="QT85" s="43"/>
      <c r="QU85" s="43" t="s">
        <v>1041</v>
      </c>
      <c r="QV85" s="43"/>
      <c r="QW85" s="43" t="s">
        <v>1042</v>
      </c>
      <c r="QX85" s="43"/>
      <c r="RA85">
        <v>-87.91</v>
      </c>
      <c r="RB85">
        <v>1.46</v>
      </c>
    </row>
    <row r="86" spans="157:470" ht="13.15" x14ac:dyDescent="0.4">
      <c r="FL86" s="1">
        <f>Supplementary_Fig7!FL85*100/Supplementary_Fig7!FB85</f>
        <v>3.7807183364839321</v>
      </c>
      <c r="FM86" s="1" t="s">
        <v>1065</v>
      </c>
      <c r="FO86" t="s">
        <v>600</v>
      </c>
      <c r="FS86" t="s">
        <v>600</v>
      </c>
      <c r="FY86">
        <v>58.010199999999998</v>
      </c>
      <c r="GA86">
        <v>60.713700000000003</v>
      </c>
      <c r="GB86">
        <v>47.124899999999997</v>
      </c>
      <c r="GD86">
        <v>52.297699999999999</v>
      </c>
      <c r="GH86" t="s">
        <v>577</v>
      </c>
      <c r="GI86">
        <v>68.709999999999994</v>
      </c>
      <c r="GL86" t="s">
        <v>577</v>
      </c>
      <c r="GM86">
        <f>63*GI86/100</f>
        <v>43.287299999999995</v>
      </c>
      <c r="GQ86">
        <v>91.216200000000001</v>
      </c>
      <c r="GR86">
        <v>76.0184</v>
      </c>
      <c r="GS86">
        <v>187.17699999999999</v>
      </c>
      <c r="GT86">
        <v>72.875900000000001</v>
      </c>
      <c r="GU86">
        <v>123.27200000000001</v>
      </c>
      <c r="GV86">
        <v>63.241399999999999</v>
      </c>
      <c r="GW86">
        <v>62.838999999999999</v>
      </c>
      <c r="GX86">
        <v>71.549499999999995</v>
      </c>
      <c r="GZ86" t="s">
        <v>614</v>
      </c>
      <c r="HB86">
        <v>47.51</v>
      </c>
      <c r="HD86" t="s">
        <v>614</v>
      </c>
      <c r="HF86">
        <f>63*Supplementary_Fig7!HB86/100</f>
        <v>29.931299999999997</v>
      </c>
      <c r="HJ86">
        <v>52.284500000000001</v>
      </c>
      <c r="HK86">
        <v>62.051200000000001</v>
      </c>
      <c r="HL86">
        <v>40.366100000000003</v>
      </c>
      <c r="HM86">
        <v>61.845599999999997</v>
      </c>
      <c r="HN86">
        <v>48.6798</v>
      </c>
      <c r="HO86">
        <v>46.3247</v>
      </c>
      <c r="HP86">
        <v>53.256700000000002</v>
      </c>
      <c r="HQ86">
        <v>27.6477</v>
      </c>
      <c r="HR86">
        <v>76.000900000000001</v>
      </c>
      <c r="HS86">
        <v>34.619500000000002</v>
      </c>
      <c r="HV86" t="s">
        <v>597</v>
      </c>
      <c r="HW86">
        <v>95.11</v>
      </c>
      <c r="HZ86">
        <v>116.508</v>
      </c>
      <c r="IA86">
        <v>116.26600000000001</v>
      </c>
      <c r="IB86">
        <v>101.488</v>
      </c>
      <c r="IC86">
        <v>86.720299999999995</v>
      </c>
      <c r="ID86">
        <v>91.799899999999994</v>
      </c>
      <c r="IE86">
        <v>90.226699999999994</v>
      </c>
      <c r="IF86">
        <v>107.977</v>
      </c>
      <c r="IG86">
        <v>118.265</v>
      </c>
      <c r="IH86">
        <v>94.635000000000005</v>
      </c>
      <c r="II86">
        <v>97.262600000000006</v>
      </c>
      <c r="IJ86">
        <v>80.065899999999999</v>
      </c>
      <c r="IK86">
        <v>57.960500000000003</v>
      </c>
      <c r="IL86">
        <v>100.06100000000001</v>
      </c>
      <c r="IM86">
        <v>101.642</v>
      </c>
      <c r="IN86">
        <v>113.08</v>
      </c>
      <c r="IO86">
        <v>94.709800000000001</v>
      </c>
      <c r="IP86">
        <v>101.69499999999999</v>
      </c>
      <c r="IQ86">
        <v>101.398</v>
      </c>
      <c r="IR86">
        <v>77.043199999999999</v>
      </c>
      <c r="IS86">
        <v>103.081</v>
      </c>
      <c r="IT86">
        <v>106.84099999999999</v>
      </c>
      <c r="IU86">
        <v>98.408500000000004</v>
      </c>
      <c r="IX86" t="s">
        <v>583</v>
      </c>
      <c r="IY86">
        <v>126.29</v>
      </c>
      <c r="JB86">
        <v>98.930400000000006</v>
      </c>
      <c r="JE86">
        <v>92.880200000000002</v>
      </c>
      <c r="JF86">
        <v>101.733</v>
      </c>
      <c r="JG86">
        <v>97.691299999999998</v>
      </c>
      <c r="JH86">
        <v>82.069400000000002</v>
      </c>
      <c r="JI86">
        <v>118.098</v>
      </c>
      <c r="JJ86">
        <v>126.07899999999999</v>
      </c>
      <c r="JK86">
        <v>103.29600000000001</v>
      </c>
      <c r="JL86">
        <v>98.144499999999994</v>
      </c>
      <c r="JM86">
        <v>100.9</v>
      </c>
      <c r="JN86">
        <v>123.524</v>
      </c>
      <c r="JO86">
        <v>97.413600000000002</v>
      </c>
      <c r="JP86">
        <v>77.674899999999994</v>
      </c>
      <c r="JS86">
        <v>104.34</v>
      </c>
      <c r="JV86" t="s">
        <v>614</v>
      </c>
      <c r="JW86">
        <v>108.78</v>
      </c>
      <c r="JZ86">
        <v>110.544</v>
      </c>
      <c r="KD86">
        <v>114.255</v>
      </c>
      <c r="KF86">
        <v>91.725200000000001</v>
      </c>
      <c r="KN86">
        <v>106.387</v>
      </c>
      <c r="KO86">
        <v>101.884</v>
      </c>
      <c r="KT86" t="s">
        <v>597</v>
      </c>
      <c r="KU86">
        <v>1.78</v>
      </c>
      <c r="KY86">
        <v>2.4628199999999998</v>
      </c>
      <c r="KZ86">
        <v>2.8747699999999998</v>
      </c>
      <c r="LA86">
        <v>2.1165600000000002</v>
      </c>
      <c r="LB86">
        <v>3.3986999999999998</v>
      </c>
      <c r="LC86">
        <v>2.6545200000000002</v>
      </c>
      <c r="LD86">
        <v>2.3915799999999998</v>
      </c>
      <c r="LE86">
        <v>1.9708600000000001</v>
      </c>
      <c r="LF86">
        <v>2.7597700000000001</v>
      </c>
      <c r="LG86">
        <v>1.4251499999999999</v>
      </c>
      <c r="LH86">
        <v>2.3498199999999998</v>
      </c>
      <c r="LI86">
        <v>1.81426</v>
      </c>
      <c r="LJ86">
        <f>AVERAGE(Supplementary_Fig7!LJ78:LJ85)</f>
        <v>2.4315787499999999</v>
      </c>
      <c r="LK86">
        <v>2.14513</v>
      </c>
      <c r="LL86">
        <v>2.0634399999999999</v>
      </c>
      <c r="LM86">
        <v>1.6604099999999999</v>
      </c>
      <c r="LN86">
        <v>1.9821</v>
      </c>
      <c r="LO86">
        <v>2.8390499999999999</v>
      </c>
      <c r="LP86">
        <v>2.8758300000000001</v>
      </c>
      <c r="LQ86">
        <v>1.7005699999999999</v>
      </c>
      <c r="LR86">
        <v>1.7656099999999999</v>
      </c>
      <c r="LS86">
        <v>2.4615100000000001</v>
      </c>
      <c r="LT86">
        <v>1.5583199999999999</v>
      </c>
      <c r="LW86" t="s">
        <v>583</v>
      </c>
      <c r="LX86">
        <v>1.7</v>
      </c>
      <c r="MB86">
        <v>1.7815700000000001</v>
      </c>
      <c r="MC86">
        <v>1.6973499999999999</v>
      </c>
      <c r="MD86">
        <v>1.78386</v>
      </c>
      <c r="ME86">
        <v>2.1646800000000002</v>
      </c>
      <c r="MF86">
        <v>1.7180800000000001</v>
      </c>
      <c r="MG86">
        <v>1.73187</v>
      </c>
      <c r="MH86">
        <v>1.49546</v>
      </c>
      <c r="MI86">
        <v>1.6686799999999999</v>
      </c>
      <c r="MJ86">
        <v>1.57847</v>
      </c>
      <c r="MK86">
        <v>1.66283</v>
      </c>
      <c r="ML86">
        <v>1.5071000000000001</v>
      </c>
      <c r="MM86">
        <v>1.47319</v>
      </c>
      <c r="MN86">
        <v>1.4673</v>
      </c>
      <c r="MO86">
        <v>1.67797</v>
      </c>
      <c r="MP86">
        <v>1.5410299999999999</v>
      </c>
      <c r="MQ86">
        <v>1.56985</v>
      </c>
      <c r="MZ86" t="s">
        <v>614</v>
      </c>
      <c r="NA86">
        <v>1.34</v>
      </c>
      <c r="NE86">
        <v>1.5781099999999999</v>
      </c>
      <c r="NM86">
        <v>1.68449</v>
      </c>
      <c r="NN86">
        <v>1.39777</v>
      </c>
      <c r="NR86">
        <v>1.3402700000000001</v>
      </c>
      <c r="NS86">
        <v>1.3975</v>
      </c>
      <c r="NU86">
        <f>AVERAGE(Supplementary_Fig7!NU73:NU85)</f>
        <v>1.7253492307692311</v>
      </c>
      <c r="NZ86" t="s">
        <v>609</v>
      </c>
      <c r="OA86">
        <v>106.899</v>
      </c>
      <c r="OC86" t="s">
        <v>583</v>
      </c>
      <c r="OD86">
        <v>433.33300000000003</v>
      </c>
      <c r="OF86" t="s">
        <v>614</v>
      </c>
      <c r="OG86">
        <v>387.18700000000001</v>
      </c>
      <c r="PD86">
        <v>-98.47</v>
      </c>
      <c r="PE86">
        <v>5.8</v>
      </c>
      <c r="QC86">
        <v>-95.81</v>
      </c>
      <c r="QD86">
        <v>5.92</v>
      </c>
      <c r="QI86" s="1" t="s">
        <v>1045</v>
      </c>
      <c r="QJ86" s="1" t="s">
        <v>1052</v>
      </c>
      <c r="QK86" s="1" t="s">
        <v>1045</v>
      </c>
      <c r="QL86" s="1" t="s">
        <v>1052</v>
      </c>
      <c r="QM86" s="1" t="s">
        <v>1045</v>
      </c>
      <c r="QN86" s="1" t="s">
        <v>1052</v>
      </c>
      <c r="QO86" s="1" t="s">
        <v>1045</v>
      </c>
      <c r="QP86" s="1" t="s">
        <v>1052</v>
      </c>
      <c r="QQ86" s="1" t="s">
        <v>1045</v>
      </c>
      <c r="QR86" s="1" t="s">
        <v>1052</v>
      </c>
      <c r="QS86" s="1" t="s">
        <v>1045</v>
      </c>
      <c r="QT86" s="1" t="s">
        <v>1052</v>
      </c>
      <c r="QU86" s="1" t="s">
        <v>1045</v>
      </c>
      <c r="QV86" s="1" t="s">
        <v>1052</v>
      </c>
      <c r="QW86" s="1" t="s">
        <v>1045</v>
      </c>
      <c r="QX86" s="1" t="s">
        <v>1052</v>
      </c>
      <c r="RA86">
        <v>-87.98</v>
      </c>
      <c r="RB86">
        <v>4.03</v>
      </c>
    </row>
    <row r="87" spans="157:470" x14ac:dyDescent="0.35">
      <c r="FO87" t="s">
        <v>603</v>
      </c>
      <c r="FP87">
        <v>69</v>
      </c>
      <c r="FS87" t="s">
        <v>603</v>
      </c>
      <c r="FT87">
        <f>63*FP87/100</f>
        <v>43.47</v>
      </c>
      <c r="FY87">
        <v>59.259500000000003</v>
      </c>
      <c r="GB87">
        <v>55.438099999999999</v>
      </c>
      <c r="GD87">
        <v>97.313900000000004</v>
      </c>
      <c r="GH87" t="s">
        <v>580</v>
      </c>
      <c r="GI87">
        <v>72.819999999999993</v>
      </c>
      <c r="GL87" t="s">
        <v>580</v>
      </c>
      <c r="GM87">
        <f>63*GI87/100</f>
        <v>45.876599999999996</v>
      </c>
      <c r="GQ87">
        <v>80.982900000000001</v>
      </c>
      <c r="GR87">
        <v>78.135400000000004</v>
      </c>
      <c r="GS87">
        <v>81.495900000000006</v>
      </c>
      <c r="GT87">
        <v>66.602099999999993</v>
      </c>
      <c r="GU87">
        <v>62.941099999999999</v>
      </c>
      <c r="GV87">
        <v>86.877200000000002</v>
      </c>
      <c r="GW87">
        <v>91.111099999999993</v>
      </c>
      <c r="GX87">
        <v>68.308000000000007</v>
      </c>
      <c r="GZ87" t="s">
        <v>617</v>
      </c>
      <c r="HB87">
        <v>26.12</v>
      </c>
      <c r="HD87" t="s">
        <v>617</v>
      </c>
      <c r="HF87">
        <f>63*Supplementary_Fig7!HB87/100</f>
        <v>16.4556</v>
      </c>
      <c r="HK87">
        <v>60.371099999999998</v>
      </c>
      <c r="HL87">
        <v>45.671700000000001</v>
      </c>
      <c r="HM87">
        <v>77.192599999999999</v>
      </c>
      <c r="HN87">
        <v>53.497799999999998</v>
      </c>
      <c r="HO87">
        <v>40.620100000000001</v>
      </c>
      <c r="HP87" s="8">
        <v>39.434100000000001</v>
      </c>
      <c r="HQ87">
        <v>25.512499999999999</v>
      </c>
      <c r="HV87" t="s">
        <v>600</v>
      </c>
      <c r="HW87">
        <v>91.67</v>
      </c>
      <c r="HZ87">
        <v>88.279700000000005</v>
      </c>
      <c r="IA87">
        <v>83.789100000000005</v>
      </c>
      <c r="IB87">
        <v>84.387200000000007</v>
      </c>
      <c r="IC87">
        <v>93.196100000000001</v>
      </c>
      <c r="ID87">
        <v>89.645399999999995</v>
      </c>
      <c r="IE87">
        <v>87.287899999999993</v>
      </c>
      <c r="IF87">
        <v>89.222700000000003</v>
      </c>
      <c r="IG87">
        <v>83.326700000000002</v>
      </c>
      <c r="IH87">
        <v>75.144999999999996</v>
      </c>
      <c r="II87">
        <v>75.025899999999993</v>
      </c>
      <c r="IJ87">
        <v>85.395799999999994</v>
      </c>
      <c r="IK87">
        <v>64.430199999999999</v>
      </c>
      <c r="IL87">
        <v>74.8947</v>
      </c>
      <c r="IM87">
        <v>72.929400000000001</v>
      </c>
      <c r="IN87">
        <v>85.102800000000002</v>
      </c>
      <c r="IO87">
        <v>60.444600000000001</v>
      </c>
      <c r="IP87">
        <v>94.393900000000002</v>
      </c>
      <c r="IQ87">
        <v>69.079599999999999</v>
      </c>
      <c r="IR87">
        <v>74.552899999999994</v>
      </c>
      <c r="IS87">
        <f>AVERAGE(Supplementary_Fig7!IS79:IS86)</f>
        <v>74.68128750000001</v>
      </c>
      <c r="IT87">
        <v>77.194199999999995</v>
      </c>
      <c r="IU87">
        <v>71.702600000000004</v>
      </c>
      <c r="IX87" t="s">
        <v>586</v>
      </c>
      <c r="IY87">
        <v>95</v>
      </c>
      <c r="JB87">
        <v>97.052000000000007</v>
      </c>
      <c r="JC87">
        <v>98.837299999999999</v>
      </c>
      <c r="JD87">
        <v>94.468699999999998</v>
      </c>
      <c r="JE87">
        <v>95.668000000000006</v>
      </c>
      <c r="JF87">
        <v>98.823499999999996</v>
      </c>
      <c r="JG87">
        <v>99.064599999999999</v>
      </c>
      <c r="JH87">
        <v>103.97</v>
      </c>
      <c r="JI87">
        <v>120.06399999999999</v>
      </c>
      <c r="JJ87">
        <v>125.72199999999999</v>
      </c>
      <c r="JK87">
        <v>100.78700000000001</v>
      </c>
      <c r="JL87">
        <v>99.148600000000002</v>
      </c>
      <c r="JM87">
        <v>98.544300000000007</v>
      </c>
      <c r="JN87">
        <v>124.702</v>
      </c>
      <c r="JO87">
        <v>96.592699999999994</v>
      </c>
      <c r="JP87">
        <v>78.962699999999998</v>
      </c>
      <c r="JQ87">
        <v>103.307</v>
      </c>
      <c r="JR87">
        <v>104.059</v>
      </c>
      <c r="JS87">
        <v>113.274</v>
      </c>
      <c r="JV87" t="s">
        <v>617</v>
      </c>
      <c r="JW87">
        <v>77.67</v>
      </c>
      <c r="JZ87">
        <f>AVERAGE(Supplementary_Fig7!JZ73:JZ86)</f>
        <v>106.05782142857144</v>
      </c>
      <c r="KD87">
        <v>99.498000000000005</v>
      </c>
      <c r="KF87">
        <f>AVERAGE(Supplementary_Fig7!KF73:KF86)</f>
        <v>100.75032142857143</v>
      </c>
      <c r="KN87">
        <f>AVERAGE(Supplementary_Fig7!KN73:KN86)</f>
        <v>93.531185714285712</v>
      </c>
      <c r="KO87">
        <f>AVERAGE(Supplementary_Fig7!KO73:KO86)</f>
        <v>102.59621428571428</v>
      </c>
      <c r="KT87" t="s">
        <v>600</v>
      </c>
      <c r="KU87">
        <v>1.85</v>
      </c>
      <c r="KY87">
        <v>2.4110100000000001</v>
      </c>
      <c r="KZ87">
        <v>2.7359</v>
      </c>
      <c r="LA87">
        <v>2.0697999999999999</v>
      </c>
      <c r="LB87">
        <v>3.1789200000000002</v>
      </c>
      <c r="LC87">
        <v>2.61666</v>
      </c>
      <c r="LD87">
        <v>2.1813699999999998</v>
      </c>
      <c r="LE87">
        <v>1.8670899999999999</v>
      </c>
      <c r="LF87">
        <v>2.7479800000000001</v>
      </c>
      <c r="LG87">
        <v>1.41659</v>
      </c>
      <c r="LH87">
        <v>2.2963200000000001</v>
      </c>
      <c r="LI87">
        <v>1.83578</v>
      </c>
      <c r="LK87">
        <v>2.05166</v>
      </c>
      <c r="LL87">
        <v>1.9654</v>
      </c>
      <c r="LM87">
        <v>1.7188099999999999</v>
      </c>
      <c r="LN87">
        <v>1.7850999999999999</v>
      </c>
      <c r="LO87">
        <v>2.7332700000000001</v>
      </c>
      <c r="LP87">
        <v>4.2376699999999996</v>
      </c>
      <c r="LQ87">
        <v>1.7194400000000001</v>
      </c>
      <c r="LR87">
        <v>1.6790799999999999</v>
      </c>
      <c r="LS87">
        <v>2.4621900000000001</v>
      </c>
      <c r="LT87">
        <v>1.54064</v>
      </c>
      <c r="LW87" t="s">
        <v>586</v>
      </c>
      <c r="LX87">
        <v>1.61</v>
      </c>
      <c r="MB87">
        <v>1.78325</v>
      </c>
      <c r="MC87">
        <f>AVERAGE(MC78:MC86)</f>
        <v>1.7913111111111109</v>
      </c>
      <c r="MD87">
        <v>1.7964899999999999</v>
      </c>
      <c r="ME87">
        <v>2.1739299999999999</v>
      </c>
      <c r="MF87">
        <v>1.75752</v>
      </c>
      <c r="MG87">
        <v>1.72939</v>
      </c>
      <c r="MH87">
        <v>1.5182500000000001</v>
      </c>
      <c r="MI87">
        <v>1.73281</v>
      </c>
      <c r="MJ87">
        <v>1.58958</v>
      </c>
      <c r="MK87">
        <v>1.66889</v>
      </c>
      <c r="ML87">
        <v>1.5571600000000001</v>
      </c>
      <c r="MM87">
        <f>AVERAGE(MM78:MM86)</f>
        <v>1.5081988888888889</v>
      </c>
      <c r="MN87">
        <v>1.4508700000000001</v>
      </c>
      <c r="MO87">
        <v>1.6053599999999999</v>
      </c>
      <c r="MP87">
        <v>1.5437799999999999</v>
      </c>
      <c r="MQ87">
        <v>1.53644</v>
      </c>
      <c r="MZ87" t="s">
        <v>617</v>
      </c>
      <c r="NA87">
        <v>1.39</v>
      </c>
      <c r="NE87">
        <f>AVERAGE(Supplementary_Fig7!NE73:NE86)</f>
        <v>1.6190207142857143</v>
      </c>
      <c r="NM87">
        <f>AVERAGE(Supplementary_Fig7!NM73:NM86)</f>
        <v>1.5827485714285712</v>
      </c>
      <c r="NN87">
        <f>AVERAGE(Supplementary_Fig7!NN73:NN86)</f>
        <v>1.3811257142857143</v>
      </c>
      <c r="NR87">
        <v>1.3276600000000001</v>
      </c>
      <c r="NS87">
        <f>AVERAGE(Supplementary_Fig7!NS73:NS86)</f>
        <v>1.3990178571428573</v>
      </c>
      <c r="NZ87" t="s">
        <v>612</v>
      </c>
      <c r="OA87">
        <v>155.86099999999999</v>
      </c>
      <c r="OC87" t="s">
        <v>586</v>
      </c>
      <c r="OD87">
        <v>323.185</v>
      </c>
      <c r="OF87" t="s">
        <v>617</v>
      </c>
      <c r="OG87">
        <v>214.16399999999999</v>
      </c>
      <c r="PD87">
        <v>-98.52</v>
      </c>
      <c r="PE87">
        <v>11.26</v>
      </c>
      <c r="QC87">
        <v>-95.9</v>
      </c>
      <c r="QD87">
        <v>3.85</v>
      </c>
      <c r="RA87">
        <v>-88.11</v>
      </c>
      <c r="RB87">
        <v>2.5</v>
      </c>
    </row>
    <row r="88" spans="157:470" ht="13.15" x14ac:dyDescent="0.4">
      <c r="FO88" t="s">
        <v>606</v>
      </c>
      <c r="FP88">
        <v>54.43</v>
      </c>
      <c r="FS88" t="s">
        <v>606</v>
      </c>
      <c r="FT88">
        <f>63*FP88/100</f>
        <v>34.290900000000001</v>
      </c>
      <c r="FW88" s="1">
        <f>AVERAGE(Supplementary_Fig7!FW84:FW87)</f>
        <v>69.005499999999998</v>
      </c>
      <c r="FX88" s="1">
        <f>AVERAGE(Supplementary_Fig7!FX84:FX87)</f>
        <v>54.431399999999996</v>
      </c>
      <c r="FY88" s="1">
        <f>AVERAGE(Supplementary_Fig7!FY84:FY87)</f>
        <v>56.375875000000001</v>
      </c>
      <c r="FZ88" s="1">
        <f>AVERAGE(Supplementary_Fig7!FZ84:FZ87)</f>
        <v>54.29325</v>
      </c>
      <c r="GA88" s="1">
        <f>AVERAGE(Supplementary_Fig7!GA84:GA87)</f>
        <v>65.828400000000002</v>
      </c>
      <c r="GB88" s="1">
        <f>AVERAGE(Supplementary_Fig7!GB84:GB87)</f>
        <v>62.022174999999997</v>
      </c>
      <c r="GC88" s="1">
        <f>AVERAGE(Supplementary_Fig7!GC84:GC87)</f>
        <v>59.237899999999996</v>
      </c>
      <c r="GD88" s="1">
        <f>AVERAGE(Supplementary_Fig7!GD84:GD87)</f>
        <v>70.840350000000001</v>
      </c>
      <c r="GH88" t="s">
        <v>583</v>
      </c>
      <c r="GJ88">
        <v>69.92</v>
      </c>
      <c r="GL88" t="s">
        <v>583</v>
      </c>
      <c r="GN88">
        <f>63*GJ88/100</f>
        <v>44.049599999999998</v>
      </c>
      <c r="GT88">
        <v>71.789900000000003</v>
      </c>
      <c r="GV88">
        <v>67.057900000000004</v>
      </c>
      <c r="GW88">
        <v>61.133000000000003</v>
      </c>
      <c r="GZ88" t="s">
        <v>620</v>
      </c>
      <c r="HB88">
        <v>79.069999999999993</v>
      </c>
      <c r="HD88" t="s">
        <v>620</v>
      </c>
      <c r="HF88">
        <f>63*Supplementary_Fig7!HB88/100</f>
        <v>49.814099999999996</v>
      </c>
      <c r="HJ88" s="1">
        <f>AVERAGE(Supplementary_Fig7!HJ84:HJ87)</f>
        <v>47.576233333333334</v>
      </c>
      <c r="HK88" s="1">
        <f>AVERAGE(Supplementary_Fig7!HK84:HK87)</f>
        <v>72.676575</v>
      </c>
      <c r="HL88" s="1">
        <f>AVERAGE(Supplementary_Fig7!HL84:HL87)</f>
        <v>44.150475</v>
      </c>
      <c r="HM88" s="1">
        <f>AVERAGE(Supplementary_Fig7!HM84:HM87)</f>
        <v>67.481075000000004</v>
      </c>
      <c r="HN88" s="1">
        <f>AVERAGE(Supplementary_Fig7!HN84:HN87)</f>
        <v>56.140100000000004</v>
      </c>
      <c r="HO88" s="1">
        <f>AVERAGE(Supplementary_Fig7!HO84:HO87)</f>
        <v>58.173075000000004</v>
      </c>
      <c r="HP88" s="1">
        <f>AVERAGE(Supplementary_Fig7!HP84:HP87)</f>
        <v>47.516399999999997</v>
      </c>
      <c r="HQ88" s="1">
        <f>AVERAGE(Supplementary_Fig7!HQ84:HQ87)</f>
        <v>26.128675000000001</v>
      </c>
      <c r="HR88" s="1">
        <f>AVERAGE(Supplementary_Fig7!HR84:HR87)</f>
        <v>79.070299999999989</v>
      </c>
      <c r="HS88" s="1">
        <f>AVERAGE(Supplementary_Fig7!HS84:HS87)</f>
        <v>44.686900000000001</v>
      </c>
      <c r="HV88" t="s">
        <v>603</v>
      </c>
      <c r="HW88">
        <v>92.51</v>
      </c>
      <c r="HZ88">
        <v>111.119</v>
      </c>
      <c r="IA88">
        <v>84.190399999999997</v>
      </c>
      <c r="IB88">
        <v>84.916700000000006</v>
      </c>
      <c r="IC88">
        <v>90.501400000000004</v>
      </c>
      <c r="ID88">
        <v>89.1708</v>
      </c>
      <c r="IE88">
        <v>88.087500000000006</v>
      </c>
      <c r="IF88">
        <v>88.372799999999998</v>
      </c>
      <c r="IG88">
        <v>113.04600000000001</v>
      </c>
      <c r="IH88">
        <v>75.445599999999999</v>
      </c>
      <c r="II88">
        <v>70.619200000000006</v>
      </c>
      <c r="IJ88">
        <v>83.427400000000006</v>
      </c>
      <c r="IK88">
        <v>61.926299999999998</v>
      </c>
      <c r="IL88">
        <v>76.77</v>
      </c>
      <c r="IM88">
        <v>72.760000000000005</v>
      </c>
      <c r="IN88">
        <v>84.233099999999993</v>
      </c>
      <c r="IO88">
        <v>62.442</v>
      </c>
      <c r="IP88">
        <v>105.032</v>
      </c>
      <c r="IQ88">
        <v>66.290300000000002</v>
      </c>
      <c r="IR88">
        <v>77.262900000000002</v>
      </c>
      <c r="IT88">
        <v>74.636799999999994</v>
      </c>
      <c r="IU88">
        <v>102.82899999999999</v>
      </c>
      <c r="IX88" t="s">
        <v>589</v>
      </c>
      <c r="IY88">
        <v>116.55</v>
      </c>
      <c r="JB88">
        <v>98.126199999999997</v>
      </c>
      <c r="JC88">
        <v>96.112099999999998</v>
      </c>
      <c r="JD88">
        <v>93.052700000000002</v>
      </c>
      <c r="JE88">
        <v>96.346999999999994</v>
      </c>
      <c r="JF88">
        <v>98.017899999999997</v>
      </c>
      <c r="JG88">
        <v>113.867</v>
      </c>
      <c r="JH88">
        <v>108.015</v>
      </c>
      <c r="JI88">
        <v>67.031899999999993</v>
      </c>
      <c r="JJ88">
        <v>125.35899999999999</v>
      </c>
      <c r="JK88">
        <v>86.988799999999998</v>
      </c>
      <c r="JL88">
        <v>95.945700000000002</v>
      </c>
      <c r="JM88">
        <v>97.523499999999999</v>
      </c>
      <c r="JN88">
        <v>98.884600000000006</v>
      </c>
      <c r="JO88">
        <v>99.018900000000002</v>
      </c>
      <c r="JP88">
        <v>80.587800000000001</v>
      </c>
      <c r="JQ88">
        <v>99.8108</v>
      </c>
      <c r="JR88">
        <v>131.47999999999999</v>
      </c>
      <c r="JS88">
        <v>112.854</v>
      </c>
      <c r="JV88" t="s">
        <v>620</v>
      </c>
      <c r="JW88">
        <v>108.53</v>
      </c>
      <c r="KD88">
        <f>AVERAGE(Supplementary_Fig7!KD73:KD87)</f>
        <v>99.495259999999988</v>
      </c>
      <c r="KT88" t="s">
        <v>603</v>
      </c>
      <c r="KU88">
        <v>1.64</v>
      </c>
      <c r="KY88">
        <v>2.4308900000000002</v>
      </c>
      <c r="KZ88">
        <v>2.6505000000000001</v>
      </c>
      <c r="LA88">
        <v>2.0046499999999998</v>
      </c>
      <c r="LB88">
        <v>2.8679999999999999</v>
      </c>
      <c r="LC88">
        <v>2.57463</v>
      </c>
      <c r="LD88">
        <v>2.1358999999999999</v>
      </c>
      <c r="LE88">
        <v>1.7116199999999999</v>
      </c>
      <c r="LF88">
        <v>2.5782099999999999</v>
      </c>
      <c r="LG88">
        <v>1.4095500000000001</v>
      </c>
      <c r="LH88">
        <v>2.21794</v>
      </c>
      <c r="LI88">
        <v>1.89181</v>
      </c>
      <c r="LK88">
        <v>1.87338</v>
      </c>
      <c r="LL88">
        <v>1.8817999999999999</v>
      </c>
      <c r="LM88">
        <v>1.5814299999999999</v>
      </c>
      <c r="LN88">
        <v>1.7827</v>
      </c>
      <c r="LO88">
        <v>2.5551499999999998</v>
      </c>
      <c r="LP88">
        <v>2.61131</v>
      </c>
      <c r="LQ88">
        <v>1.5724800000000001</v>
      </c>
      <c r="LR88">
        <v>1.62453</v>
      </c>
      <c r="LS88">
        <v>2.4718399999999998</v>
      </c>
      <c r="LT88">
        <v>1.53565</v>
      </c>
      <c r="LW88" t="s">
        <v>589</v>
      </c>
      <c r="LX88">
        <v>1.62</v>
      </c>
      <c r="MB88">
        <v>1.76841</v>
      </c>
      <c r="MD88">
        <v>1.7965199999999999</v>
      </c>
      <c r="ME88">
        <v>2.2224300000000001</v>
      </c>
      <c r="MF88">
        <v>1.71827</v>
      </c>
      <c r="MG88">
        <v>1.7174400000000001</v>
      </c>
      <c r="MH88">
        <v>1.5429999999999999</v>
      </c>
      <c r="MI88">
        <v>1.7029300000000001</v>
      </c>
      <c r="MJ88">
        <v>1.6075299999999999</v>
      </c>
      <c r="MK88">
        <v>1.74699</v>
      </c>
      <c r="ML88">
        <v>1.5568</v>
      </c>
      <c r="MN88">
        <v>1.4792700000000001</v>
      </c>
      <c r="MO88">
        <v>1.6267</v>
      </c>
      <c r="MP88">
        <v>1.5595399999999999</v>
      </c>
      <c r="MQ88">
        <v>1.5447</v>
      </c>
      <c r="MZ88" t="s">
        <v>620</v>
      </c>
      <c r="NA88">
        <v>1.35</v>
      </c>
      <c r="NR88">
        <f>AVERAGE(Supplementary_Fig7!NR73:NR87)</f>
        <v>1.3413999999999999</v>
      </c>
      <c r="NZ88" t="s">
        <v>615</v>
      </c>
      <c r="OA88">
        <v>240.84200000000001</v>
      </c>
      <c r="OC88" t="s">
        <v>589</v>
      </c>
      <c r="OD88">
        <v>304.27300000000002</v>
      </c>
      <c r="OF88" t="s">
        <v>620</v>
      </c>
      <c r="OG88">
        <v>442.03800000000001</v>
      </c>
      <c r="PD88">
        <v>-98.55</v>
      </c>
      <c r="PE88">
        <v>7.14</v>
      </c>
      <c r="QC88">
        <v>-95.96</v>
      </c>
      <c r="QD88">
        <v>8.2899999999999991</v>
      </c>
      <c r="RA88">
        <v>-88.17</v>
      </c>
      <c r="RB88">
        <v>3.75</v>
      </c>
    </row>
    <row r="89" spans="157:470" x14ac:dyDescent="0.35">
      <c r="FO89" t="s">
        <v>609</v>
      </c>
      <c r="FP89">
        <v>56.37</v>
      </c>
      <c r="FS89" t="s">
        <v>609</v>
      </c>
      <c r="FT89">
        <f>63*FP89/100</f>
        <v>35.513100000000001</v>
      </c>
      <c r="GH89" t="s">
        <v>586</v>
      </c>
      <c r="GJ89">
        <v>95.33</v>
      </c>
      <c r="GL89" t="s">
        <v>586</v>
      </c>
      <c r="GN89">
        <f>63*GJ89/100</f>
        <v>60.057899999999997</v>
      </c>
      <c r="GV89">
        <v>57.701099999999997</v>
      </c>
      <c r="GW89">
        <v>76.219099999999997</v>
      </c>
      <c r="GZ89" t="s">
        <v>623</v>
      </c>
      <c r="HB89">
        <v>44.68</v>
      </c>
      <c r="HD89" t="s">
        <v>623</v>
      </c>
      <c r="HF89">
        <f>63*Supplementary_Fig7!HB89/100</f>
        <v>28.148400000000002</v>
      </c>
      <c r="HV89" t="s">
        <v>606</v>
      </c>
      <c r="HW89">
        <v>91.04</v>
      </c>
      <c r="HZ89">
        <v>112.16</v>
      </c>
      <c r="IA89">
        <v>83.955399999999997</v>
      </c>
      <c r="IB89">
        <v>83.386200000000002</v>
      </c>
      <c r="IC89">
        <v>89.120500000000007</v>
      </c>
      <c r="ID89">
        <v>90.301500000000004</v>
      </c>
      <c r="IE89">
        <v>114.607</v>
      </c>
      <c r="IF89">
        <v>89.735399999999998</v>
      </c>
      <c r="IG89">
        <v>114.548</v>
      </c>
      <c r="IH89">
        <v>89.970399999999998</v>
      </c>
      <c r="II89">
        <v>96.816999999999993</v>
      </c>
      <c r="IJ89">
        <v>82.122799999999998</v>
      </c>
      <c r="IK89">
        <v>60.328699999999998</v>
      </c>
      <c r="IL89">
        <v>75.109899999999996</v>
      </c>
      <c r="IM89">
        <v>72.158799999999999</v>
      </c>
      <c r="IN89">
        <v>84.184299999999993</v>
      </c>
      <c r="IO89">
        <v>63.15</v>
      </c>
      <c r="IP89">
        <v>103.922</v>
      </c>
      <c r="IQ89">
        <v>64.401200000000003</v>
      </c>
      <c r="IR89">
        <v>76.6083</v>
      </c>
      <c r="IT89">
        <v>105.01300000000001</v>
      </c>
      <c r="IU89">
        <v>101.55</v>
      </c>
      <c r="IX89" t="s">
        <v>592</v>
      </c>
      <c r="IY89">
        <v>96.8</v>
      </c>
      <c r="JB89">
        <v>97.439599999999999</v>
      </c>
      <c r="JC89">
        <v>94.132999999999996</v>
      </c>
      <c r="JD89">
        <v>91.932699999999997</v>
      </c>
      <c r="JE89">
        <v>94.389300000000006</v>
      </c>
      <c r="JF89">
        <v>98.440600000000003</v>
      </c>
      <c r="JG89">
        <v>115.129</v>
      </c>
      <c r="JH89">
        <v>109.54600000000001</v>
      </c>
      <c r="JI89">
        <v>69.503799999999998</v>
      </c>
      <c r="JJ89">
        <v>126.187</v>
      </c>
      <c r="JK89">
        <v>88.085899999999995</v>
      </c>
      <c r="JL89">
        <v>101.47199999999999</v>
      </c>
      <c r="JM89">
        <v>121.791</v>
      </c>
      <c r="JN89">
        <f>AVERAGE(JN80:JN88)</f>
        <v>119.15795555555557</v>
      </c>
      <c r="JO89">
        <v>99.519300000000001</v>
      </c>
      <c r="JP89">
        <v>80.105599999999995</v>
      </c>
      <c r="JQ89">
        <v>100.82599999999999</v>
      </c>
      <c r="JR89">
        <v>129.49799999999999</v>
      </c>
      <c r="JS89">
        <v>111.79</v>
      </c>
      <c r="JV89" t="s">
        <v>623</v>
      </c>
      <c r="JW89">
        <v>107.52</v>
      </c>
      <c r="KT89" t="s">
        <v>606</v>
      </c>
      <c r="KU89">
        <v>1.76</v>
      </c>
      <c r="KY89">
        <v>2.3529900000000001</v>
      </c>
      <c r="KZ89">
        <v>2.6133199999999999</v>
      </c>
      <c r="LA89">
        <v>1.9794799999999999</v>
      </c>
      <c r="LB89">
        <v>2.7064599999999999</v>
      </c>
      <c r="LC89">
        <v>2.5149900000000001</v>
      </c>
      <c r="LD89">
        <v>2.0857299999999999</v>
      </c>
      <c r="LE89">
        <v>1.6242000000000001</v>
      </c>
      <c r="LF89">
        <v>2.4201000000000001</v>
      </c>
      <c r="LG89">
        <v>1.4426099999999999</v>
      </c>
      <c r="LH89">
        <v>2.1678700000000002</v>
      </c>
      <c r="LI89">
        <v>1.8089200000000001</v>
      </c>
      <c r="LK89">
        <v>1.80894</v>
      </c>
      <c r="LL89">
        <v>1.8931500000000001</v>
      </c>
      <c r="LM89">
        <v>1.5797099999999999</v>
      </c>
      <c r="LN89">
        <v>1.7094199999999999</v>
      </c>
      <c r="LO89">
        <v>2.35162</v>
      </c>
      <c r="LP89">
        <v>2.6833499999999999</v>
      </c>
      <c r="LQ89">
        <v>1.47438</v>
      </c>
      <c r="LR89">
        <v>1.57938</v>
      </c>
      <c r="LS89">
        <v>2.6255999999999999</v>
      </c>
      <c r="LT89">
        <v>1.54179</v>
      </c>
      <c r="LW89" t="s">
        <v>592</v>
      </c>
      <c r="LX89">
        <v>1.54</v>
      </c>
      <c r="MB89">
        <v>1.7929600000000001</v>
      </c>
      <c r="MD89">
        <f>AVERAGE(MD78:MD88)</f>
        <v>1.7835236363636362</v>
      </c>
      <c r="ME89">
        <v>2.25305</v>
      </c>
      <c r="MF89">
        <f>AVERAGE(MF78:MF88)</f>
        <v>1.7435945454545456</v>
      </c>
      <c r="MG89">
        <f>AVERAGE(MG78:MG88)</f>
        <v>1.6999980000000003</v>
      </c>
      <c r="MH89">
        <v>1.5341100000000001</v>
      </c>
      <c r="MI89">
        <v>1.72113</v>
      </c>
      <c r="MJ89">
        <v>1.63967</v>
      </c>
      <c r="MK89">
        <f>AVERAGE(MK78:MK88)</f>
        <v>1.6285319999999999</v>
      </c>
      <c r="ML89">
        <v>1.55521</v>
      </c>
      <c r="MN89">
        <v>1.4923500000000001</v>
      </c>
      <c r="MO89">
        <v>1.62775</v>
      </c>
      <c r="MP89">
        <v>1.5801400000000001</v>
      </c>
      <c r="MQ89">
        <v>1.5766199999999999</v>
      </c>
      <c r="MZ89" t="s">
        <v>623</v>
      </c>
      <c r="NA89">
        <v>1.72</v>
      </c>
      <c r="ND89" t="s">
        <v>626</v>
      </c>
      <c r="NE89" t="s">
        <v>629</v>
      </c>
      <c r="NF89" t="s">
        <v>632</v>
      </c>
      <c r="NG89" t="s">
        <v>635</v>
      </c>
      <c r="NH89" t="s">
        <v>638</v>
      </c>
      <c r="NI89" t="s">
        <v>1069</v>
      </c>
      <c r="NJ89" t="s">
        <v>1070</v>
      </c>
      <c r="NK89" t="s">
        <v>1071</v>
      </c>
      <c r="NL89" t="s">
        <v>1072</v>
      </c>
      <c r="NM89" t="s">
        <v>1073</v>
      </c>
      <c r="NN89" t="s">
        <v>1074</v>
      </c>
      <c r="NO89" t="s">
        <v>1075</v>
      </c>
      <c r="NP89" t="s">
        <v>1076</v>
      </c>
      <c r="NQ89" t="s">
        <v>1077</v>
      </c>
      <c r="NR89" t="s">
        <v>1078</v>
      </c>
      <c r="NS89" t="s">
        <v>1079</v>
      </c>
      <c r="NT89" t="s">
        <v>1080</v>
      </c>
      <c r="NU89" t="s">
        <v>1081</v>
      </c>
      <c r="NZ89" t="s">
        <v>618</v>
      </c>
      <c r="OA89">
        <v>203.23400000000001</v>
      </c>
      <c r="OC89" t="s">
        <v>592</v>
      </c>
      <c r="OD89">
        <v>299.45100000000002</v>
      </c>
      <c r="OF89" t="s">
        <v>623</v>
      </c>
      <c r="OG89">
        <v>269.77999999999997</v>
      </c>
      <c r="PD89">
        <v>-98.67</v>
      </c>
      <c r="PE89">
        <v>8.34</v>
      </c>
      <c r="QC89">
        <v>-96.08</v>
      </c>
      <c r="QD89">
        <v>5.44</v>
      </c>
      <c r="RA89">
        <v>-88.23</v>
      </c>
      <c r="RB89">
        <v>4.88</v>
      </c>
    </row>
    <row r="90" spans="157:470" ht="13.15" x14ac:dyDescent="0.4">
      <c r="FO90" t="s">
        <v>612</v>
      </c>
      <c r="FQ90">
        <v>54.29</v>
      </c>
      <c r="FS90" t="s">
        <v>612</v>
      </c>
      <c r="FU90">
        <f>63*FQ90/100</f>
        <v>34.2027</v>
      </c>
      <c r="GH90" t="s">
        <v>589</v>
      </c>
      <c r="GJ90">
        <v>69.17</v>
      </c>
      <c r="GL90" t="s">
        <v>589</v>
      </c>
      <c r="GN90">
        <f>63*GJ90/100</f>
        <v>43.577100000000002</v>
      </c>
      <c r="GQ90" s="1">
        <f t="shared" ref="GQ90:GX90" si="22">AVERAGE(GQ86:GQ89)</f>
        <v>86.099549999999994</v>
      </c>
      <c r="GR90" s="1">
        <f t="shared" si="22"/>
        <v>77.076899999999995</v>
      </c>
      <c r="GS90" s="1">
        <f t="shared" si="22"/>
        <v>134.33645000000001</v>
      </c>
      <c r="GT90" s="1">
        <f t="shared" si="22"/>
        <v>70.422633333333337</v>
      </c>
      <c r="GU90" s="1">
        <f t="shared" si="22"/>
        <v>93.106549999999999</v>
      </c>
      <c r="GV90" s="1">
        <f t="shared" si="22"/>
        <v>68.719400000000007</v>
      </c>
      <c r="GW90" s="1">
        <f t="shared" si="22"/>
        <v>72.825549999999993</v>
      </c>
      <c r="GX90" s="1">
        <f t="shared" si="22"/>
        <v>69.928750000000008</v>
      </c>
      <c r="GZ90" t="s">
        <v>626</v>
      </c>
      <c r="HB90">
        <v>25.84</v>
      </c>
      <c r="HD90" t="s">
        <v>626</v>
      </c>
      <c r="HF90">
        <f>63*Supplementary_Fig7!HB90/100</f>
        <v>16.279199999999999</v>
      </c>
      <c r="HJ90" t="s">
        <v>626</v>
      </c>
      <c r="HK90" t="s">
        <v>629</v>
      </c>
      <c r="HL90" t="s">
        <v>632</v>
      </c>
      <c r="HM90" t="s">
        <v>635</v>
      </c>
      <c r="HN90" t="s">
        <v>638</v>
      </c>
      <c r="HV90" t="s">
        <v>609</v>
      </c>
      <c r="HW90">
        <v>67.19</v>
      </c>
      <c r="HZ90">
        <v>110.536</v>
      </c>
      <c r="IA90">
        <v>82.472200000000001</v>
      </c>
      <c r="IB90">
        <v>83.703599999999994</v>
      </c>
      <c r="IC90">
        <v>88.746600000000001</v>
      </c>
      <c r="ID90">
        <v>111.758</v>
      </c>
      <c r="IE90">
        <v>115.764</v>
      </c>
      <c r="IF90">
        <v>89.503500000000003</v>
      </c>
      <c r="IG90">
        <v>114.32</v>
      </c>
      <c r="IH90">
        <v>92.073099999999997</v>
      </c>
      <c r="II90">
        <v>97.392300000000006</v>
      </c>
      <c r="IJ90">
        <v>81.111099999999993</v>
      </c>
      <c r="IK90">
        <v>58.915700000000001</v>
      </c>
      <c r="IL90">
        <v>73.889200000000002</v>
      </c>
      <c r="IM90">
        <v>100.536</v>
      </c>
      <c r="IN90">
        <v>86.688199999999995</v>
      </c>
      <c r="IO90">
        <v>60.467500000000001</v>
      </c>
      <c r="IP90">
        <v>101.044</v>
      </c>
      <c r="IQ90">
        <v>63.589500000000001</v>
      </c>
      <c r="IR90">
        <v>77.529899999999998</v>
      </c>
      <c r="IT90">
        <v>106.52500000000001</v>
      </c>
      <c r="IU90">
        <v>100.639</v>
      </c>
      <c r="IX90" t="s">
        <v>595</v>
      </c>
      <c r="IY90">
        <v>96.89</v>
      </c>
      <c r="JB90">
        <v>95.538300000000007</v>
      </c>
      <c r="JC90">
        <v>97.714200000000005</v>
      </c>
      <c r="JD90">
        <v>96.095299999999995</v>
      </c>
      <c r="JE90">
        <v>102.098</v>
      </c>
      <c r="JF90">
        <v>99.757400000000004</v>
      </c>
      <c r="JG90">
        <v>114</v>
      </c>
      <c r="JH90">
        <v>111.346</v>
      </c>
      <c r="JI90">
        <v>114.517</v>
      </c>
      <c r="JJ90">
        <v>125.53700000000001</v>
      </c>
      <c r="JK90">
        <v>106.345</v>
      </c>
      <c r="JL90">
        <v>97.267200000000003</v>
      </c>
      <c r="JM90">
        <v>122.655</v>
      </c>
      <c r="JO90">
        <v>98.4375</v>
      </c>
      <c r="JP90">
        <v>108.30500000000001</v>
      </c>
      <c r="JQ90">
        <v>97.819500000000005</v>
      </c>
      <c r="JR90">
        <v>130.84899999999999</v>
      </c>
      <c r="JS90">
        <v>113.374</v>
      </c>
      <c r="JV90" t="s">
        <v>626</v>
      </c>
      <c r="JW90">
        <v>90.71</v>
      </c>
      <c r="JZ90" t="s">
        <v>605</v>
      </c>
      <c r="KA90" t="s">
        <v>608</v>
      </c>
      <c r="KB90" t="s">
        <v>611</v>
      </c>
      <c r="KC90" t="s">
        <v>614</v>
      </c>
      <c r="KD90" t="s">
        <v>617</v>
      </c>
      <c r="KE90" t="s">
        <v>620</v>
      </c>
      <c r="KF90" t="s">
        <v>623</v>
      </c>
      <c r="KG90" t="s">
        <v>626</v>
      </c>
      <c r="KH90" t="s">
        <v>629</v>
      </c>
      <c r="KI90" t="s">
        <v>632</v>
      </c>
      <c r="KJ90" t="s">
        <v>635</v>
      </c>
      <c r="KK90" t="s">
        <v>638</v>
      </c>
      <c r="KL90" t="s">
        <v>1069</v>
      </c>
      <c r="KM90" t="s">
        <v>1070</v>
      </c>
      <c r="KN90" t="s">
        <v>1071</v>
      </c>
      <c r="KO90" t="s">
        <v>1082</v>
      </c>
      <c r="KP90" t="s">
        <v>1072</v>
      </c>
      <c r="KQ90" t="s">
        <v>1073</v>
      </c>
      <c r="KT90" t="s">
        <v>609</v>
      </c>
      <c r="KU90">
        <v>2.72</v>
      </c>
      <c r="KY90">
        <v>2.4470000000000001</v>
      </c>
      <c r="KZ90">
        <v>2.6511999999999998</v>
      </c>
      <c r="LA90">
        <v>1.9702900000000001</v>
      </c>
      <c r="LB90">
        <v>2.6057700000000001</v>
      </c>
      <c r="LC90">
        <v>2.4120900000000001</v>
      </c>
      <c r="LD90">
        <v>2.1137100000000002</v>
      </c>
      <c r="LE90">
        <v>1.65035</v>
      </c>
      <c r="LF90">
        <v>2.6990500000000002</v>
      </c>
      <c r="LG90">
        <v>1.3847700000000001</v>
      </c>
      <c r="LH90">
        <v>2.2795100000000001</v>
      </c>
      <c r="LI90">
        <v>1.8484700000000001</v>
      </c>
      <c r="LK90">
        <v>1.7107300000000001</v>
      </c>
      <c r="LL90">
        <v>1.8447800000000001</v>
      </c>
      <c r="LM90">
        <v>1.54423</v>
      </c>
      <c r="LN90">
        <v>1.7190000000000001</v>
      </c>
      <c r="LO90">
        <v>2.3959700000000002</v>
      </c>
      <c r="LP90">
        <v>2.6585100000000002</v>
      </c>
      <c r="LQ90">
        <v>1.4031199999999999</v>
      </c>
      <c r="LR90">
        <v>1.5707</v>
      </c>
      <c r="LS90">
        <v>2.7569699999999999</v>
      </c>
      <c r="LT90">
        <v>1.54253</v>
      </c>
      <c r="LW90" t="s">
        <v>595</v>
      </c>
      <c r="LX90">
        <v>1.5</v>
      </c>
      <c r="MB90">
        <f>AVERAGE(MB78:MB89)</f>
        <v>1.7775766666666666</v>
      </c>
      <c r="ME90">
        <v>2.07314</v>
      </c>
      <c r="MH90">
        <v>1.48431</v>
      </c>
      <c r="MI90">
        <v>1.7294</v>
      </c>
      <c r="MJ90">
        <v>1.66797</v>
      </c>
      <c r="ML90">
        <v>1.5541100000000001</v>
      </c>
      <c r="MN90">
        <f>AVERAGE(MN78:MN89)</f>
        <v>1.4608258333333335</v>
      </c>
      <c r="MO90">
        <f>AVERAGE(MO78:MO89)</f>
        <v>1.6321483333333333</v>
      </c>
      <c r="MP90">
        <v>1.5993200000000001</v>
      </c>
      <c r="MQ90">
        <v>1.5586899999999999</v>
      </c>
      <c r="MZ90" t="s">
        <v>626</v>
      </c>
      <c r="NA90">
        <v>1.56</v>
      </c>
      <c r="ND90">
        <v>1.5499499999999999</v>
      </c>
      <c r="NE90">
        <v>1.4796199999999999</v>
      </c>
      <c r="NF90">
        <v>1.33656</v>
      </c>
      <c r="NG90">
        <v>1.3186899999999999</v>
      </c>
      <c r="NH90">
        <v>1.8349</v>
      </c>
      <c r="NI90">
        <v>1.32073</v>
      </c>
      <c r="NJ90">
        <v>1.14177</v>
      </c>
      <c r="NK90">
        <v>1.36589</v>
      </c>
      <c r="NL90">
        <v>1.4606699999999999</v>
      </c>
      <c r="NM90">
        <v>1.2801</v>
      </c>
      <c r="NN90">
        <v>1.47173</v>
      </c>
      <c r="NO90">
        <v>1.5607500000000001</v>
      </c>
      <c r="NP90">
        <v>1.61951</v>
      </c>
      <c r="NQ90">
        <v>1.52501</v>
      </c>
      <c r="NR90">
        <v>1.5735300000000001</v>
      </c>
      <c r="NS90">
        <v>1.64106</v>
      </c>
      <c r="NT90">
        <v>1.6875</v>
      </c>
      <c r="NU90">
        <v>1.6971700000000001</v>
      </c>
      <c r="NZ90" t="s">
        <v>621</v>
      </c>
      <c r="OA90">
        <v>102.929</v>
      </c>
      <c r="OC90" t="s">
        <v>595</v>
      </c>
      <c r="OD90">
        <v>339.68299999999999</v>
      </c>
      <c r="OF90" t="s">
        <v>626</v>
      </c>
      <c r="OG90">
        <v>276.74</v>
      </c>
      <c r="PD90">
        <v>-98.91</v>
      </c>
      <c r="PE90">
        <v>13.24</v>
      </c>
      <c r="QC90">
        <v>-96.16</v>
      </c>
      <c r="QD90">
        <v>4.8099999999999996</v>
      </c>
      <c r="RA90">
        <v>-88.26</v>
      </c>
      <c r="RB90">
        <v>6.15</v>
      </c>
    </row>
    <row r="91" spans="157:470" x14ac:dyDescent="0.35">
      <c r="FO91" t="s">
        <v>615</v>
      </c>
      <c r="FP91">
        <v>65.819999999999993</v>
      </c>
      <c r="FS91" t="s">
        <v>615</v>
      </c>
      <c r="FT91">
        <f>63*FP91/100</f>
        <v>41.4666</v>
      </c>
      <c r="FW91" t="s">
        <v>627</v>
      </c>
      <c r="FX91" t="s">
        <v>630</v>
      </c>
      <c r="FY91" t="s">
        <v>633</v>
      </c>
      <c r="FZ91" t="s">
        <v>636</v>
      </c>
      <c r="GA91" t="s">
        <v>639</v>
      </c>
      <c r="GH91" t="s">
        <v>592</v>
      </c>
      <c r="GJ91">
        <v>49.42</v>
      </c>
      <c r="GL91" t="s">
        <v>592</v>
      </c>
      <c r="GN91">
        <f>63*GJ91/100</f>
        <v>31.134599999999999</v>
      </c>
      <c r="GZ91" t="s">
        <v>629</v>
      </c>
      <c r="HB91">
        <v>27.59</v>
      </c>
      <c r="HD91" t="s">
        <v>629</v>
      </c>
      <c r="HF91">
        <f>63*Supplementary_Fig7!HB91/100</f>
        <v>17.381700000000002</v>
      </c>
      <c r="HJ91">
        <v>25.4238</v>
      </c>
      <c r="HK91">
        <v>28.3919</v>
      </c>
      <c r="HL91">
        <v>51.686900000000001</v>
      </c>
      <c r="HM91">
        <v>52.250999999999998</v>
      </c>
      <c r="HN91">
        <v>78.732900000000001</v>
      </c>
      <c r="HV91" t="s">
        <v>612</v>
      </c>
      <c r="HW91">
        <v>91.64</v>
      </c>
      <c r="HZ91">
        <v>115.953</v>
      </c>
      <c r="IA91">
        <v>84.892300000000006</v>
      </c>
      <c r="IB91">
        <v>85.534700000000001</v>
      </c>
      <c r="IC91">
        <v>87.680099999999996</v>
      </c>
      <c r="ID91">
        <v>114.066</v>
      </c>
      <c r="IE91">
        <v>114.66200000000001</v>
      </c>
      <c r="IF91">
        <v>88.278199999999998</v>
      </c>
      <c r="IG91">
        <v>115.294</v>
      </c>
      <c r="IH91">
        <v>92.620800000000003</v>
      </c>
      <c r="II91">
        <v>96.321100000000001</v>
      </c>
      <c r="IJ91">
        <v>105.244</v>
      </c>
      <c r="IK91">
        <v>58.572400000000002</v>
      </c>
      <c r="IL91">
        <v>101.379</v>
      </c>
      <c r="IM91">
        <v>100.25</v>
      </c>
      <c r="IN91">
        <v>85.044899999999998</v>
      </c>
      <c r="IO91">
        <v>62.751800000000003</v>
      </c>
      <c r="IP91">
        <v>103.85</v>
      </c>
      <c r="IQ91">
        <v>63.716099999999997</v>
      </c>
      <c r="IR91">
        <v>77.662700000000001</v>
      </c>
      <c r="IT91">
        <v>106.502</v>
      </c>
      <c r="IU91">
        <v>103.931</v>
      </c>
      <c r="IX91" t="s">
        <v>598</v>
      </c>
      <c r="IY91">
        <v>107.63</v>
      </c>
      <c r="JB91">
        <v>123.553</v>
      </c>
      <c r="JC91">
        <v>116.541</v>
      </c>
      <c r="JD91">
        <v>96.318100000000001</v>
      </c>
      <c r="JE91">
        <v>101.024</v>
      </c>
      <c r="JF91">
        <v>99.855000000000004</v>
      </c>
      <c r="JG91">
        <v>113.861</v>
      </c>
      <c r="JH91">
        <v>110.974</v>
      </c>
      <c r="JI91">
        <v>112.32899999999999</v>
      </c>
      <c r="JJ91">
        <v>126.425</v>
      </c>
      <c r="JK91">
        <v>104.7</v>
      </c>
      <c r="JL91">
        <v>97.734099999999998</v>
      </c>
      <c r="JM91">
        <v>123.572</v>
      </c>
      <c r="JO91">
        <v>98.559600000000003</v>
      </c>
      <c r="JP91">
        <v>105.38500000000001</v>
      </c>
      <c r="JQ91">
        <v>96.691900000000004</v>
      </c>
      <c r="JR91">
        <v>128.93199999999999</v>
      </c>
      <c r="JS91">
        <v>112.837</v>
      </c>
      <c r="JV91" t="s">
        <v>629</v>
      </c>
      <c r="JW91">
        <v>112.39</v>
      </c>
      <c r="JZ91">
        <v>121.977</v>
      </c>
      <c r="KA91">
        <v>97.590599999999995</v>
      </c>
      <c r="KB91">
        <v>90.199299999999994</v>
      </c>
      <c r="KC91">
        <v>108.502</v>
      </c>
      <c r="KD91">
        <v>83.712800000000001</v>
      </c>
      <c r="KE91">
        <v>95.631399999999999</v>
      </c>
      <c r="KF91">
        <v>87.6755</v>
      </c>
      <c r="KG91">
        <v>88.165300000000002</v>
      </c>
      <c r="KH91">
        <v>112.41500000000001</v>
      </c>
      <c r="KI91">
        <v>116.821</v>
      </c>
      <c r="KJ91">
        <v>127.00700000000001</v>
      </c>
      <c r="KK91">
        <v>108.682</v>
      </c>
      <c r="KL91">
        <v>88.026399999999995</v>
      </c>
      <c r="KM91">
        <v>113.19</v>
      </c>
      <c r="KN91">
        <v>132.143</v>
      </c>
      <c r="KP91">
        <v>91.213999999999999</v>
      </c>
      <c r="KQ91">
        <v>93.562299999999993</v>
      </c>
      <c r="KT91" t="s">
        <v>612</v>
      </c>
      <c r="KU91">
        <v>2.81</v>
      </c>
      <c r="KY91">
        <v>2.5155500000000002</v>
      </c>
      <c r="KZ91">
        <v>2.7004999999999999</v>
      </c>
      <c r="LA91">
        <v>1.9472499999999999</v>
      </c>
      <c r="LB91">
        <v>2.5018099999999999</v>
      </c>
      <c r="LC91">
        <v>2.4415399999999998</v>
      </c>
      <c r="LD91">
        <v>2.1274199999999999</v>
      </c>
      <c r="LE91">
        <v>1.60632</v>
      </c>
      <c r="LF91">
        <v>2.51301</v>
      </c>
      <c r="LG91">
        <v>1.37618</v>
      </c>
      <c r="LH91">
        <v>2.2496499999999999</v>
      </c>
      <c r="LI91">
        <v>1.84063</v>
      </c>
      <c r="LK91">
        <v>1.7163299999999999</v>
      </c>
      <c r="LL91">
        <v>1.8039000000000001</v>
      </c>
      <c r="LM91">
        <v>1.61511</v>
      </c>
      <c r="LN91">
        <v>1.7487999999999999</v>
      </c>
      <c r="LO91">
        <v>2.7244100000000002</v>
      </c>
      <c r="LP91">
        <v>2.5788700000000002</v>
      </c>
      <c r="LQ91">
        <v>1.41079</v>
      </c>
      <c r="LR91">
        <v>1.5466800000000001</v>
      </c>
      <c r="LS91">
        <v>2.83799</v>
      </c>
      <c r="LT91">
        <v>1.5250600000000001</v>
      </c>
      <c r="LW91" t="s">
        <v>598</v>
      </c>
      <c r="LX91">
        <v>1.46</v>
      </c>
      <c r="ME91">
        <v>2.0466000000000002</v>
      </c>
      <c r="MH91">
        <v>1.4555499999999999</v>
      </c>
      <c r="MI91">
        <f>AVERAGE(MI78:MI90)</f>
        <v>1.7047269230769226</v>
      </c>
      <c r="MJ91">
        <f>AVERAGE(MJ78:MJ90)</f>
        <v>1.6106438461538461</v>
      </c>
      <c r="ML91">
        <f>AVERAGE(ML78:ML90)</f>
        <v>1.541986923076923</v>
      </c>
      <c r="MP91">
        <v>1.45164</v>
      </c>
      <c r="MQ91">
        <f>AVERAGE(MQ78:MQ90)</f>
        <v>1.5191623076923075</v>
      </c>
      <c r="MZ91" t="s">
        <v>629</v>
      </c>
      <c r="NA91">
        <v>1.49</v>
      </c>
      <c r="ND91">
        <v>1.5827</v>
      </c>
      <c r="NE91">
        <v>1.49695</v>
      </c>
      <c r="NF91">
        <v>1.3393900000000001</v>
      </c>
      <c r="NG91">
        <v>1.3395999999999999</v>
      </c>
      <c r="NH91">
        <v>1.8288599999999999</v>
      </c>
      <c r="NI91">
        <v>1.33022</v>
      </c>
      <c r="NJ91">
        <v>1.1285000000000001</v>
      </c>
      <c r="NK91">
        <v>1.383</v>
      </c>
      <c r="NL91">
        <v>1.6540299999999999</v>
      </c>
      <c r="NM91">
        <v>1.28867</v>
      </c>
      <c r="NN91">
        <v>1.45197</v>
      </c>
      <c r="NO91">
        <v>1.5692600000000001</v>
      </c>
      <c r="NP91">
        <v>1.58297</v>
      </c>
      <c r="NQ91">
        <v>1.45096</v>
      </c>
      <c r="NR91">
        <v>1.5739700000000001</v>
      </c>
      <c r="NS91">
        <v>1.6182099999999999</v>
      </c>
      <c r="NT91">
        <v>1.6784399999999999</v>
      </c>
      <c r="NU91">
        <v>1.71753</v>
      </c>
      <c r="NZ91" t="s">
        <v>624</v>
      </c>
      <c r="OA91">
        <v>205.43</v>
      </c>
      <c r="OC91" t="s">
        <v>598</v>
      </c>
      <c r="OD91">
        <v>346.459</v>
      </c>
      <c r="OF91" t="s">
        <v>629</v>
      </c>
      <c r="OG91">
        <v>280.15899999999999</v>
      </c>
      <c r="PD91">
        <v>-99.01</v>
      </c>
      <c r="PE91">
        <v>7.43</v>
      </c>
      <c r="QC91">
        <v>-96.53</v>
      </c>
      <c r="QD91">
        <v>2.48</v>
      </c>
      <c r="RA91">
        <v>-88.26</v>
      </c>
      <c r="RB91">
        <v>2.06</v>
      </c>
    </row>
    <row r="92" spans="157:470" x14ac:dyDescent="0.35">
      <c r="FO92" t="s">
        <v>618</v>
      </c>
      <c r="FQ92">
        <v>62.02</v>
      </c>
      <c r="FS92" t="s">
        <v>618</v>
      </c>
      <c r="FU92">
        <f>63*FQ92/100</f>
        <v>39.072600000000001</v>
      </c>
      <c r="FW92">
        <v>110.279</v>
      </c>
      <c r="FX92">
        <v>64.837999999999994</v>
      </c>
      <c r="FY92">
        <v>64.936700000000002</v>
      </c>
      <c r="FZ92">
        <v>78.109399999999994</v>
      </c>
      <c r="GA92">
        <v>52.339599999999997</v>
      </c>
      <c r="GH92" t="s">
        <v>595</v>
      </c>
      <c r="GJ92">
        <v>73.66</v>
      </c>
      <c r="GL92" t="s">
        <v>595</v>
      </c>
      <c r="GN92">
        <f>63*GJ92/100</f>
        <v>46.405799999999999</v>
      </c>
      <c r="GQ92" t="s">
        <v>586</v>
      </c>
      <c r="GR92" t="s">
        <v>589</v>
      </c>
      <c r="GS92" t="s">
        <v>592</v>
      </c>
      <c r="GT92" t="s">
        <v>595</v>
      </c>
      <c r="GU92" t="s">
        <v>598</v>
      </c>
      <c r="GV92" t="s">
        <v>601</v>
      </c>
      <c r="GW92" t="s">
        <v>604</v>
      </c>
      <c r="GX92" t="s">
        <v>607</v>
      </c>
      <c r="GZ92" t="s">
        <v>632</v>
      </c>
      <c r="HB92">
        <v>53.48</v>
      </c>
      <c r="HD92" t="s">
        <v>632</v>
      </c>
      <c r="HF92">
        <f>63*Supplementary_Fig7!HB92/100</f>
        <v>33.692399999999999</v>
      </c>
      <c r="HJ92">
        <v>24.011900000000001</v>
      </c>
      <c r="HK92">
        <v>28.795999999999999</v>
      </c>
      <c r="HL92">
        <v>68.411900000000003</v>
      </c>
      <c r="HM92">
        <v>52.336799999999997</v>
      </c>
      <c r="HN92">
        <v>60.381799999999998</v>
      </c>
      <c r="HV92" t="s">
        <v>615</v>
      </c>
      <c r="HW92">
        <v>81.45</v>
      </c>
      <c r="HZ92">
        <v>114.828</v>
      </c>
      <c r="IA92">
        <v>84.544399999999996</v>
      </c>
      <c r="IB92">
        <v>84.4131</v>
      </c>
      <c r="IC92">
        <v>88.418599999999998</v>
      </c>
      <c r="ID92">
        <v>114.134</v>
      </c>
      <c r="IE92">
        <v>116.58</v>
      </c>
      <c r="IF92">
        <v>107.57299999999999</v>
      </c>
      <c r="IG92">
        <v>116.017</v>
      </c>
      <c r="IH92">
        <v>91.809100000000001</v>
      </c>
      <c r="II92">
        <v>97.299199999999999</v>
      </c>
      <c r="IJ92">
        <v>104.893</v>
      </c>
      <c r="IK92">
        <v>58.549500000000002</v>
      </c>
      <c r="IL92">
        <v>104.099</v>
      </c>
      <c r="IM92">
        <v>100.352</v>
      </c>
      <c r="IN92">
        <v>114.371</v>
      </c>
      <c r="IO92">
        <v>63.8748</v>
      </c>
      <c r="IP92">
        <v>102.789</v>
      </c>
      <c r="IQ92">
        <v>102.562</v>
      </c>
      <c r="IR92">
        <v>78.887900000000002</v>
      </c>
      <c r="IT92">
        <v>108.39700000000001</v>
      </c>
      <c r="IU92">
        <v>102.402</v>
      </c>
      <c r="IX92" t="s">
        <v>601</v>
      </c>
      <c r="IY92">
        <v>96.86</v>
      </c>
      <c r="JB92">
        <v>128.13399999999999</v>
      </c>
      <c r="JC92">
        <v>117.018</v>
      </c>
      <c r="JD92">
        <v>95.700100000000006</v>
      </c>
      <c r="JE92">
        <v>105.72199999999999</v>
      </c>
      <c r="JF92">
        <f>AVERAGE(JF80:JF91)</f>
        <v>99.229918181818164</v>
      </c>
      <c r="JG92">
        <v>119.279</v>
      </c>
      <c r="JH92">
        <v>116.47799999999999</v>
      </c>
      <c r="JI92">
        <v>115.758</v>
      </c>
      <c r="JJ92">
        <f>AVERAGE(JJ80:JJ91)</f>
        <v>125.92224999999998</v>
      </c>
      <c r="JK92">
        <v>100.084</v>
      </c>
      <c r="JL92">
        <v>95.585599999999999</v>
      </c>
      <c r="JM92">
        <f>AVERAGE(JM80:JM91)</f>
        <v>112.41555833333332</v>
      </c>
      <c r="JO92">
        <f>AVERAGE(JO80:JO91)</f>
        <v>99.009108333333344</v>
      </c>
      <c r="JP92">
        <v>80.458100000000002</v>
      </c>
      <c r="JQ92">
        <f>AVERAGE(JQ80:JQ91)</f>
        <v>98.760909090909095</v>
      </c>
      <c r="JR92">
        <f>AVERAGE(JR80:JR91)</f>
        <v>122.85745454545454</v>
      </c>
      <c r="JS92">
        <v>106.696</v>
      </c>
      <c r="JV92" t="s">
        <v>632</v>
      </c>
      <c r="JW92">
        <v>116.35</v>
      </c>
      <c r="JZ92">
        <v>122.786</v>
      </c>
      <c r="KA92">
        <v>96.617099999999994</v>
      </c>
      <c r="KB92">
        <v>120.654</v>
      </c>
      <c r="KC92">
        <v>107.617</v>
      </c>
      <c r="KD92">
        <v>83.532700000000006</v>
      </c>
      <c r="KE92">
        <v>95.400999999999996</v>
      </c>
      <c r="KF92">
        <v>118.822</v>
      </c>
      <c r="KG92">
        <v>92.581199999999995</v>
      </c>
      <c r="KH92">
        <v>112.845</v>
      </c>
      <c r="KI92">
        <v>118.94799999999999</v>
      </c>
      <c r="KJ92">
        <v>125.809</v>
      </c>
      <c r="KK92">
        <v>109.908</v>
      </c>
      <c r="KL92">
        <v>86.941500000000005</v>
      </c>
      <c r="KM92">
        <v>113.41200000000001</v>
      </c>
      <c r="KN92">
        <v>131.59200000000001</v>
      </c>
      <c r="KP92">
        <v>90.881299999999996</v>
      </c>
      <c r="KQ92">
        <v>93.624899999999997</v>
      </c>
      <c r="KT92" t="s">
        <v>615</v>
      </c>
      <c r="KU92">
        <v>1.47</v>
      </c>
      <c r="KY92">
        <v>2.5120200000000001</v>
      </c>
      <c r="KZ92">
        <v>2.66296</v>
      </c>
      <c r="LA92">
        <v>1.84145</v>
      </c>
      <c r="LB92">
        <v>2.4616099999999999</v>
      </c>
      <c r="LC92">
        <v>2.4529000000000001</v>
      </c>
      <c r="LD92">
        <v>2.1362000000000001</v>
      </c>
      <c r="LE92">
        <v>1.6464700000000001</v>
      </c>
      <c r="LF92">
        <v>1.99681</v>
      </c>
      <c r="LG92">
        <v>1.4028400000000001</v>
      </c>
      <c r="LH92">
        <v>2.2899799999999999</v>
      </c>
      <c r="LI92">
        <v>1.8748800000000001</v>
      </c>
      <c r="LK92">
        <v>1.71926</v>
      </c>
      <c r="LL92">
        <v>1.83178</v>
      </c>
      <c r="LM92">
        <v>1.5847199999999999</v>
      </c>
      <c r="LN92">
        <v>1.7635799999999999</v>
      </c>
      <c r="LO92">
        <v>2.5678000000000001</v>
      </c>
      <c r="LP92">
        <v>2.9342899999999998</v>
      </c>
      <c r="LQ92">
        <v>1.3514999999999999</v>
      </c>
      <c r="LR92">
        <v>1.5460499999999999</v>
      </c>
      <c r="LS92">
        <v>2.4268100000000001</v>
      </c>
      <c r="LT92">
        <v>1.6386700000000001</v>
      </c>
      <c r="LW92" t="s">
        <v>601</v>
      </c>
      <c r="LX92">
        <v>1.63</v>
      </c>
      <c r="ME92">
        <f>AVERAGE(ME78:ME91)</f>
        <v>2.1433492857142857</v>
      </c>
      <c r="MH92">
        <v>1.4872799999999999</v>
      </c>
      <c r="MP92">
        <f>AVERAGE(MP78:MP91)</f>
        <v>1.5284442857142857</v>
      </c>
      <c r="MZ92" t="s">
        <v>632</v>
      </c>
      <c r="NA92">
        <v>1.33</v>
      </c>
      <c r="ND92">
        <v>1.5611699999999999</v>
      </c>
      <c r="NE92">
        <v>1.5100899999999999</v>
      </c>
      <c r="NF92">
        <v>1.3459099999999999</v>
      </c>
      <c r="NG92">
        <v>1.35456</v>
      </c>
      <c r="NH92">
        <v>1.87819</v>
      </c>
      <c r="NI92">
        <v>1.32464</v>
      </c>
      <c r="NJ92">
        <v>1.1284799999999999</v>
      </c>
      <c r="NK92">
        <v>1.3485100000000001</v>
      </c>
      <c r="NL92">
        <v>1.7188600000000001</v>
      </c>
      <c r="NM92">
        <v>1.2939799999999999</v>
      </c>
      <c r="NN92">
        <v>1.46987</v>
      </c>
      <c r="NO92">
        <v>1.57097</v>
      </c>
      <c r="NP92">
        <v>1.6129800000000001</v>
      </c>
      <c r="NQ92">
        <v>1.48864</v>
      </c>
      <c r="NR92">
        <v>1.57498</v>
      </c>
      <c r="NS92">
        <v>1.6291500000000001</v>
      </c>
      <c r="NT92">
        <v>1.68645</v>
      </c>
      <c r="NU92">
        <v>1.7562899999999999</v>
      </c>
      <c r="NZ92" t="s">
        <v>627</v>
      </c>
      <c r="OA92">
        <v>233.31299999999999</v>
      </c>
      <c r="OC92" t="s">
        <v>601</v>
      </c>
      <c r="OD92">
        <v>281.56299999999999</v>
      </c>
      <c r="OF92" t="s">
        <v>632</v>
      </c>
      <c r="OG92">
        <v>395.72699999999998</v>
      </c>
      <c r="PD92">
        <v>-99.04</v>
      </c>
      <c r="PE92">
        <v>8.2200000000000006</v>
      </c>
      <c r="QC92">
        <v>-96.54</v>
      </c>
      <c r="QD92">
        <v>2.2999999999999998</v>
      </c>
      <c r="RA92">
        <v>-88.39</v>
      </c>
      <c r="RB92">
        <v>3.92</v>
      </c>
    </row>
    <row r="93" spans="157:470" x14ac:dyDescent="0.35">
      <c r="FO93" t="s">
        <v>621</v>
      </c>
      <c r="FP93">
        <v>59.23</v>
      </c>
      <c r="FS93" t="s">
        <v>621</v>
      </c>
      <c r="FT93">
        <f t="shared" ref="FT93:FT98" si="23">63*FP93/100</f>
        <v>37.314899999999994</v>
      </c>
      <c r="FW93">
        <v>64.043400000000005</v>
      </c>
      <c r="FX93">
        <v>85.324600000000004</v>
      </c>
      <c r="FY93">
        <v>68.732799999999997</v>
      </c>
      <c r="FZ93">
        <v>76.688000000000002</v>
      </c>
      <c r="GA93">
        <v>73.264499999999998</v>
      </c>
      <c r="GH93" t="s">
        <v>598</v>
      </c>
      <c r="GI93">
        <v>74.52</v>
      </c>
      <c r="GL93" t="s">
        <v>598</v>
      </c>
      <c r="GM93">
        <f>63*GI93/100</f>
        <v>46.947599999999994</v>
      </c>
      <c r="GQ93">
        <v>125.43600000000001</v>
      </c>
      <c r="GR93">
        <v>78.506</v>
      </c>
      <c r="GS93">
        <v>48.487499999999997</v>
      </c>
      <c r="GT93">
        <v>96.576300000000003</v>
      </c>
      <c r="GU93">
        <v>70.494399999999999</v>
      </c>
      <c r="GV93">
        <v>137.67699999999999</v>
      </c>
      <c r="GW93">
        <v>67.503</v>
      </c>
      <c r="GX93">
        <v>85.578000000000003</v>
      </c>
      <c r="GZ93" t="s">
        <v>635</v>
      </c>
      <c r="HB93">
        <v>53.06</v>
      </c>
      <c r="HD93" t="s">
        <v>635</v>
      </c>
      <c r="HF93">
        <f>63*Supplementary_Fig7!HB93/100</f>
        <v>33.427800000000005</v>
      </c>
      <c r="HJ93">
        <v>29.491199999999999</v>
      </c>
      <c r="HK93">
        <v>29.165099999999999</v>
      </c>
      <c r="HL93">
        <v>52.593000000000004</v>
      </c>
      <c r="HM93">
        <v>54.617600000000003</v>
      </c>
      <c r="HV93" t="s">
        <v>618</v>
      </c>
      <c r="HW93">
        <v>87.18</v>
      </c>
      <c r="HZ93">
        <v>116.965</v>
      </c>
      <c r="IA93">
        <v>83.789100000000005</v>
      </c>
      <c r="IB93">
        <v>104.315</v>
      </c>
      <c r="IC93">
        <v>111.081</v>
      </c>
      <c r="ID93">
        <v>112.962</v>
      </c>
      <c r="IE93">
        <f>AVERAGE(Supplementary_Fig7!IE79:IE92)</f>
        <v>102.2173857142857</v>
      </c>
      <c r="IF93">
        <v>109.78400000000001</v>
      </c>
      <c r="IG93">
        <v>117.236</v>
      </c>
      <c r="IH93">
        <v>93.272400000000005</v>
      </c>
      <c r="II93">
        <v>98.716700000000003</v>
      </c>
      <c r="IJ93">
        <v>103.789</v>
      </c>
      <c r="IK93">
        <v>58.486899999999999</v>
      </c>
      <c r="IL93">
        <v>102.312</v>
      </c>
      <c r="IM93">
        <v>101.32899999999999</v>
      </c>
      <c r="IN93">
        <v>115.726</v>
      </c>
      <c r="IO93">
        <v>60.549900000000001</v>
      </c>
      <c r="IP93">
        <v>102.92100000000001</v>
      </c>
      <c r="IQ93">
        <v>104.913</v>
      </c>
      <c r="IR93">
        <v>78.642300000000006</v>
      </c>
      <c r="IT93">
        <v>107.745</v>
      </c>
      <c r="IU93">
        <v>103.036</v>
      </c>
      <c r="IX93" t="s">
        <v>604</v>
      </c>
      <c r="IY93">
        <v>113.5</v>
      </c>
      <c r="JB93">
        <f>AVERAGE(JB80:JB92)</f>
        <v>110.69139230769231</v>
      </c>
      <c r="JC93">
        <f>AVERAGE(JC80:JC92)</f>
        <v>104.79226666666669</v>
      </c>
      <c r="JD93">
        <f>AVERAGE(JD80:JD92)</f>
        <v>98.107058333333327</v>
      </c>
      <c r="JE93">
        <v>95.605500000000006</v>
      </c>
      <c r="JG93">
        <f>AVERAGE(JG80:JG92)</f>
        <v>109.0935076923077</v>
      </c>
      <c r="JH93">
        <v>81.915300000000002</v>
      </c>
      <c r="JI93">
        <v>114.432</v>
      </c>
      <c r="JK93">
        <v>100.25</v>
      </c>
      <c r="JL93">
        <v>97.009299999999996</v>
      </c>
      <c r="JP93">
        <v>80.874600000000001</v>
      </c>
      <c r="JS93">
        <v>103.55800000000001</v>
      </c>
      <c r="JV93" t="s">
        <v>635</v>
      </c>
      <c r="JW93">
        <v>127.02</v>
      </c>
      <c r="JZ93">
        <v>123.57299999999999</v>
      </c>
      <c r="KA93">
        <v>98.350499999999997</v>
      </c>
      <c r="KB93">
        <v>122.592</v>
      </c>
      <c r="KC93">
        <v>107.401</v>
      </c>
      <c r="KD93">
        <v>91.683999999999997</v>
      </c>
      <c r="KE93">
        <v>94.735699999999994</v>
      </c>
      <c r="KF93">
        <v>121.994</v>
      </c>
      <c r="KG93">
        <v>91.394000000000005</v>
      </c>
      <c r="KH93">
        <v>113.289</v>
      </c>
      <c r="KI93">
        <v>119.191</v>
      </c>
      <c r="KJ93">
        <v>128.20400000000001</v>
      </c>
      <c r="KK93">
        <v>110.541</v>
      </c>
      <c r="KL93">
        <v>87.400800000000004</v>
      </c>
      <c r="KM93">
        <v>112.129</v>
      </c>
      <c r="KN93">
        <v>129.05099999999999</v>
      </c>
      <c r="KP93">
        <v>90.606700000000004</v>
      </c>
      <c r="KQ93">
        <v>92.590299999999999</v>
      </c>
      <c r="KT93" t="s">
        <v>618</v>
      </c>
      <c r="KU93">
        <v>1.64</v>
      </c>
      <c r="KY93">
        <v>2.3993099999999998</v>
      </c>
      <c r="KZ93">
        <v>2.6878299999999999</v>
      </c>
      <c r="LA93">
        <v>1.90188</v>
      </c>
      <c r="LB93">
        <v>2.4091800000000001</v>
      </c>
      <c r="LC93">
        <v>2.4157099999999998</v>
      </c>
      <c r="LD93">
        <v>2.11069</v>
      </c>
      <c r="LE93">
        <f>AVERAGE(Supplementary_Fig7!LE78:LE92)</f>
        <v>1.6913453333333333</v>
      </c>
      <c r="LF93">
        <f>AVERAGE(Supplementary_Fig7!LF78:LF92)</f>
        <v>2.3655633333333328</v>
      </c>
      <c r="LG93">
        <f>AVERAGE(Supplementary_Fig7!LG78:LG92)</f>
        <v>1.4121160000000001</v>
      </c>
      <c r="LH93">
        <v>2.5306600000000001</v>
      </c>
      <c r="LI93">
        <v>1.8483499999999999</v>
      </c>
      <c r="LK93">
        <v>1.72106</v>
      </c>
      <c r="LL93">
        <v>1.77268</v>
      </c>
      <c r="LM93">
        <v>1.5681099999999999</v>
      </c>
      <c r="LN93">
        <v>1.74377</v>
      </c>
      <c r="LO93">
        <v>2.3536700000000002</v>
      </c>
      <c r="LP93">
        <v>2.8100700000000001</v>
      </c>
      <c r="LQ93">
        <f>AVERAGE(Supplementary_Fig7!LQ78:LQ92)</f>
        <v>1.4706860000000002</v>
      </c>
      <c r="LR93">
        <v>1.75959</v>
      </c>
      <c r="LS93">
        <f>AVERAGE(Supplementary_Fig7!LS78:LS92)</f>
        <v>2.5043913333333334</v>
      </c>
      <c r="LT93">
        <f>AVERAGE(Supplementary_Fig7!LT78:LT92)</f>
        <v>1.5692699999999999</v>
      </c>
      <c r="LW93" t="s">
        <v>604</v>
      </c>
      <c r="LX93">
        <v>1.52</v>
      </c>
      <c r="MH93">
        <v>1.47855</v>
      </c>
      <c r="MZ93" t="s">
        <v>635</v>
      </c>
      <c r="NA93">
        <v>1.333</v>
      </c>
      <c r="ND93">
        <f>AVERAGE(Supplementary_Fig7!ND90:ND92)</f>
        <v>1.5646066666666665</v>
      </c>
      <c r="NE93">
        <v>1.47176</v>
      </c>
      <c r="NF93">
        <v>1.33735</v>
      </c>
      <c r="NG93">
        <v>1.3442799999999999</v>
      </c>
      <c r="NH93">
        <v>2.1064099999999999</v>
      </c>
      <c r="NI93">
        <v>1.3408800000000001</v>
      </c>
      <c r="NJ93">
        <v>1.12764</v>
      </c>
      <c r="NM93">
        <v>1.2686200000000001</v>
      </c>
      <c r="NN93">
        <v>1.47651</v>
      </c>
      <c r="NO93">
        <v>1.5819000000000001</v>
      </c>
      <c r="NP93">
        <v>1.62601</v>
      </c>
      <c r="NQ93">
        <v>1.49499</v>
      </c>
      <c r="NR93">
        <v>1.5731900000000001</v>
      </c>
      <c r="NS93">
        <v>1.6557500000000001</v>
      </c>
      <c r="NT93">
        <v>1.5796699999999999</v>
      </c>
      <c r="NU93">
        <v>1.71583</v>
      </c>
      <c r="NZ93" t="s">
        <v>630</v>
      </c>
      <c r="OA93">
        <v>97.252700000000004</v>
      </c>
      <c r="OC93" t="s">
        <v>604</v>
      </c>
      <c r="OD93">
        <v>320.024</v>
      </c>
      <c r="OF93" t="s">
        <v>635</v>
      </c>
      <c r="OG93">
        <v>420.988</v>
      </c>
      <c r="PD93">
        <v>-99.14</v>
      </c>
      <c r="PE93">
        <v>7.33</v>
      </c>
      <c r="QC93">
        <v>-96.67</v>
      </c>
      <c r="QD93">
        <v>3.64</v>
      </c>
      <c r="RA93">
        <v>-88.43</v>
      </c>
      <c r="RB93">
        <v>2.5099999999999998</v>
      </c>
    </row>
    <row r="94" spans="157:470" x14ac:dyDescent="0.35">
      <c r="FO94" t="s">
        <v>624</v>
      </c>
      <c r="FP94">
        <v>70.84</v>
      </c>
      <c r="FS94" t="s">
        <v>624</v>
      </c>
      <c r="FT94">
        <f t="shared" si="23"/>
        <v>44.629199999999997</v>
      </c>
      <c r="GH94" t="s">
        <v>601</v>
      </c>
      <c r="GJ94">
        <v>101.6</v>
      </c>
      <c r="GL94" t="s">
        <v>601</v>
      </c>
      <c r="GN94">
        <f>63*GJ94/100</f>
        <v>64.007999999999996</v>
      </c>
      <c r="GQ94">
        <v>65.227999999999994</v>
      </c>
      <c r="GR94">
        <v>59.840600000000002</v>
      </c>
      <c r="GS94">
        <v>50.362099999999998</v>
      </c>
      <c r="GT94">
        <v>50.753500000000003</v>
      </c>
      <c r="GU94">
        <v>102.53</v>
      </c>
      <c r="GV94">
        <v>65.539400000000001</v>
      </c>
      <c r="GW94">
        <v>114.721</v>
      </c>
      <c r="GX94">
        <v>72.903400000000005</v>
      </c>
      <c r="GZ94" t="s">
        <v>638</v>
      </c>
      <c r="HB94">
        <v>69.55</v>
      </c>
      <c r="HD94" t="s">
        <v>638</v>
      </c>
      <c r="HF94">
        <f>63*Supplementary_Fig7!HB94/100</f>
        <v>43.816499999999998</v>
      </c>
      <c r="HJ94" s="8">
        <v>24.4435</v>
      </c>
      <c r="HK94" s="8">
        <v>24.011600000000001</v>
      </c>
      <c r="HL94">
        <v>41.261600000000001</v>
      </c>
      <c r="HV94" t="s">
        <v>621</v>
      </c>
      <c r="HW94">
        <v>80.28</v>
      </c>
      <c r="HZ94">
        <f>AVERAGE(Supplementary_Fig7!HZ79:HZ93)</f>
        <v>107.99501333333335</v>
      </c>
      <c r="IA94">
        <f>AVERAGE(Supplementary_Fig7!IA79:IA93)</f>
        <v>86.693446666666659</v>
      </c>
      <c r="IB94">
        <f>AVERAGE(Supplementary_Fig7!IB79:IB93)</f>
        <v>88.583153333333328</v>
      </c>
      <c r="IC94">
        <f>AVERAGE(Supplementary_Fig7!IC79:IC93)</f>
        <v>91.748146666666656</v>
      </c>
      <c r="ID94">
        <f>AVERAGE(Supplementary_Fig7!ID79:ID93)</f>
        <v>97.286946666666665</v>
      </c>
      <c r="IF94">
        <f>AVERAGE(Supplementary_Fig7!IF79:IF93)</f>
        <v>96.794846666666672</v>
      </c>
      <c r="IG94">
        <f>AVERAGE(Supplementary_Fig7!IG79:IG93)</f>
        <v>108.28510666666668</v>
      </c>
      <c r="IH94">
        <v>94.222999999999999</v>
      </c>
      <c r="II94">
        <v>99.687200000000004</v>
      </c>
      <c r="IJ94">
        <v>104.468</v>
      </c>
      <c r="IK94">
        <v>58.233600000000003</v>
      </c>
      <c r="IL94">
        <v>101.982</v>
      </c>
      <c r="IM94">
        <v>101.64</v>
      </c>
      <c r="IN94">
        <f>AVERAGE(Supplementary_Fig7!IN79:IN93)</f>
        <v>96.986346666666705</v>
      </c>
      <c r="IO94">
        <v>63.903799999999997</v>
      </c>
      <c r="IP94">
        <f>AVERAGE(Supplementary_Fig7!IP79:IP93)</f>
        <v>101.34352</v>
      </c>
      <c r="IQ94">
        <v>69.900499999999994</v>
      </c>
      <c r="IR94">
        <v>76.742599999999996</v>
      </c>
      <c r="IT94">
        <v>78.437799999999996</v>
      </c>
      <c r="IU94">
        <v>71.768199999999993</v>
      </c>
      <c r="IX94" t="s">
        <v>607</v>
      </c>
      <c r="IY94">
        <v>94.12</v>
      </c>
      <c r="JE94">
        <v>93.930099999999996</v>
      </c>
      <c r="JH94">
        <v>80.355800000000002</v>
      </c>
      <c r="JI94">
        <v>117.89100000000001</v>
      </c>
      <c r="JK94">
        <v>97.897300000000001</v>
      </c>
      <c r="JL94">
        <v>98.973100000000002</v>
      </c>
      <c r="JP94">
        <v>82.859800000000007</v>
      </c>
      <c r="JS94">
        <v>105.15900000000001</v>
      </c>
      <c r="JV94" t="s">
        <v>638</v>
      </c>
      <c r="JW94">
        <v>88.513000000000005</v>
      </c>
      <c r="JZ94">
        <v>122.937</v>
      </c>
      <c r="KA94">
        <v>99.139399999999995</v>
      </c>
      <c r="KB94">
        <v>89.798000000000002</v>
      </c>
      <c r="KC94">
        <v>108.94</v>
      </c>
      <c r="KD94">
        <v>90.545699999999997</v>
      </c>
      <c r="KE94">
        <v>122.639</v>
      </c>
      <c r="KF94">
        <v>121.858</v>
      </c>
      <c r="KG94">
        <f>AVERAGE(Supplementary_Fig7!KG91:KG93)</f>
        <v>90.713499999999996</v>
      </c>
      <c r="KH94">
        <v>113.04300000000001</v>
      </c>
      <c r="KI94">
        <v>115.753</v>
      </c>
      <c r="KJ94">
        <v>127.078</v>
      </c>
      <c r="KK94">
        <v>75.650000000000006</v>
      </c>
      <c r="KL94">
        <v>93.478399999999993</v>
      </c>
      <c r="KM94">
        <v>110.21</v>
      </c>
      <c r="KN94">
        <v>132.48400000000001</v>
      </c>
      <c r="KP94">
        <v>93.054199999999994</v>
      </c>
      <c r="KQ94">
        <v>104.655</v>
      </c>
      <c r="KT94" t="s">
        <v>621</v>
      </c>
      <c r="KU94">
        <v>2.5</v>
      </c>
      <c r="KY94">
        <f>AVERAGE(Supplementary_Fig7!KY78:KY93)</f>
        <v>2.4049856250000006</v>
      </c>
      <c r="KZ94">
        <f>AVERAGE(Supplementary_Fig7!KZ78:KZ93)</f>
        <v>2.7417637500000001</v>
      </c>
      <c r="LA94">
        <f>AVERAGE(Supplementary_Fig7!LA78:LA93)</f>
        <v>1.9703425000000001</v>
      </c>
      <c r="LB94">
        <f>AVERAGE(Supplementary_Fig7!LB78:LB93)</f>
        <v>2.7466231249999997</v>
      </c>
      <c r="LC94">
        <f>AVERAGE(Supplementary_Fig7!LC78:LC93)</f>
        <v>2.5081275000000001</v>
      </c>
      <c r="LD94">
        <f>AVERAGE(Supplementary_Fig7!LD78:LD93)</f>
        <v>2.1146693750000001</v>
      </c>
      <c r="LH94">
        <f>AVERAGE(Supplementary_Fig7!LH78:LH93)</f>
        <v>2.2930781250000001</v>
      </c>
      <c r="LI94">
        <f>AVERAGE(Supplementary_Fig7!LI78:LI93)</f>
        <v>1.9430700000000003</v>
      </c>
      <c r="LK94">
        <f>AVERAGE(Supplementary_Fig7!LK78:LK93)</f>
        <v>1.78771375</v>
      </c>
      <c r="LL94">
        <f>AVERAGE(Supplementary_Fig7!LL78:LL93)</f>
        <v>1.8545343749999996</v>
      </c>
      <c r="LM94">
        <f>AVERAGE(Supplementary_Fig7!LM78:LM93)</f>
        <v>1.6450800000000001</v>
      </c>
      <c r="LN94">
        <f>AVERAGE(Supplementary_Fig7!LN78:LN93)</f>
        <v>1.7628781250000001</v>
      </c>
      <c r="LO94">
        <f>AVERAGE(Supplementary_Fig7!LO78:LO93)</f>
        <v>2.7220562500000001</v>
      </c>
      <c r="LP94">
        <f>AVERAGE(Supplementary_Fig7!LP78:LP93)</f>
        <v>2.81873</v>
      </c>
      <c r="LR94">
        <f>AVERAGE(Supplementary_Fig7!LR78:LR93)</f>
        <v>1.6403375</v>
      </c>
      <c r="LW94" t="s">
        <v>607</v>
      </c>
      <c r="LX94">
        <v>1.52</v>
      </c>
      <c r="MH94">
        <f>AVERAGE(MH78:MH93)</f>
        <v>1.4993381249999997</v>
      </c>
      <c r="MZ94" t="s">
        <v>638</v>
      </c>
      <c r="NA94">
        <v>1.91</v>
      </c>
      <c r="NE94">
        <v>1.4936400000000001</v>
      </c>
      <c r="NF94">
        <v>1.3302700000000001</v>
      </c>
      <c r="NG94">
        <f>AVERAGE(Supplementary_Fig7!NG90:NG93)</f>
        <v>1.3392824999999999</v>
      </c>
      <c r="NH94">
        <f>AVERAGE(Supplementary_Fig7!NH90:NH93)</f>
        <v>1.9120900000000001</v>
      </c>
      <c r="NI94">
        <v>1.34616</v>
      </c>
      <c r="NK94">
        <v>1.4138299999999999</v>
      </c>
      <c r="NL94">
        <v>1.4903900000000001</v>
      </c>
      <c r="NM94">
        <v>1.2979700000000001</v>
      </c>
      <c r="NN94">
        <v>1.48258</v>
      </c>
      <c r="NO94">
        <v>1.59158</v>
      </c>
      <c r="NP94">
        <v>1.6389199999999999</v>
      </c>
      <c r="NQ94">
        <v>1.46044</v>
      </c>
      <c r="NR94">
        <v>1.55494</v>
      </c>
      <c r="NS94">
        <v>1.6435</v>
      </c>
      <c r="NT94">
        <v>1.65787</v>
      </c>
      <c r="NU94">
        <v>1.7447600000000001</v>
      </c>
      <c r="NZ94" t="s">
        <v>633</v>
      </c>
      <c r="OA94">
        <v>310.62299999999999</v>
      </c>
      <c r="OC94" t="s">
        <v>607</v>
      </c>
      <c r="OD94">
        <v>365.52800000000002</v>
      </c>
      <c r="OF94" t="s">
        <v>638</v>
      </c>
      <c r="OG94">
        <v>172.84899999999999</v>
      </c>
      <c r="PD94">
        <v>-99.15</v>
      </c>
      <c r="PE94">
        <v>6.63</v>
      </c>
      <c r="QC94">
        <v>-96.8</v>
      </c>
      <c r="QD94">
        <v>8.43</v>
      </c>
      <c r="RA94">
        <v>-88.47</v>
      </c>
      <c r="RB94">
        <v>2.66</v>
      </c>
    </row>
    <row r="95" spans="157:470" ht="13.15" x14ac:dyDescent="0.4">
      <c r="FO95" t="s">
        <v>627</v>
      </c>
      <c r="FP95">
        <v>87.16</v>
      </c>
      <c r="FS95" t="s">
        <v>627</v>
      </c>
      <c r="FT95">
        <f t="shared" si="23"/>
        <v>54.910800000000002</v>
      </c>
      <c r="GH95" t="s">
        <v>604</v>
      </c>
      <c r="GI95">
        <v>80.28</v>
      </c>
      <c r="GL95" t="s">
        <v>604</v>
      </c>
      <c r="GM95">
        <f>63*GI95/100</f>
        <v>50.576400000000007</v>
      </c>
      <c r="GU95">
        <v>55.1569</v>
      </c>
      <c r="GW95">
        <v>54.249899999999997</v>
      </c>
      <c r="GZ95" t="s">
        <v>260</v>
      </c>
      <c r="HB95">
        <v>52.85</v>
      </c>
      <c r="HD95" t="s">
        <v>260</v>
      </c>
      <c r="HF95">
        <f>63*Supplementary_Fig7!HB95/100</f>
        <v>33.295500000000004</v>
      </c>
      <c r="HJ95" s="1">
        <f>AVERAGE(Supplementary_Fig7!HJ91:HJ94)</f>
        <v>25.842599999999997</v>
      </c>
      <c r="HK95" s="1">
        <f>AVERAGE(Supplementary_Fig7!HK91:HK94)</f>
        <v>27.591149999999999</v>
      </c>
      <c r="HL95" s="1">
        <f>AVERAGE(Supplementary_Fig7!HL91:HL94)</f>
        <v>53.488349999999997</v>
      </c>
      <c r="HM95" s="1">
        <f>AVERAGE(Supplementary_Fig7!HM91:HM94)</f>
        <v>53.068466666666666</v>
      </c>
      <c r="HN95" s="1">
        <f>AVERAGE(Supplementary_Fig7!HN91:HN94)</f>
        <v>69.55735</v>
      </c>
      <c r="HV95" t="s">
        <v>624</v>
      </c>
      <c r="HW95">
        <v>94.64</v>
      </c>
      <c r="IH95">
        <f>AVERAGE(Supplementary_Fig7!IH79:IH94)</f>
        <v>88.803674999999998</v>
      </c>
      <c r="II95">
        <f>AVERAGE(Supplementary_Fig7!II79:II94)</f>
        <v>89.577581249999994</v>
      </c>
      <c r="IJ95">
        <f>AVERAGE(Supplementary_Fig7!IJ79:IJ94)</f>
        <v>88.064737500000007</v>
      </c>
      <c r="IK95">
        <f>AVERAGE(Supplementary_Fig7!IK79:IK94)</f>
        <v>60.201925000000003</v>
      </c>
      <c r="IL95">
        <f>AVERAGE(Supplementary_Fig7!IL79:IL94)</f>
        <v>88.595587499999979</v>
      </c>
      <c r="IM95">
        <f>AVERAGE(Supplementary_Fig7!IM79:IM94)</f>
        <v>90.618212499999998</v>
      </c>
      <c r="IO95">
        <f>AVERAGE(Supplementary_Fig7!IO79:IO94)</f>
        <v>71.770087500000002</v>
      </c>
      <c r="IQ95">
        <f>AVERAGE(Supplementary_Fig7!IQ79:IQ94)</f>
        <v>78.320012500000004</v>
      </c>
      <c r="IR95">
        <f>AVERAGE(Supplementary_Fig7!IR79:IR94)</f>
        <v>75.653374999999997</v>
      </c>
      <c r="IT95">
        <f>AVERAGE(Supplementary_Fig7!IT79:IT94)</f>
        <v>95.1163375</v>
      </c>
      <c r="IU95">
        <f>AVERAGE(Supplementary_Fig7!IU79:IU94)</f>
        <v>91.674768749999998</v>
      </c>
      <c r="IX95" t="s">
        <v>610</v>
      </c>
      <c r="IY95">
        <v>102.64</v>
      </c>
      <c r="JE95">
        <v>96.226500000000001</v>
      </c>
      <c r="JH95">
        <v>81.1417</v>
      </c>
      <c r="JI95">
        <v>118.282</v>
      </c>
      <c r="JK95">
        <v>101.622</v>
      </c>
      <c r="JL95">
        <v>98.594700000000003</v>
      </c>
      <c r="JP95">
        <f>AVERAGE(JP80:JP94)</f>
        <v>87.822346666666675</v>
      </c>
      <c r="JS95">
        <f>AVERAGE(JS80:JS94)</f>
        <v>110.93620000000001</v>
      </c>
      <c r="JV95" t="s">
        <v>1069</v>
      </c>
      <c r="JW95">
        <v>93.96</v>
      </c>
      <c r="JZ95">
        <v>120.505</v>
      </c>
      <c r="KA95">
        <v>99.105800000000002</v>
      </c>
      <c r="KB95">
        <v>122.855</v>
      </c>
      <c r="KC95">
        <v>109.91200000000001</v>
      </c>
      <c r="KD95">
        <v>91.674800000000005</v>
      </c>
      <c r="KE95">
        <v>121.83799999999999</v>
      </c>
      <c r="KF95">
        <v>126.071</v>
      </c>
      <c r="KH95">
        <v>110.88</v>
      </c>
      <c r="KI95">
        <v>117.059</v>
      </c>
      <c r="KJ95">
        <f>AVERAGE(Supplementary_Fig7!KJ91:KJ94)</f>
        <v>127.02449999999999</v>
      </c>
      <c r="KK95">
        <v>76.188699999999997</v>
      </c>
      <c r="KL95">
        <v>95.936599999999999</v>
      </c>
      <c r="KM95">
        <v>108.232</v>
      </c>
      <c r="KN95">
        <v>130.196</v>
      </c>
      <c r="KP95">
        <v>120.31399999999999</v>
      </c>
      <c r="KQ95">
        <v>105.50700000000001</v>
      </c>
      <c r="KT95" t="s">
        <v>624</v>
      </c>
      <c r="KU95">
        <v>1.56</v>
      </c>
      <c r="LW95" t="s">
        <v>610</v>
      </c>
      <c r="LX95">
        <v>1.26</v>
      </c>
      <c r="MZ95" t="s">
        <v>1069</v>
      </c>
      <c r="NA95">
        <v>1.34</v>
      </c>
      <c r="NE95">
        <v>1.5110300000000001</v>
      </c>
      <c r="NF95">
        <v>1.3341799999999999</v>
      </c>
      <c r="NI95">
        <v>1.3601000000000001</v>
      </c>
      <c r="NJ95">
        <v>1.1548499999999999</v>
      </c>
      <c r="NK95">
        <v>1.3650100000000001</v>
      </c>
      <c r="NL95">
        <v>1.6617200000000001</v>
      </c>
      <c r="NM95">
        <v>1.30328</v>
      </c>
      <c r="NN95">
        <v>1.46119</v>
      </c>
      <c r="NO95">
        <v>1.5813699999999999</v>
      </c>
      <c r="NP95">
        <v>1.66648</v>
      </c>
      <c r="NQ95">
        <v>1.47882</v>
      </c>
      <c r="NR95">
        <v>1.56243</v>
      </c>
      <c r="NS95">
        <v>1.69136</v>
      </c>
      <c r="NT95">
        <v>1.69828</v>
      </c>
      <c r="NU95">
        <v>1.7630999999999999</v>
      </c>
      <c r="NZ95" t="s">
        <v>636</v>
      </c>
      <c r="OA95">
        <v>125.214</v>
      </c>
      <c r="OC95" t="s">
        <v>610</v>
      </c>
      <c r="OD95">
        <v>383.15</v>
      </c>
      <c r="OF95" t="s">
        <v>260</v>
      </c>
      <c r="OG95">
        <v>256.49799999999999</v>
      </c>
      <c r="PD95">
        <v>-99.39</v>
      </c>
      <c r="PE95">
        <v>9.27</v>
      </c>
      <c r="QC95">
        <v>-96.84</v>
      </c>
      <c r="QD95">
        <v>5.07</v>
      </c>
      <c r="RA95">
        <v>-88.6</v>
      </c>
      <c r="RB95">
        <v>2.91</v>
      </c>
    </row>
    <row r="96" spans="157:470" ht="13.15" x14ac:dyDescent="0.4">
      <c r="FO96" t="s">
        <v>630</v>
      </c>
      <c r="FP96">
        <v>75.08</v>
      </c>
      <c r="FS96" t="s">
        <v>630</v>
      </c>
      <c r="FT96">
        <f t="shared" si="23"/>
        <v>47.300399999999996</v>
      </c>
      <c r="FW96" s="1">
        <f>AVERAGE(Supplementary_Fig7!FW92:FW95)</f>
        <v>87.161200000000008</v>
      </c>
      <c r="FX96" s="1">
        <f>AVERAGE(Supplementary_Fig7!FX92:FX95)</f>
        <v>75.081299999999999</v>
      </c>
      <c r="FY96" s="1">
        <f>AVERAGE(Supplementary_Fig7!FY92:FY95)</f>
        <v>66.83475</v>
      </c>
      <c r="FZ96" s="1">
        <f>AVERAGE(Supplementary_Fig7!FZ92:FZ95)</f>
        <v>77.398699999999991</v>
      </c>
      <c r="GA96" s="1">
        <f>AVERAGE(Supplementary_Fig7!GA92:GA95)</f>
        <v>62.802049999999994</v>
      </c>
      <c r="GH96" t="s">
        <v>607</v>
      </c>
      <c r="GJ96">
        <v>79.239999999999995</v>
      </c>
      <c r="GL96" t="s">
        <v>607</v>
      </c>
      <c r="GN96">
        <f t="shared" ref="GN96:GN101" si="24">63*GJ96/100</f>
        <v>49.921199999999999</v>
      </c>
      <c r="GU96">
        <v>69.910700000000006</v>
      </c>
      <c r="GW96" s="8">
        <v>84.665599999999998</v>
      </c>
      <c r="GZ96" t="s">
        <v>264</v>
      </c>
      <c r="HB96">
        <v>31.63</v>
      </c>
      <c r="HD96" t="s">
        <v>264</v>
      </c>
      <c r="HF96">
        <f>63*Supplementary_Fig7!HB96/100</f>
        <v>19.9269</v>
      </c>
      <c r="HV96" t="s">
        <v>627</v>
      </c>
      <c r="HW96">
        <v>86.26</v>
      </c>
      <c r="IX96" t="s">
        <v>613</v>
      </c>
      <c r="IY96">
        <v>97</v>
      </c>
      <c r="JE96">
        <f>AVERAGE(JE80:JE95)</f>
        <v>98.25858749999999</v>
      </c>
      <c r="JH96">
        <f>AVERAGE(JH80:JH95)</f>
        <v>103.59357499999999</v>
      </c>
      <c r="JI96">
        <f>AVERAGE(JI80:JI95)</f>
        <v>101.26184374999998</v>
      </c>
      <c r="JK96">
        <f>AVERAGE(JK80:JK95)</f>
        <v>98.314543750000013</v>
      </c>
      <c r="JL96">
        <f>AVERAGE(JL80:JL95)</f>
        <v>97.34333749999999</v>
      </c>
      <c r="JV96" t="s">
        <v>1070</v>
      </c>
      <c r="JW96">
        <v>110.97</v>
      </c>
      <c r="JZ96">
        <v>123.456</v>
      </c>
      <c r="KA96">
        <v>95.338399999999993</v>
      </c>
      <c r="KB96">
        <v>123.024</v>
      </c>
      <c r="KC96">
        <v>108.733</v>
      </c>
      <c r="KD96">
        <v>81.820700000000002</v>
      </c>
      <c r="KE96">
        <v>96.855199999999996</v>
      </c>
      <c r="KF96">
        <v>87.283299999999997</v>
      </c>
      <c r="KH96">
        <v>111.88200000000001</v>
      </c>
      <c r="KI96">
        <v>117.88</v>
      </c>
      <c r="KK96">
        <v>110.426</v>
      </c>
      <c r="KL96">
        <v>96.552999999999997</v>
      </c>
      <c r="KM96">
        <v>100.711</v>
      </c>
      <c r="KN96">
        <v>130.18799999999999</v>
      </c>
      <c r="KP96">
        <v>90.084800000000001</v>
      </c>
      <c r="KQ96">
        <v>104.09099999999999</v>
      </c>
      <c r="KT96" t="s">
        <v>627</v>
      </c>
      <c r="KU96">
        <v>1.56</v>
      </c>
      <c r="KY96" t="s">
        <v>627</v>
      </c>
      <c r="KZ96" t="s">
        <v>630</v>
      </c>
      <c r="LA96" t="s">
        <v>633</v>
      </c>
      <c r="LB96" t="s">
        <v>636</v>
      </c>
      <c r="LC96" t="s">
        <v>639</v>
      </c>
      <c r="LD96" t="s">
        <v>641</v>
      </c>
      <c r="LE96" t="s">
        <v>643</v>
      </c>
      <c r="LF96" t="s">
        <v>645</v>
      </c>
      <c r="LG96" t="s">
        <v>647</v>
      </c>
      <c r="LH96" t="s">
        <v>649</v>
      </c>
      <c r="LI96" t="s">
        <v>745</v>
      </c>
      <c r="LJ96" t="s">
        <v>651</v>
      </c>
      <c r="LK96" t="s">
        <v>653</v>
      </c>
      <c r="LL96" t="s">
        <v>655</v>
      </c>
      <c r="LM96" t="s">
        <v>657</v>
      </c>
      <c r="LN96" t="s">
        <v>659</v>
      </c>
      <c r="LO96" t="s">
        <v>661</v>
      </c>
      <c r="LP96" t="s">
        <v>663</v>
      </c>
      <c r="LQ96" t="s">
        <v>665</v>
      </c>
      <c r="LR96" t="s">
        <v>667</v>
      </c>
      <c r="LW96" t="s">
        <v>613</v>
      </c>
      <c r="LX96">
        <v>1.409</v>
      </c>
      <c r="MB96" t="s">
        <v>610</v>
      </c>
      <c r="MC96" t="s">
        <v>613</v>
      </c>
      <c r="MD96" t="s">
        <v>616</v>
      </c>
      <c r="ME96" t="s">
        <v>619</v>
      </c>
      <c r="MF96" t="s">
        <v>622</v>
      </c>
      <c r="MG96" t="s">
        <v>625</v>
      </c>
      <c r="MH96" t="s">
        <v>628</v>
      </c>
      <c r="MI96" t="s">
        <v>631</v>
      </c>
      <c r="MJ96" t="s">
        <v>634</v>
      </c>
      <c r="MK96" t="s">
        <v>637</v>
      </c>
      <c r="ML96" t="s">
        <v>640</v>
      </c>
      <c r="MM96" t="s">
        <v>642</v>
      </c>
      <c r="MN96" t="s">
        <v>644</v>
      </c>
      <c r="MO96" t="s">
        <v>646</v>
      </c>
      <c r="MP96" t="s">
        <v>648</v>
      </c>
      <c r="MZ96" t="s">
        <v>1070</v>
      </c>
      <c r="NA96">
        <v>1.1399999999999999</v>
      </c>
      <c r="NE96">
        <f>AVERAGE(Supplementary_Fig7!NE90:NE95)</f>
        <v>1.4938483333333332</v>
      </c>
      <c r="NF96">
        <v>1.3114399999999999</v>
      </c>
      <c r="NI96">
        <v>1.37887</v>
      </c>
      <c r="NJ96">
        <v>1.1737200000000001</v>
      </c>
      <c r="NK96">
        <v>1.3717600000000001</v>
      </c>
      <c r="NL96">
        <v>1.6506099999999999</v>
      </c>
      <c r="NM96">
        <v>1.2711399999999999</v>
      </c>
      <c r="NN96">
        <v>1.4881599999999999</v>
      </c>
      <c r="NO96">
        <v>1.5834999999999999</v>
      </c>
      <c r="NP96">
        <v>1.6446099999999999</v>
      </c>
      <c r="NQ96">
        <v>1.4661999999999999</v>
      </c>
      <c r="NR96">
        <v>1.57683</v>
      </c>
      <c r="NS96">
        <v>1.6514800000000001</v>
      </c>
      <c r="NT96">
        <v>1.6763300000000001</v>
      </c>
      <c r="NU96">
        <v>1.7854000000000001</v>
      </c>
      <c r="NZ96" t="s">
        <v>639</v>
      </c>
      <c r="OA96">
        <v>85.600999999999999</v>
      </c>
      <c r="OC96" t="s">
        <v>613</v>
      </c>
      <c r="OD96">
        <v>336.85199999999998</v>
      </c>
      <c r="OF96" t="s">
        <v>264</v>
      </c>
      <c r="OG96">
        <v>307.99299999999999</v>
      </c>
      <c r="PD96">
        <v>-99.42</v>
      </c>
      <c r="PE96">
        <v>4.6900000000000004</v>
      </c>
      <c r="QC96">
        <v>-96.89</v>
      </c>
      <c r="QD96">
        <v>5.26</v>
      </c>
      <c r="RA96">
        <v>-88.7</v>
      </c>
      <c r="RB96">
        <v>1.47</v>
      </c>
    </row>
    <row r="97" spans="171:470" ht="13.15" x14ac:dyDescent="0.4">
      <c r="FO97" t="s">
        <v>633</v>
      </c>
      <c r="FP97">
        <v>66.83</v>
      </c>
      <c r="FS97" t="s">
        <v>633</v>
      </c>
      <c r="FT97">
        <f t="shared" si="23"/>
        <v>42.102899999999998</v>
      </c>
      <c r="GH97" t="s">
        <v>610</v>
      </c>
      <c r="GJ97">
        <v>76.12</v>
      </c>
      <c r="GL97" t="s">
        <v>610</v>
      </c>
      <c r="GN97">
        <f t="shared" si="24"/>
        <v>47.955600000000004</v>
      </c>
      <c r="GQ97" s="1">
        <f t="shared" ref="GQ97:GX97" si="25">AVERAGE(GQ93:GQ96)</f>
        <v>95.331999999999994</v>
      </c>
      <c r="GR97" s="1">
        <f t="shared" si="25"/>
        <v>69.173299999999998</v>
      </c>
      <c r="GS97" s="1">
        <f t="shared" si="25"/>
        <v>49.424799999999998</v>
      </c>
      <c r="GT97" s="1">
        <f t="shared" si="25"/>
        <v>73.664900000000003</v>
      </c>
      <c r="GU97" s="1">
        <f t="shared" si="25"/>
        <v>74.52300000000001</v>
      </c>
      <c r="GV97" s="1">
        <f t="shared" si="25"/>
        <v>101.6082</v>
      </c>
      <c r="GW97" s="1">
        <f t="shared" si="25"/>
        <v>80.284875</v>
      </c>
      <c r="GX97" s="1">
        <f t="shared" si="25"/>
        <v>79.240700000000004</v>
      </c>
      <c r="GZ97" t="s">
        <v>266</v>
      </c>
      <c r="HA97">
        <v>62.15</v>
      </c>
      <c r="HD97" t="s">
        <v>266</v>
      </c>
      <c r="HE97">
        <f>63*Supplementary_Fig7!HA97/100</f>
        <v>39.154499999999999</v>
      </c>
      <c r="HJ97" t="s">
        <v>260</v>
      </c>
      <c r="HK97" t="s">
        <v>264</v>
      </c>
      <c r="HL97" t="s">
        <v>266</v>
      </c>
      <c r="HM97" t="s">
        <v>269</v>
      </c>
      <c r="HN97" t="s">
        <v>272</v>
      </c>
      <c r="HO97" t="s">
        <v>274</v>
      </c>
      <c r="HP97" t="s">
        <v>296</v>
      </c>
      <c r="HQ97" t="s">
        <v>276</v>
      </c>
      <c r="HV97" t="s">
        <v>630</v>
      </c>
      <c r="HW97">
        <v>74.010000000000005</v>
      </c>
      <c r="HZ97" t="s">
        <v>603</v>
      </c>
      <c r="IA97" t="s">
        <v>606</v>
      </c>
      <c r="IB97" t="s">
        <v>609</v>
      </c>
      <c r="IC97" t="s">
        <v>612</v>
      </c>
      <c r="ID97" t="s">
        <v>615</v>
      </c>
      <c r="IE97" t="s">
        <v>618</v>
      </c>
      <c r="IF97" t="s">
        <v>621</v>
      </c>
      <c r="IG97" t="s">
        <v>624</v>
      </c>
      <c r="IH97" t="s">
        <v>627</v>
      </c>
      <c r="II97" t="s">
        <v>630</v>
      </c>
      <c r="IJ97" t="s">
        <v>633</v>
      </c>
      <c r="IK97" t="s">
        <v>636</v>
      </c>
      <c r="IL97" t="s">
        <v>639</v>
      </c>
      <c r="IM97" t="s">
        <v>641</v>
      </c>
      <c r="IN97" t="s">
        <v>643</v>
      </c>
      <c r="IO97" t="s">
        <v>645</v>
      </c>
      <c r="IP97" t="s">
        <v>647</v>
      </c>
      <c r="IQ97" t="s">
        <v>649</v>
      </c>
      <c r="IR97" t="s">
        <v>745</v>
      </c>
      <c r="IS97" t="s">
        <v>651</v>
      </c>
      <c r="IT97" t="s">
        <v>653</v>
      </c>
      <c r="IU97" t="s">
        <v>655</v>
      </c>
      <c r="IX97" t="s">
        <v>616</v>
      </c>
      <c r="IY97">
        <v>98.4</v>
      </c>
      <c r="JV97" t="s">
        <v>1071</v>
      </c>
      <c r="JW97">
        <v>130.94</v>
      </c>
      <c r="JZ97">
        <v>123.164</v>
      </c>
      <c r="KA97">
        <v>95.629900000000006</v>
      </c>
      <c r="KB97">
        <f>AVERAGE(Supplementary_Fig7!KB91:KB96)</f>
        <v>111.52038333333333</v>
      </c>
      <c r="KC97">
        <v>109.937</v>
      </c>
      <c r="KD97">
        <v>90.988200000000006</v>
      </c>
      <c r="KE97">
        <v>95.976299999999995</v>
      </c>
      <c r="KF97">
        <v>118.991</v>
      </c>
      <c r="KH97">
        <f>AVERAGE(Supplementary_Fig7!KH91:KH96)</f>
        <v>112.39233333333334</v>
      </c>
      <c r="KI97">
        <v>112.712</v>
      </c>
      <c r="KK97">
        <v>79.354900000000001</v>
      </c>
      <c r="KL97">
        <v>96.705600000000004</v>
      </c>
      <c r="KM97">
        <v>114.127</v>
      </c>
      <c r="KN97">
        <f>AVERAGE(Supplementary_Fig7!KN91:KN96)</f>
        <v>130.94233333333332</v>
      </c>
      <c r="KP97">
        <v>89.892600000000002</v>
      </c>
      <c r="KQ97">
        <v>105.56</v>
      </c>
      <c r="KT97" t="s">
        <v>630</v>
      </c>
      <c r="KU97">
        <v>2.54</v>
      </c>
      <c r="KY97">
        <v>1.6649</v>
      </c>
      <c r="KZ97">
        <v>2.7395900000000002</v>
      </c>
      <c r="LA97">
        <v>1.6274900000000001</v>
      </c>
      <c r="LB97">
        <v>2.9003999999999999</v>
      </c>
      <c r="LC97">
        <v>3.1656900000000001</v>
      </c>
      <c r="LD97">
        <v>1.44167</v>
      </c>
      <c r="LE97">
        <v>2.4975100000000001</v>
      </c>
      <c r="LF97">
        <v>1.6564300000000001</v>
      </c>
      <c r="LG97">
        <v>1.75685</v>
      </c>
      <c r="LH97">
        <v>1.6879900000000001</v>
      </c>
      <c r="LI97">
        <v>1.2938799999999999</v>
      </c>
      <c r="LJ97">
        <v>1.96068</v>
      </c>
      <c r="LK97">
        <v>1.69685</v>
      </c>
      <c r="LL97">
        <v>1.44259</v>
      </c>
      <c r="LM97">
        <v>1.5335000000000001</v>
      </c>
      <c r="LN97">
        <v>1.44753</v>
      </c>
      <c r="LO97">
        <v>1.6427700000000001</v>
      </c>
      <c r="LP97">
        <v>1.5940399999999999</v>
      </c>
      <c r="LQ97">
        <v>1.62544</v>
      </c>
      <c r="LR97">
        <v>1.6003400000000001</v>
      </c>
      <c r="LW97" t="s">
        <v>616</v>
      </c>
      <c r="LX97">
        <v>1.9</v>
      </c>
      <c r="MB97">
        <v>1.2966899999999999</v>
      </c>
      <c r="MC97">
        <v>1.44096</v>
      </c>
      <c r="MD97">
        <v>1.8279700000000001</v>
      </c>
      <c r="ME97">
        <v>1.56769</v>
      </c>
      <c r="MF97">
        <v>1.4739899999999999</v>
      </c>
      <c r="MG97">
        <v>1.4165099999999999</v>
      </c>
      <c r="MH97">
        <v>1.3728400000000001</v>
      </c>
      <c r="MI97">
        <v>1.60687</v>
      </c>
      <c r="MJ97">
        <v>1.5731200000000001</v>
      </c>
      <c r="MK97">
        <v>1.48611</v>
      </c>
      <c r="ML97">
        <v>1.5423500000000001</v>
      </c>
      <c r="MM97">
        <v>1.58718</v>
      </c>
      <c r="MN97">
        <v>1.32494</v>
      </c>
      <c r="MO97">
        <v>1.62775</v>
      </c>
      <c r="MP97">
        <v>1.4961899999999999</v>
      </c>
      <c r="MZ97" t="s">
        <v>1071</v>
      </c>
      <c r="NA97">
        <v>1.37</v>
      </c>
      <c r="NF97">
        <v>1.32829</v>
      </c>
      <c r="NI97">
        <v>1.3275699999999999</v>
      </c>
      <c r="NJ97">
        <v>1.1778900000000001</v>
      </c>
      <c r="NK97">
        <f>AVERAGE(Supplementary_Fig7!NK90:NK96)</f>
        <v>1.3746666666666669</v>
      </c>
      <c r="NL97">
        <v>1.48451</v>
      </c>
      <c r="NM97">
        <v>1.2793600000000001</v>
      </c>
      <c r="NN97">
        <v>1.47655</v>
      </c>
      <c r="NO97">
        <v>1.58727</v>
      </c>
      <c r="NP97">
        <f>AVERAGE(Supplementary_Fig7!NP90:NP96)</f>
        <v>1.6273542857142858</v>
      </c>
      <c r="NQ97">
        <v>1.54349</v>
      </c>
      <c r="NR97">
        <v>1.5744499999999999</v>
      </c>
      <c r="NS97">
        <v>1.66174</v>
      </c>
      <c r="NT97">
        <v>1.6448700000000001</v>
      </c>
      <c r="NU97">
        <v>1.7158100000000001</v>
      </c>
      <c r="NZ97" t="s">
        <v>641</v>
      </c>
      <c r="OA97">
        <v>210.738</v>
      </c>
      <c r="OC97" t="s">
        <v>616</v>
      </c>
      <c r="OD97">
        <v>210.989</v>
      </c>
      <c r="OF97" t="s">
        <v>266</v>
      </c>
      <c r="OG97">
        <v>306.34899999999999</v>
      </c>
      <c r="PD97">
        <v>-99.48</v>
      </c>
      <c r="PE97">
        <v>8</v>
      </c>
      <c r="QB97">
        <v>5</v>
      </c>
      <c r="QC97">
        <v>-96.92</v>
      </c>
      <c r="QD97">
        <v>3.5</v>
      </c>
      <c r="RA97">
        <v>-88.93</v>
      </c>
      <c r="RB97">
        <v>6.57</v>
      </c>
    </row>
    <row r="98" spans="171:470" x14ac:dyDescent="0.35">
      <c r="FO98" t="s">
        <v>636</v>
      </c>
      <c r="FP98">
        <v>77.39</v>
      </c>
      <c r="FS98" t="s">
        <v>636</v>
      </c>
      <c r="FT98">
        <f t="shared" si="23"/>
        <v>48.755699999999997</v>
      </c>
      <c r="GH98" t="s">
        <v>613</v>
      </c>
      <c r="GJ98">
        <v>73.55</v>
      </c>
      <c r="GL98" t="s">
        <v>613</v>
      </c>
      <c r="GN98">
        <f t="shared" si="24"/>
        <v>46.336499999999994</v>
      </c>
      <c r="GZ98" t="s">
        <v>269</v>
      </c>
      <c r="HA98">
        <v>49.12</v>
      </c>
      <c r="HD98" t="s">
        <v>269</v>
      </c>
      <c r="HE98">
        <f>63*Supplementary_Fig7!HA98/100</f>
        <v>30.945599999999999</v>
      </c>
      <c r="HJ98">
        <v>51.743000000000002</v>
      </c>
      <c r="HK98">
        <v>34.608600000000003</v>
      </c>
      <c r="HL98">
        <v>47.0015</v>
      </c>
      <c r="HM98">
        <v>41.493099999999998</v>
      </c>
      <c r="HO98">
        <v>36.373600000000003</v>
      </c>
      <c r="HP98">
        <v>29.551400000000001</v>
      </c>
      <c r="HQ98">
        <v>33.781399999999998</v>
      </c>
      <c r="HV98" t="s">
        <v>633</v>
      </c>
      <c r="HW98">
        <v>87.98</v>
      </c>
      <c r="HZ98">
        <v>74.578900000000004</v>
      </c>
      <c r="IA98">
        <v>72.914100000000005</v>
      </c>
      <c r="IB98">
        <v>67.804000000000002</v>
      </c>
      <c r="IC98">
        <v>77.400199999999998</v>
      </c>
      <c r="ID98">
        <v>83.323700000000002</v>
      </c>
      <c r="IE98">
        <v>78.218100000000007</v>
      </c>
      <c r="IF98">
        <v>62.974499999999999</v>
      </c>
      <c r="IG98">
        <v>81.1584</v>
      </c>
      <c r="IH98">
        <v>85.700999999999993</v>
      </c>
      <c r="II98">
        <v>58.758499999999998</v>
      </c>
      <c r="IJ98">
        <v>93.966700000000003</v>
      </c>
      <c r="IK98">
        <v>70.593299999999999</v>
      </c>
      <c r="IL98">
        <v>60.285899999999998</v>
      </c>
      <c r="IM98">
        <v>77.288799999999995</v>
      </c>
      <c r="IN98">
        <v>68.142700000000005</v>
      </c>
      <c r="IO98">
        <v>77.731300000000005</v>
      </c>
      <c r="IP98">
        <v>74.009699999999995</v>
      </c>
      <c r="IQ98">
        <v>77.015699999999995</v>
      </c>
      <c r="IR98">
        <v>92.320300000000003</v>
      </c>
      <c r="IS98">
        <v>77.236900000000006</v>
      </c>
      <c r="IT98">
        <v>84.991500000000002</v>
      </c>
      <c r="IU98">
        <v>91.924999999999997</v>
      </c>
      <c r="IX98" t="s">
        <v>619</v>
      </c>
      <c r="IY98">
        <v>102.05</v>
      </c>
      <c r="JB98" t="s">
        <v>586</v>
      </c>
      <c r="JC98" t="s">
        <v>589</v>
      </c>
      <c r="JD98" t="s">
        <v>592</v>
      </c>
      <c r="JE98" t="s">
        <v>595</v>
      </c>
      <c r="JF98" t="s">
        <v>598</v>
      </c>
      <c r="JG98" t="s">
        <v>601</v>
      </c>
      <c r="JH98" t="s">
        <v>604</v>
      </c>
      <c r="JI98" t="s">
        <v>607</v>
      </c>
      <c r="JJ98" t="s">
        <v>610</v>
      </c>
      <c r="JK98" t="s">
        <v>613</v>
      </c>
      <c r="JL98" t="s">
        <v>616</v>
      </c>
      <c r="JM98" t="s">
        <v>619</v>
      </c>
      <c r="JN98" t="s">
        <v>622</v>
      </c>
      <c r="JO98" t="s">
        <v>625</v>
      </c>
      <c r="JP98" t="s">
        <v>628</v>
      </c>
      <c r="JQ98" t="s">
        <v>631</v>
      </c>
      <c r="JR98" t="s">
        <v>634</v>
      </c>
      <c r="JS98" t="s">
        <v>637</v>
      </c>
      <c r="JV98" t="s">
        <v>1072</v>
      </c>
      <c r="JW98">
        <v>96.78</v>
      </c>
      <c r="JZ98">
        <v>123.997</v>
      </c>
      <c r="KA98">
        <v>95.597800000000007</v>
      </c>
      <c r="KC98">
        <v>108.98099999999999</v>
      </c>
      <c r="KD98">
        <v>90.007000000000005</v>
      </c>
      <c r="KE98">
        <v>125.24</v>
      </c>
      <c r="KF98">
        <v>123.367</v>
      </c>
      <c r="KI98">
        <v>116.47799999999999</v>
      </c>
      <c r="KK98">
        <v>78.738399999999999</v>
      </c>
      <c r="KL98">
        <v>96.026600000000002</v>
      </c>
      <c r="KM98">
        <v>112.675</v>
      </c>
      <c r="KP98">
        <v>91.043099999999995</v>
      </c>
      <c r="KQ98">
        <v>89.172399999999996</v>
      </c>
      <c r="KT98" t="s">
        <v>633</v>
      </c>
      <c r="KU98">
        <v>1.47</v>
      </c>
      <c r="KY98">
        <v>1.5967899999999999</v>
      </c>
      <c r="KZ98">
        <v>2.4926400000000002</v>
      </c>
      <c r="LA98">
        <v>1.47614</v>
      </c>
      <c r="LB98">
        <v>2.8371</v>
      </c>
      <c r="LC98">
        <v>3.9746899999999998</v>
      </c>
      <c r="LD98">
        <v>1.3953199999999999</v>
      </c>
      <c r="LE98">
        <v>3.07748</v>
      </c>
      <c r="LF98">
        <v>1.59826</v>
      </c>
      <c r="LG98">
        <v>1.6688499999999999</v>
      </c>
      <c r="LH98">
        <v>1.5126999999999999</v>
      </c>
      <c r="LI98">
        <v>1.26999</v>
      </c>
      <c r="LJ98">
        <v>1.9987600000000001</v>
      </c>
      <c r="LK98">
        <v>1.63575</v>
      </c>
      <c r="LL98">
        <v>1.4368700000000001</v>
      </c>
      <c r="LM98">
        <v>1.4211499999999999</v>
      </c>
      <c r="LN98">
        <v>1.4216299999999999</v>
      </c>
      <c r="LO98">
        <v>2.1324900000000002</v>
      </c>
      <c r="LP98">
        <v>1.5491900000000001</v>
      </c>
      <c r="LQ98">
        <v>1.53457</v>
      </c>
      <c r="LR98">
        <v>1.5761400000000001</v>
      </c>
      <c r="LW98" t="s">
        <v>619</v>
      </c>
      <c r="LX98">
        <v>1.61</v>
      </c>
      <c r="MB98">
        <v>1.27799</v>
      </c>
      <c r="MC98">
        <v>1.44462</v>
      </c>
      <c r="MD98">
        <v>1.85406</v>
      </c>
      <c r="ME98">
        <v>1.5912200000000001</v>
      </c>
      <c r="MF98">
        <v>1.46254</v>
      </c>
      <c r="MG98">
        <v>1.3917600000000001</v>
      </c>
      <c r="MH98">
        <v>1.3827700000000001</v>
      </c>
      <c r="MI98">
        <v>1.58606</v>
      </c>
      <c r="MJ98">
        <v>1.57016</v>
      </c>
      <c r="MK98">
        <v>1.458</v>
      </c>
      <c r="ML98">
        <v>1.5548500000000001</v>
      </c>
      <c r="MM98">
        <v>1.4873000000000001</v>
      </c>
      <c r="MN98">
        <v>1.3531</v>
      </c>
      <c r="MO98">
        <v>1.68841</v>
      </c>
      <c r="MP98">
        <v>1.5326599999999999</v>
      </c>
      <c r="MZ98" t="s">
        <v>1072</v>
      </c>
      <c r="NA98">
        <v>1.55</v>
      </c>
      <c r="NF98">
        <v>1.33772</v>
      </c>
      <c r="NI98">
        <v>1.33009</v>
      </c>
      <c r="NJ98">
        <v>1.1286799999999999</v>
      </c>
      <c r="NL98">
        <v>1.45733</v>
      </c>
      <c r="NM98">
        <v>1.28928</v>
      </c>
      <c r="NN98">
        <v>1.4789399999999999</v>
      </c>
      <c r="NO98">
        <v>1.6153599999999999</v>
      </c>
      <c r="NQ98">
        <v>1.5384199999999999</v>
      </c>
      <c r="NR98">
        <v>1.6566700000000001</v>
      </c>
      <c r="NS98">
        <v>1.63768</v>
      </c>
      <c r="NT98">
        <v>1.66784</v>
      </c>
      <c r="NU98">
        <v>1.7303299999999999</v>
      </c>
      <c r="NZ98" t="s">
        <v>643</v>
      </c>
      <c r="OA98">
        <v>116.901</v>
      </c>
      <c r="OC98" t="s">
        <v>619</v>
      </c>
      <c r="OD98">
        <v>261.53800000000001</v>
      </c>
      <c r="OF98" t="s">
        <v>269</v>
      </c>
      <c r="OG98">
        <v>222.12700000000001</v>
      </c>
      <c r="PD98">
        <v>-99.75</v>
      </c>
      <c r="PE98">
        <v>8.69</v>
      </c>
      <c r="QC98">
        <v>-96.93</v>
      </c>
      <c r="QD98">
        <v>4.29</v>
      </c>
      <c r="RA98">
        <v>-88.98</v>
      </c>
      <c r="RB98">
        <v>2.12</v>
      </c>
    </row>
    <row r="99" spans="171:470" x14ac:dyDescent="0.35">
      <c r="FO99" t="s">
        <v>639</v>
      </c>
      <c r="FQ99">
        <v>62.8</v>
      </c>
      <c r="FS99" t="s">
        <v>639</v>
      </c>
      <c r="FU99">
        <f>63*FQ99/100</f>
        <v>39.563999999999993</v>
      </c>
      <c r="FW99" t="s">
        <v>641</v>
      </c>
      <c r="FX99" t="s">
        <v>643</v>
      </c>
      <c r="FY99" t="s">
        <v>645</v>
      </c>
      <c r="FZ99" t="s">
        <v>647</v>
      </c>
      <c r="GA99" t="s">
        <v>649</v>
      </c>
      <c r="GB99" t="s">
        <v>745</v>
      </c>
      <c r="GH99" t="s">
        <v>616</v>
      </c>
      <c r="GJ99">
        <v>71.790000000000006</v>
      </c>
      <c r="GL99" t="s">
        <v>616</v>
      </c>
      <c r="GN99">
        <f t="shared" si="24"/>
        <v>45.227700000000006</v>
      </c>
      <c r="GQ99" t="s">
        <v>610</v>
      </c>
      <c r="GR99" t="s">
        <v>613</v>
      </c>
      <c r="GS99" t="s">
        <v>616</v>
      </c>
      <c r="GT99" t="s">
        <v>619</v>
      </c>
      <c r="GU99" t="s">
        <v>622</v>
      </c>
      <c r="GV99" t="s">
        <v>625</v>
      </c>
      <c r="GW99" t="s">
        <v>628</v>
      </c>
      <c r="GZ99" t="s">
        <v>272</v>
      </c>
      <c r="HD99" t="s">
        <v>272</v>
      </c>
      <c r="HJ99">
        <v>43.964500000000001</v>
      </c>
      <c r="HK99">
        <v>29.718499999999999</v>
      </c>
      <c r="HL99">
        <v>97.355800000000002</v>
      </c>
      <c r="HM99">
        <v>50.7194</v>
      </c>
      <c r="HO99">
        <v>40.0152</v>
      </c>
      <c r="HP99">
        <v>31.3277</v>
      </c>
      <c r="HQ99">
        <v>38.237000000000002</v>
      </c>
      <c r="HV99" t="s">
        <v>636</v>
      </c>
      <c r="HW99">
        <v>68.209999999999994</v>
      </c>
      <c r="HZ99">
        <v>78.451499999999996</v>
      </c>
      <c r="IA99">
        <v>71.807900000000004</v>
      </c>
      <c r="IB99">
        <v>67.280600000000007</v>
      </c>
      <c r="IC99">
        <v>74.554400000000001</v>
      </c>
      <c r="ID99">
        <v>81.591800000000006</v>
      </c>
      <c r="IE99">
        <v>76.687600000000003</v>
      </c>
      <c r="IF99">
        <v>61.173999999999999</v>
      </c>
      <c r="IG99">
        <v>82.251000000000005</v>
      </c>
      <c r="IH99">
        <v>85.234099999999998</v>
      </c>
      <c r="II99">
        <v>58.946199999999997</v>
      </c>
      <c r="IJ99">
        <v>90.098600000000005</v>
      </c>
      <c r="IK99">
        <v>69.099400000000003</v>
      </c>
      <c r="IL99">
        <v>59.027099999999997</v>
      </c>
      <c r="IM99">
        <v>78.735399999999998</v>
      </c>
      <c r="IN99">
        <v>66.386399999999995</v>
      </c>
      <c r="IO99">
        <v>76.301599999999993</v>
      </c>
      <c r="IP99">
        <v>77.735900000000001</v>
      </c>
      <c r="IQ99">
        <v>75.276200000000003</v>
      </c>
      <c r="IR99">
        <v>91.232299999999995</v>
      </c>
      <c r="IS99">
        <v>75.0702</v>
      </c>
      <c r="IT99">
        <v>84.077500000000001</v>
      </c>
      <c r="IU99">
        <v>90.100099999999998</v>
      </c>
      <c r="IX99" t="s">
        <v>622</v>
      </c>
      <c r="IY99">
        <v>114.3</v>
      </c>
      <c r="JB99">
        <v>96.908600000000007</v>
      </c>
      <c r="JC99">
        <v>93.168599999999998</v>
      </c>
      <c r="JD99">
        <v>86.419700000000006</v>
      </c>
      <c r="JE99">
        <v>98.41</v>
      </c>
      <c r="JF99">
        <v>96.513400000000004</v>
      </c>
      <c r="JG99">
        <v>88.490300000000005</v>
      </c>
      <c r="JH99">
        <v>95.289599999999993</v>
      </c>
      <c r="JI99">
        <v>98.352099999999993</v>
      </c>
      <c r="JJ99">
        <v>103.136</v>
      </c>
      <c r="JK99">
        <v>98.930400000000006</v>
      </c>
      <c r="JL99">
        <v>83.982799999999997</v>
      </c>
      <c r="JM99">
        <v>101.428</v>
      </c>
      <c r="JN99">
        <v>100.13</v>
      </c>
      <c r="JO99">
        <v>92.72</v>
      </c>
      <c r="JP99">
        <v>102.319</v>
      </c>
      <c r="JQ99">
        <v>99.9786</v>
      </c>
      <c r="JR99">
        <v>95.582599999999999</v>
      </c>
      <c r="JS99">
        <v>101.399</v>
      </c>
      <c r="JV99" t="s">
        <v>1073</v>
      </c>
      <c r="JW99">
        <v>100.29</v>
      </c>
      <c r="JZ99">
        <v>123.877</v>
      </c>
      <c r="KA99">
        <v>98.901399999999995</v>
      </c>
      <c r="KC99">
        <v>110.791</v>
      </c>
      <c r="KD99">
        <v>90.975999999999999</v>
      </c>
      <c r="KE99">
        <v>124.648</v>
      </c>
      <c r="KF99">
        <v>125.169</v>
      </c>
      <c r="KI99">
        <v>115.321</v>
      </c>
      <c r="KK99">
        <v>76.6327</v>
      </c>
      <c r="KL99">
        <v>89.466899999999995</v>
      </c>
      <c r="KM99">
        <v>113.084</v>
      </c>
      <c r="KP99">
        <v>89.677400000000006</v>
      </c>
      <c r="KQ99">
        <v>89.923100000000005</v>
      </c>
      <c r="KT99" t="s">
        <v>636</v>
      </c>
      <c r="KU99">
        <v>2.6</v>
      </c>
      <c r="KY99">
        <v>1.5562199999999999</v>
      </c>
      <c r="KZ99">
        <v>2.34551</v>
      </c>
      <c r="LA99">
        <v>1.4082300000000001</v>
      </c>
      <c r="LB99">
        <v>2.84443</v>
      </c>
      <c r="LC99">
        <v>3.2861600000000002</v>
      </c>
      <c r="LD99">
        <v>1.40103</v>
      </c>
      <c r="LE99">
        <v>3.1368900000000002</v>
      </c>
      <c r="LF99">
        <v>1.6193599999999999</v>
      </c>
      <c r="LG99">
        <v>1.5362199999999999</v>
      </c>
      <c r="LH99">
        <v>1.6138600000000001</v>
      </c>
      <c r="LI99">
        <v>1.25705</v>
      </c>
      <c r="LJ99">
        <v>2.0788799999999998</v>
      </c>
      <c r="LK99">
        <v>1.5889200000000001</v>
      </c>
      <c r="LL99">
        <v>1.4363600000000001</v>
      </c>
      <c r="LM99">
        <v>1.4372499999999999</v>
      </c>
      <c r="LN99">
        <v>1.4213899999999999</v>
      </c>
      <c r="LO99">
        <v>1.4807600000000001</v>
      </c>
      <c r="LP99">
        <v>1.4877</v>
      </c>
      <c r="LQ99">
        <v>1.5040199999999999</v>
      </c>
      <c r="LR99">
        <v>1.5931500000000001</v>
      </c>
      <c r="LW99" t="s">
        <v>622</v>
      </c>
      <c r="LX99">
        <v>1.45</v>
      </c>
      <c r="MB99">
        <v>1.2611699999999999</v>
      </c>
      <c r="MC99">
        <v>1.42174</v>
      </c>
      <c r="MD99">
        <v>1.90551</v>
      </c>
      <c r="ME99">
        <v>1.6229100000000001</v>
      </c>
      <c r="MF99">
        <v>1.4621200000000001</v>
      </c>
      <c r="MG99">
        <v>1.38652</v>
      </c>
      <c r="MH99">
        <v>1.3112999999999999</v>
      </c>
      <c r="MI99">
        <v>1.5771200000000001</v>
      </c>
      <c r="MJ99">
        <v>1.59846</v>
      </c>
      <c r="MK99">
        <v>1.4481599999999999</v>
      </c>
      <c r="ML99">
        <v>1.5085900000000001</v>
      </c>
      <c r="MM99">
        <v>1.4735799999999999</v>
      </c>
      <c r="MN99">
        <v>1.3487899999999999</v>
      </c>
      <c r="MO99">
        <v>1.7073799999999999</v>
      </c>
      <c r="MP99">
        <v>1.51938</v>
      </c>
      <c r="MZ99" t="s">
        <v>1073</v>
      </c>
      <c r="NA99">
        <v>1.28</v>
      </c>
      <c r="NF99">
        <v>1.34361</v>
      </c>
      <c r="NI99">
        <v>1.321</v>
      </c>
      <c r="NJ99">
        <v>1.1263700000000001</v>
      </c>
      <c r="NL99">
        <v>1.5185999999999999</v>
      </c>
      <c r="NM99">
        <v>1.2956099999999999</v>
      </c>
      <c r="NN99">
        <v>1.4696100000000001</v>
      </c>
      <c r="NO99">
        <v>1.5403800000000001</v>
      </c>
      <c r="NQ99">
        <v>1.5124599999999999</v>
      </c>
      <c r="NR99">
        <f>AVERAGE(Supplementary_Fig7!NR90:NR98)</f>
        <v>1.5801100000000001</v>
      </c>
      <c r="NS99">
        <v>1.65954</v>
      </c>
      <c r="NT99">
        <f>AVERAGE(Supplementary_Fig7!NT90:NT98)</f>
        <v>1.6641388888888888</v>
      </c>
      <c r="NU99">
        <v>1.7262200000000001</v>
      </c>
      <c r="NZ99" t="s">
        <v>645</v>
      </c>
      <c r="OA99">
        <v>207.322</v>
      </c>
      <c r="OC99" t="s">
        <v>622</v>
      </c>
      <c r="OD99">
        <v>368.39499999999998</v>
      </c>
      <c r="OF99" t="s">
        <v>272</v>
      </c>
      <c r="OG99">
        <v>298.59699999999998</v>
      </c>
      <c r="PD99">
        <v>-99.77</v>
      </c>
      <c r="PE99">
        <v>6.83</v>
      </c>
      <c r="QC99">
        <v>-96.93</v>
      </c>
      <c r="QD99">
        <v>6.09</v>
      </c>
      <c r="RA99">
        <v>-89.72</v>
      </c>
      <c r="RB99">
        <v>5.08</v>
      </c>
    </row>
    <row r="100" spans="171:470" x14ac:dyDescent="0.35">
      <c r="FO100" t="s">
        <v>641</v>
      </c>
      <c r="FQ100">
        <v>59.19</v>
      </c>
      <c r="FS100" t="s">
        <v>641</v>
      </c>
      <c r="FU100">
        <f>63*FQ100/100</f>
        <v>37.289699999999996</v>
      </c>
      <c r="FW100">
        <v>63.633099999999999</v>
      </c>
      <c r="FX100">
        <v>56.971800000000002</v>
      </c>
      <c r="FY100">
        <v>65.662499999999994</v>
      </c>
      <c r="FZ100">
        <v>47.258200000000002</v>
      </c>
      <c r="GA100">
        <v>57.545499999999997</v>
      </c>
      <c r="GH100" t="s">
        <v>619</v>
      </c>
      <c r="GJ100">
        <v>63.98</v>
      </c>
      <c r="GL100" t="s">
        <v>619</v>
      </c>
      <c r="GN100">
        <f t="shared" si="24"/>
        <v>40.307400000000001</v>
      </c>
      <c r="GQ100">
        <v>72.680099999999996</v>
      </c>
      <c r="GR100">
        <v>68.381399999999999</v>
      </c>
      <c r="GS100">
        <v>75.063000000000002</v>
      </c>
      <c r="GT100">
        <v>59.290300000000002</v>
      </c>
      <c r="GU100">
        <v>65.649900000000002</v>
      </c>
      <c r="GV100">
        <v>75.622600000000006</v>
      </c>
      <c r="GW100">
        <v>57.671599999999998</v>
      </c>
      <c r="GZ100" t="s">
        <v>274</v>
      </c>
      <c r="HB100">
        <v>36.659999999999997</v>
      </c>
      <c r="HD100" t="s">
        <v>274</v>
      </c>
      <c r="HF100">
        <f>63*Supplementary_Fig7!HB100/100</f>
        <v>23.095800000000001</v>
      </c>
      <c r="HJ100">
        <v>48.670099999999998</v>
      </c>
      <c r="HK100">
        <v>29.9299</v>
      </c>
      <c r="HL100">
        <v>62.356200000000001</v>
      </c>
      <c r="HM100">
        <v>50.607500000000002</v>
      </c>
      <c r="HO100">
        <v>32.5852</v>
      </c>
      <c r="HP100">
        <v>38.307699999999997</v>
      </c>
      <c r="HQ100">
        <v>27.364599999999999</v>
      </c>
      <c r="HV100" t="s">
        <v>639</v>
      </c>
      <c r="HW100">
        <v>75.72</v>
      </c>
      <c r="HZ100">
        <v>77.549700000000001</v>
      </c>
      <c r="IA100">
        <v>95.498699999999999</v>
      </c>
      <c r="IB100">
        <v>56.633000000000003</v>
      </c>
      <c r="IC100">
        <v>72.546400000000006</v>
      </c>
      <c r="ID100">
        <v>79.6387</v>
      </c>
      <c r="IE100">
        <v>74.670400000000001</v>
      </c>
      <c r="IF100">
        <v>57.164000000000001</v>
      </c>
      <c r="IG100">
        <v>93.537899999999993</v>
      </c>
      <c r="IH100">
        <v>81.870999999999995</v>
      </c>
      <c r="II100">
        <v>58.225999999999999</v>
      </c>
      <c r="IJ100">
        <v>88.328599999999994</v>
      </c>
      <c r="IK100">
        <v>69.372600000000006</v>
      </c>
      <c r="IL100">
        <v>63.037100000000002</v>
      </c>
      <c r="IM100">
        <v>79.688999999999993</v>
      </c>
      <c r="IN100">
        <v>64.224199999999996</v>
      </c>
      <c r="IO100">
        <v>73.077399999999997</v>
      </c>
      <c r="IP100">
        <v>72.634900000000002</v>
      </c>
      <c r="IQ100">
        <v>76.988200000000006</v>
      </c>
      <c r="IR100">
        <v>89.408900000000003</v>
      </c>
      <c r="IS100">
        <v>73.582499999999996</v>
      </c>
      <c r="IT100">
        <v>83.200100000000006</v>
      </c>
      <c r="IU100">
        <v>87.966899999999995</v>
      </c>
      <c r="IX100" t="s">
        <v>625</v>
      </c>
      <c r="IY100">
        <v>101.47</v>
      </c>
      <c r="JB100">
        <v>94.793700000000001</v>
      </c>
      <c r="JC100">
        <v>91.043099999999995</v>
      </c>
      <c r="JD100">
        <v>87.600700000000003</v>
      </c>
      <c r="JE100">
        <v>96.743799999999993</v>
      </c>
      <c r="JF100">
        <v>95.951800000000006</v>
      </c>
      <c r="JG100">
        <v>90.124499999999998</v>
      </c>
      <c r="JH100">
        <v>94.122299999999996</v>
      </c>
      <c r="JI100">
        <v>95.585599999999999</v>
      </c>
      <c r="JJ100">
        <v>101.996</v>
      </c>
      <c r="JK100">
        <v>96.595799999999997</v>
      </c>
      <c r="JL100">
        <v>83.131399999999999</v>
      </c>
      <c r="JM100">
        <v>103.009</v>
      </c>
      <c r="JN100">
        <v>100.214</v>
      </c>
      <c r="JO100">
        <v>107.361</v>
      </c>
      <c r="JP100">
        <v>100.642</v>
      </c>
      <c r="JQ100">
        <v>99.580399999999997</v>
      </c>
      <c r="JR100">
        <v>95.1447</v>
      </c>
      <c r="JS100">
        <v>99.728399999999993</v>
      </c>
      <c r="JV100" t="s">
        <v>1074</v>
      </c>
      <c r="JW100">
        <v>97.71</v>
      </c>
      <c r="JZ100">
        <v>123.45399999999999</v>
      </c>
      <c r="KA100">
        <f>AVERAGE(Supplementary_Fig7!KA91:KA99)</f>
        <v>97.363433333333333</v>
      </c>
      <c r="KC100">
        <v>110.783</v>
      </c>
      <c r="KD100">
        <v>90.370199999999997</v>
      </c>
      <c r="KE100">
        <v>125.096</v>
      </c>
      <c r="KF100">
        <v>127.60599999999999</v>
      </c>
      <c r="KI100">
        <v>116.48399999999999</v>
      </c>
      <c r="KK100">
        <v>79.840100000000007</v>
      </c>
      <c r="KL100">
        <v>88.934299999999993</v>
      </c>
      <c r="KM100">
        <v>111.667</v>
      </c>
      <c r="KP100">
        <v>121.08499999999999</v>
      </c>
      <c r="KQ100">
        <v>106.955</v>
      </c>
      <c r="KT100" t="s">
        <v>639</v>
      </c>
      <c r="KU100">
        <v>3.01</v>
      </c>
      <c r="KY100">
        <v>1.5279799999999999</v>
      </c>
      <c r="KZ100">
        <v>2.3501400000000001</v>
      </c>
      <c r="LA100">
        <v>1.3816999999999999</v>
      </c>
      <c r="LB100">
        <v>2.80932</v>
      </c>
      <c r="LC100">
        <v>3.4106299999999998</v>
      </c>
      <c r="LD100">
        <v>1.3681399999999999</v>
      </c>
      <c r="LE100">
        <v>2.3926400000000001</v>
      </c>
      <c r="LF100">
        <v>1.59266</v>
      </c>
      <c r="LG100">
        <v>1.57297</v>
      </c>
      <c r="LH100">
        <v>1.4569399999999999</v>
      </c>
      <c r="LI100">
        <v>1.2252700000000001</v>
      </c>
      <c r="LJ100">
        <v>1.87988</v>
      </c>
      <c r="LK100">
        <v>1.55806</v>
      </c>
      <c r="LL100">
        <v>1.4156200000000001</v>
      </c>
      <c r="LM100">
        <v>1.4116899999999999</v>
      </c>
      <c r="LN100">
        <v>1.41587</v>
      </c>
      <c r="LO100">
        <v>1.5486500000000001</v>
      </c>
      <c r="LP100">
        <v>1.5400700000000001</v>
      </c>
      <c r="LQ100">
        <v>1.43527</v>
      </c>
      <c r="LR100">
        <v>1.6061399999999999</v>
      </c>
      <c r="LW100" t="s">
        <v>625</v>
      </c>
      <c r="LX100">
        <v>1.4</v>
      </c>
      <c r="MB100">
        <v>1.2404900000000001</v>
      </c>
      <c r="MC100">
        <v>1.40273</v>
      </c>
      <c r="MD100">
        <v>1.89751</v>
      </c>
      <c r="ME100">
        <v>1.6509499999999999</v>
      </c>
      <c r="MF100">
        <v>1.45211</v>
      </c>
      <c r="MG100">
        <v>1.3943000000000001</v>
      </c>
      <c r="MH100">
        <v>1.3678300000000001</v>
      </c>
      <c r="MI100">
        <v>1.5774600000000001</v>
      </c>
      <c r="MJ100">
        <v>1.58463</v>
      </c>
      <c r="MK100">
        <v>1.45235</v>
      </c>
      <c r="ML100">
        <v>1.5218799999999999</v>
      </c>
      <c r="MM100">
        <v>1.6439999999999999</v>
      </c>
      <c r="MN100">
        <v>1.3293600000000001</v>
      </c>
      <c r="MO100">
        <v>1.74953</v>
      </c>
      <c r="MP100">
        <v>1.5190900000000001</v>
      </c>
      <c r="MZ100" t="s">
        <v>1074</v>
      </c>
      <c r="NA100">
        <v>1.47</v>
      </c>
      <c r="NF100">
        <v>1.3382700000000001</v>
      </c>
      <c r="NI100">
        <v>1.34999</v>
      </c>
      <c r="NJ100">
        <v>1.1255200000000001</v>
      </c>
      <c r="NL100">
        <v>1.4947299999999999</v>
      </c>
      <c r="NM100">
        <v>1.27244</v>
      </c>
      <c r="NN100">
        <v>1.4879800000000001</v>
      </c>
      <c r="NO100">
        <v>1.5501100000000001</v>
      </c>
      <c r="NQ100">
        <v>1.55078</v>
      </c>
      <c r="NS100">
        <v>1.66222</v>
      </c>
      <c r="NU100">
        <v>1.6862999999999999</v>
      </c>
      <c r="NZ100" t="s">
        <v>647</v>
      </c>
      <c r="OA100">
        <v>148.41300000000001</v>
      </c>
      <c r="OC100" t="s">
        <v>625</v>
      </c>
      <c r="OD100">
        <v>276.99799999999999</v>
      </c>
      <c r="OF100" t="s">
        <v>274</v>
      </c>
      <c r="OG100">
        <v>353.05200000000002</v>
      </c>
      <c r="PD100">
        <v>-99.94</v>
      </c>
      <c r="PE100">
        <v>5.61</v>
      </c>
      <c r="QC100">
        <v>-97.06</v>
      </c>
      <c r="QD100">
        <v>6.78</v>
      </c>
      <c r="RA100">
        <v>-89.72</v>
      </c>
      <c r="RB100">
        <v>2.2799999999999998</v>
      </c>
    </row>
    <row r="101" spans="171:470" x14ac:dyDescent="0.35">
      <c r="FO101" t="s">
        <v>643</v>
      </c>
      <c r="FQ101">
        <v>53.03</v>
      </c>
      <c r="FS101" t="s">
        <v>643</v>
      </c>
      <c r="FU101">
        <f>63*FQ101/100</f>
        <v>33.408899999999996</v>
      </c>
      <c r="FW101">
        <v>54.756599999999999</v>
      </c>
      <c r="FX101">
        <v>49.092799999999997</v>
      </c>
      <c r="FY101">
        <v>83.791700000000006</v>
      </c>
      <c r="FZ101">
        <v>35.026200000000003</v>
      </c>
      <c r="GA101">
        <v>54.959200000000003</v>
      </c>
      <c r="GH101" t="s">
        <v>622</v>
      </c>
      <c r="GJ101">
        <v>73.260000000000005</v>
      </c>
      <c r="GL101" t="s">
        <v>622</v>
      </c>
      <c r="GN101">
        <f t="shared" si="24"/>
        <v>46.153800000000004</v>
      </c>
      <c r="GQ101">
        <v>87.943700000000007</v>
      </c>
      <c r="GR101">
        <v>85.483999999999995</v>
      </c>
      <c r="GS101">
        <v>108.682</v>
      </c>
      <c r="GT101">
        <v>70.895499999999998</v>
      </c>
      <c r="GU101">
        <v>90.522499999999994</v>
      </c>
      <c r="GV101">
        <v>47.921900000000001</v>
      </c>
      <c r="GZ101" t="s">
        <v>296</v>
      </c>
      <c r="HB101">
        <v>31.92</v>
      </c>
      <c r="HD101" t="s">
        <v>296</v>
      </c>
      <c r="HF101">
        <f>63*Supplementary_Fig7!HB101/100</f>
        <v>20.1096</v>
      </c>
      <c r="HJ101">
        <v>67.0578</v>
      </c>
      <c r="HK101">
        <v>32.291899999999998</v>
      </c>
      <c r="HL101">
        <v>41.904200000000003</v>
      </c>
      <c r="HM101">
        <v>53.688699999999997</v>
      </c>
      <c r="HO101">
        <v>37.705800000000004</v>
      </c>
      <c r="HP101">
        <v>28.510300000000001</v>
      </c>
      <c r="HQ101">
        <v>38.144199999999998</v>
      </c>
      <c r="HV101" t="s">
        <v>641</v>
      </c>
      <c r="HW101">
        <v>82.38</v>
      </c>
      <c r="HZ101">
        <v>96.668999999999997</v>
      </c>
      <c r="IA101">
        <v>95.919799999999995</v>
      </c>
      <c r="IB101">
        <v>59.701500000000003</v>
      </c>
      <c r="IC101">
        <v>98.962400000000002</v>
      </c>
      <c r="ID101">
        <v>78.059399999999997</v>
      </c>
      <c r="IE101">
        <v>91.438299999999998</v>
      </c>
      <c r="IF101">
        <v>87.040700000000001</v>
      </c>
      <c r="IG101">
        <v>96.478300000000004</v>
      </c>
      <c r="IH101">
        <v>81.4178</v>
      </c>
      <c r="II101">
        <v>91.160600000000002</v>
      </c>
      <c r="IJ101">
        <v>88.598600000000005</v>
      </c>
      <c r="IK101">
        <v>67.570499999999996</v>
      </c>
      <c r="IL101">
        <v>63.819899999999997</v>
      </c>
      <c r="IM101">
        <v>79.112200000000001</v>
      </c>
      <c r="IN101">
        <v>97.422799999999995</v>
      </c>
      <c r="IO101">
        <v>72.624200000000002</v>
      </c>
      <c r="IP101">
        <v>87.353499999999997</v>
      </c>
      <c r="IQ101">
        <v>78.247100000000003</v>
      </c>
      <c r="IR101">
        <v>89.810199999999995</v>
      </c>
      <c r="IS101">
        <v>74.598699999999994</v>
      </c>
      <c r="IT101">
        <v>82.618700000000004</v>
      </c>
      <c r="IU101">
        <v>88.038600000000002</v>
      </c>
      <c r="IX101" t="s">
        <v>628</v>
      </c>
      <c r="IY101">
        <v>101.02</v>
      </c>
      <c r="JB101">
        <v>93.200699999999998</v>
      </c>
      <c r="JC101">
        <v>122.273</v>
      </c>
      <c r="JD101">
        <v>88.256799999999998</v>
      </c>
      <c r="JE101">
        <v>96.659899999999993</v>
      </c>
      <c r="JF101">
        <v>97.952299999999994</v>
      </c>
      <c r="JG101">
        <v>88.285799999999995</v>
      </c>
      <c r="JH101">
        <v>116.15900000000001</v>
      </c>
      <c r="JI101">
        <v>95.738200000000006</v>
      </c>
      <c r="JJ101">
        <v>100.20399999999999</v>
      </c>
      <c r="JK101">
        <v>97.500600000000006</v>
      </c>
      <c r="JL101">
        <v>108.633</v>
      </c>
      <c r="JM101">
        <v>103.49299999999999</v>
      </c>
      <c r="JN101">
        <v>127.39</v>
      </c>
      <c r="JO101">
        <v>109.17400000000001</v>
      </c>
      <c r="JP101">
        <v>101.453</v>
      </c>
      <c r="JQ101">
        <v>97.872900000000001</v>
      </c>
      <c r="JR101">
        <v>96.603399999999993</v>
      </c>
      <c r="JS101">
        <v>100.98399999999999</v>
      </c>
      <c r="JV101" t="s">
        <v>1075</v>
      </c>
      <c r="JW101">
        <v>95.4</v>
      </c>
      <c r="JZ101">
        <f>AVERAGE(Supplementary_Fig7!JZ91:JZ100)</f>
        <v>122.97259999999999</v>
      </c>
      <c r="KC101">
        <v>105.14100000000001</v>
      </c>
      <c r="KD101">
        <v>-48.855600000000003</v>
      </c>
      <c r="KE101">
        <v>95.784000000000006</v>
      </c>
      <c r="KF101">
        <v>88.732900000000001</v>
      </c>
      <c r="KI101">
        <v>116.197</v>
      </c>
      <c r="KK101">
        <v>79.150400000000005</v>
      </c>
      <c r="KL101">
        <v>89.909400000000005</v>
      </c>
      <c r="KM101">
        <v>111.342</v>
      </c>
      <c r="KP101">
        <f>AVERAGE(Supplementary_Fig7!KP91:KP100)</f>
        <v>96.78531000000001</v>
      </c>
      <c r="KQ101">
        <v>104.285</v>
      </c>
      <c r="KT101" t="s">
        <v>641</v>
      </c>
      <c r="KU101">
        <v>1.36</v>
      </c>
      <c r="KY101">
        <v>1.5160899999999999</v>
      </c>
      <c r="KZ101">
        <v>2.3712499999999999</v>
      </c>
      <c r="LA101">
        <v>1.3407500000000001</v>
      </c>
      <c r="LB101">
        <v>2.7499699999999998</v>
      </c>
      <c r="LC101">
        <v>3.5144299999999999</v>
      </c>
      <c r="LD101">
        <v>1.34545</v>
      </c>
      <c r="LE101">
        <v>2.4957400000000001</v>
      </c>
      <c r="LF101">
        <v>1.54569</v>
      </c>
      <c r="LG101">
        <v>1.4993799999999999</v>
      </c>
      <c r="LH101">
        <v>1.4252899999999999</v>
      </c>
      <c r="LI101">
        <v>1.2219100000000001</v>
      </c>
      <c r="LJ101">
        <v>1.81385</v>
      </c>
      <c r="LK101">
        <v>1.5640000000000001</v>
      </c>
      <c r="LL101">
        <v>1.41188</v>
      </c>
      <c r="LM101">
        <v>1.45408</v>
      </c>
      <c r="LN101">
        <v>1.4305699999999999</v>
      </c>
      <c r="LO101">
        <v>1.52441</v>
      </c>
      <c r="LP101">
        <v>1.49075</v>
      </c>
      <c r="LQ101">
        <v>1.4420500000000001</v>
      </c>
      <c r="LR101">
        <v>1.60317</v>
      </c>
      <c r="LW101" t="s">
        <v>628</v>
      </c>
      <c r="LX101">
        <v>1.37</v>
      </c>
      <c r="MB101">
        <v>1.2517100000000001</v>
      </c>
      <c r="MC101">
        <v>1.3539399999999999</v>
      </c>
      <c r="MD101">
        <v>1.9127700000000001</v>
      </c>
      <c r="ME101">
        <v>1.67818</v>
      </c>
      <c r="MF101">
        <v>1.46316</v>
      </c>
      <c r="MG101">
        <v>1.4312499999999999</v>
      </c>
      <c r="MH101">
        <v>1.3702700000000001</v>
      </c>
      <c r="MI101">
        <v>1.5050600000000001</v>
      </c>
      <c r="MJ101">
        <v>1.6229499999999999</v>
      </c>
      <c r="MK101">
        <v>1.4350799999999999</v>
      </c>
      <c r="ML101">
        <v>1.52064</v>
      </c>
      <c r="MM101">
        <v>1.4889399999999999</v>
      </c>
      <c r="MN101">
        <v>1.3316399999999999</v>
      </c>
      <c r="MO101">
        <v>1.7808900000000001</v>
      </c>
      <c r="MP101">
        <v>1.5407500000000001</v>
      </c>
      <c r="MZ101" t="s">
        <v>1075</v>
      </c>
      <c r="NA101">
        <v>1.57</v>
      </c>
      <c r="NF101">
        <v>1.31081</v>
      </c>
      <c r="NI101">
        <v>1.35585</v>
      </c>
      <c r="NJ101">
        <v>1.12934</v>
      </c>
      <c r="NL101">
        <f>AVERAGE(Supplementary_Fig7!NL90:NL100)</f>
        <v>1.559145</v>
      </c>
      <c r="NM101">
        <v>1.2620100000000001</v>
      </c>
      <c r="NN101">
        <v>1.4671799999999999</v>
      </c>
      <c r="NO101">
        <v>1.5680799999999999</v>
      </c>
      <c r="NQ101">
        <f>AVERAGE(Supplementary_Fig7!NQ90:NQ100)</f>
        <v>1.5009281818181819</v>
      </c>
      <c r="NS101">
        <v>1.6958599999999999</v>
      </c>
      <c r="NU101">
        <v>1.7473000000000001</v>
      </c>
      <c r="NZ101" t="s">
        <v>649</v>
      </c>
      <c r="OA101">
        <v>208.18100000000001</v>
      </c>
      <c r="OC101" t="s">
        <v>628</v>
      </c>
      <c r="OD101">
        <v>425.625</v>
      </c>
      <c r="OF101" t="s">
        <v>296</v>
      </c>
      <c r="OG101">
        <v>310.12799999999999</v>
      </c>
      <c r="PD101">
        <v>-99.98</v>
      </c>
      <c r="PE101">
        <v>6.23</v>
      </c>
      <c r="QC101">
        <v>-97.1</v>
      </c>
      <c r="QD101">
        <v>3.54</v>
      </c>
      <c r="RA101">
        <v>-89.73</v>
      </c>
      <c r="RB101">
        <v>1.71</v>
      </c>
    </row>
    <row r="102" spans="171:470" ht="13.15" x14ac:dyDescent="0.4">
      <c r="FO102" t="s">
        <v>645</v>
      </c>
      <c r="FP102">
        <v>69</v>
      </c>
      <c r="FS102" t="s">
        <v>645</v>
      </c>
      <c r="FT102">
        <f>63*FP102/100</f>
        <v>43.47</v>
      </c>
      <c r="FY102">
        <v>57.133400000000002</v>
      </c>
      <c r="FZ102">
        <v>44.080599999999997</v>
      </c>
      <c r="GH102" t="s">
        <v>625</v>
      </c>
      <c r="GI102">
        <v>60</v>
      </c>
      <c r="GL102" t="s">
        <v>625</v>
      </c>
      <c r="GM102">
        <f>63*GI102/100</f>
        <v>37.799999999999997</v>
      </c>
      <c r="GQ102">
        <v>63.880600000000001</v>
      </c>
      <c r="GR102">
        <v>59.277700000000003</v>
      </c>
      <c r="GS102">
        <v>44.452399999999997</v>
      </c>
      <c r="GT102">
        <v>64.064300000000003</v>
      </c>
      <c r="GU102">
        <v>54.877699999999997</v>
      </c>
      <c r="GV102">
        <v>56.482900000000001</v>
      </c>
      <c r="GW102">
        <v>53.3797</v>
      </c>
      <c r="GZ102" t="s">
        <v>276</v>
      </c>
      <c r="HB102">
        <v>34.380000000000003</v>
      </c>
      <c r="HD102" t="s">
        <v>276</v>
      </c>
      <c r="HF102">
        <f>63*Supplementary_Fig7!HB102/100</f>
        <v>21.659400000000002</v>
      </c>
      <c r="HJ102" s="1">
        <f>AVERAGE(Supplementary_Fig7!HJ98:HJ101)</f>
        <v>52.858850000000004</v>
      </c>
      <c r="HK102" s="1">
        <f>AVERAGE(Supplementary_Fig7!HK98:HK101)</f>
        <v>31.637225000000001</v>
      </c>
      <c r="HL102" s="1">
        <f>AVERAGE(Supplementary_Fig7!HL98:HL101)</f>
        <v>62.154425000000003</v>
      </c>
      <c r="HM102" s="1">
        <f>AVERAGE(Supplementary_Fig7!HM98:HM101)</f>
        <v>49.127174999999994</v>
      </c>
      <c r="HN102" s="1" t="e">
        <f>AVERAGE(Supplementary_Fig7!HN98:HN101)</f>
        <v>#DIV/0!</v>
      </c>
      <c r="HO102" s="1">
        <f>AVERAGE(Supplementary_Fig7!HO98:HO101)</f>
        <v>36.66995</v>
      </c>
      <c r="HP102" s="1">
        <f>AVERAGE(Supplementary_Fig7!HP98:HP101)</f>
        <v>31.924275000000002</v>
      </c>
      <c r="HQ102" s="1">
        <f>AVERAGE(Supplementary_Fig7!HQ98:HQ101)</f>
        <v>34.381799999999998</v>
      </c>
      <c r="HV102" t="s">
        <v>643</v>
      </c>
      <c r="HW102">
        <v>84.64</v>
      </c>
      <c r="HZ102">
        <v>97.636399999999995</v>
      </c>
      <c r="IA102">
        <v>96.545400000000001</v>
      </c>
      <c r="IB102">
        <v>70.294200000000004</v>
      </c>
      <c r="IC102">
        <v>101.324</v>
      </c>
      <c r="ID102">
        <v>78.584299999999999</v>
      </c>
      <c r="IE102">
        <v>91.313199999999995</v>
      </c>
      <c r="IF102">
        <v>90.664699999999996</v>
      </c>
      <c r="IG102">
        <v>96.687299999999993</v>
      </c>
      <c r="IH102">
        <v>82.092299999999994</v>
      </c>
      <c r="II102">
        <v>83.137500000000003</v>
      </c>
      <c r="IJ102">
        <v>87.344399999999993</v>
      </c>
      <c r="IK102">
        <v>67.034899999999993</v>
      </c>
      <c r="IL102">
        <v>80.746499999999997</v>
      </c>
      <c r="IM102">
        <v>79.280100000000004</v>
      </c>
      <c r="IN102">
        <v>98.460400000000007</v>
      </c>
      <c r="IO102">
        <v>71.572900000000004</v>
      </c>
      <c r="IP102">
        <v>88.447599999999994</v>
      </c>
      <c r="IQ102">
        <v>79.513499999999993</v>
      </c>
      <c r="IR102">
        <v>91.384900000000002</v>
      </c>
      <c r="IS102">
        <v>76.083399999999997</v>
      </c>
      <c r="IT102">
        <v>81.700100000000006</v>
      </c>
      <c r="IU102">
        <v>88.072199999999995</v>
      </c>
      <c r="IX102" t="s">
        <v>631</v>
      </c>
      <c r="IY102">
        <v>109.03</v>
      </c>
      <c r="JB102">
        <v>95.579499999999996</v>
      </c>
      <c r="JC102">
        <v>124.107</v>
      </c>
      <c r="JD102">
        <v>90.650899999999993</v>
      </c>
      <c r="JE102">
        <v>95.887799999999999</v>
      </c>
      <c r="JF102">
        <v>117.97199999999999</v>
      </c>
      <c r="JG102">
        <v>88.198899999999995</v>
      </c>
      <c r="JH102">
        <v>115.11799999999999</v>
      </c>
      <c r="JI102">
        <v>93.9285</v>
      </c>
      <c r="JJ102">
        <v>104.82599999999999</v>
      </c>
      <c r="JK102">
        <v>94.383200000000002</v>
      </c>
      <c r="JL102">
        <v>111.798</v>
      </c>
      <c r="JM102">
        <v>105.14400000000001</v>
      </c>
      <c r="JN102">
        <v>123.01600000000001</v>
      </c>
      <c r="JO102">
        <v>104.239</v>
      </c>
      <c r="JP102">
        <v>99.462900000000005</v>
      </c>
      <c r="JQ102">
        <v>98.141499999999994</v>
      </c>
      <c r="JR102">
        <v>118.602</v>
      </c>
      <c r="JS102">
        <v>117.29900000000001</v>
      </c>
      <c r="JV102" t="s">
        <v>1076</v>
      </c>
      <c r="JW102">
        <v>92.38</v>
      </c>
      <c r="KC102">
        <v>109.021</v>
      </c>
      <c r="KD102">
        <v>82.954400000000007</v>
      </c>
      <c r="KE102">
        <f>AVERAGE(Supplementary_Fig7!KE91:KE101)</f>
        <v>108.53132727272728</v>
      </c>
      <c r="KF102">
        <v>87.782300000000006</v>
      </c>
      <c r="KI102">
        <v>113.88500000000001</v>
      </c>
      <c r="KK102">
        <v>77.052300000000002</v>
      </c>
      <c r="KL102">
        <v>97.392300000000006</v>
      </c>
      <c r="KM102">
        <f>AVERAGE(Supplementary_Fig7!KM91:KM101)</f>
        <v>110.97990909090909</v>
      </c>
      <c r="KQ102">
        <v>106.825</v>
      </c>
      <c r="KT102" t="s">
        <v>643</v>
      </c>
      <c r="KU102">
        <v>2.67</v>
      </c>
      <c r="KY102">
        <v>1.52163</v>
      </c>
      <c r="KZ102">
        <v>2.3141500000000002</v>
      </c>
      <c r="LA102">
        <v>1.3468199999999999</v>
      </c>
      <c r="LB102">
        <v>2.7656499999999999</v>
      </c>
      <c r="LC102">
        <v>3.4161999999999999</v>
      </c>
      <c r="LD102">
        <v>1.3576600000000001</v>
      </c>
      <c r="LE102">
        <v>2.3818199999999998</v>
      </c>
      <c r="LF102">
        <v>1.5768899999999999</v>
      </c>
      <c r="LG102">
        <v>1.4852700000000001</v>
      </c>
      <c r="LH102">
        <v>1.4122699999999999</v>
      </c>
      <c r="LI102">
        <v>1.20211</v>
      </c>
      <c r="LJ102">
        <v>1.7450300000000001</v>
      </c>
      <c r="LK102">
        <v>1.55376</v>
      </c>
      <c r="LL102">
        <v>1.4272199999999999</v>
      </c>
      <c r="LM102">
        <v>1.4326700000000001</v>
      </c>
      <c r="LN102">
        <v>1.4049199999999999</v>
      </c>
      <c r="LO102">
        <v>1.51057</v>
      </c>
      <c r="LP102">
        <v>1.53749</v>
      </c>
      <c r="LQ102">
        <v>1.43733</v>
      </c>
      <c r="LR102">
        <v>1.62182</v>
      </c>
      <c r="LW102" t="s">
        <v>631</v>
      </c>
      <c r="LX102">
        <v>1.57</v>
      </c>
      <c r="MB102">
        <v>1.2573099999999999</v>
      </c>
      <c r="MC102">
        <v>1.3581000000000001</v>
      </c>
      <c r="MD102">
        <v>2.0326599999999999</v>
      </c>
      <c r="ME102">
        <v>1.6633599999999999</v>
      </c>
      <c r="MF102">
        <v>1.4321699999999999</v>
      </c>
      <c r="MG102">
        <v>1.4133599999999999</v>
      </c>
      <c r="MH102">
        <v>1.41805</v>
      </c>
      <c r="MI102">
        <v>1.5968500000000001</v>
      </c>
      <c r="MJ102">
        <v>1.6591199999999999</v>
      </c>
      <c r="MK102">
        <v>1.47153</v>
      </c>
      <c r="ML102">
        <v>1.7300599999999999</v>
      </c>
      <c r="MM102">
        <v>1.48132</v>
      </c>
      <c r="MN102">
        <v>1.33521</v>
      </c>
      <c r="MO102">
        <v>2.2239100000000001</v>
      </c>
      <c r="MP102">
        <v>1.51892</v>
      </c>
      <c r="MZ102" t="s">
        <v>1076</v>
      </c>
      <c r="NA102">
        <v>1.62</v>
      </c>
      <c r="NF102">
        <v>1.3409599999999999</v>
      </c>
      <c r="NI102">
        <v>1.3650599999999999</v>
      </c>
      <c r="NJ102">
        <f>AVERAGE(Supplementary_Fig7!NJ90:NJ101)</f>
        <v>1.140250909090909</v>
      </c>
      <c r="NM102">
        <v>1.34436</v>
      </c>
      <c r="NN102">
        <v>1.4792700000000001</v>
      </c>
      <c r="NO102">
        <f>AVERAGE(Supplementary_Fig7!NO90:NO101)</f>
        <v>1.5750441666666666</v>
      </c>
      <c r="NS102">
        <v>1.6511400000000001</v>
      </c>
      <c r="NU102">
        <v>1.7173700000000001</v>
      </c>
      <c r="NZ102" t="s">
        <v>745</v>
      </c>
      <c r="OA102">
        <v>358.97399999999999</v>
      </c>
      <c r="OC102" t="s">
        <v>631</v>
      </c>
      <c r="OD102">
        <v>358.59800000000001</v>
      </c>
      <c r="OF102" t="s">
        <v>276</v>
      </c>
      <c r="OG102">
        <v>283.7</v>
      </c>
      <c r="PD102">
        <v>-100</v>
      </c>
      <c r="PE102">
        <v>7.98</v>
      </c>
      <c r="QC102">
        <v>-97.25</v>
      </c>
      <c r="QD102">
        <v>5.18</v>
      </c>
      <c r="RA102">
        <v>-89.91</v>
      </c>
      <c r="RB102">
        <v>4.97</v>
      </c>
    </row>
    <row r="103" spans="171:470" x14ac:dyDescent="0.35">
      <c r="FO103" t="s">
        <v>647</v>
      </c>
      <c r="FQ103">
        <v>41.57</v>
      </c>
      <c r="FS103" t="s">
        <v>647</v>
      </c>
      <c r="FU103">
        <f>63*FQ103/100</f>
        <v>26.1891</v>
      </c>
      <c r="FY103">
        <v>69.415199999999999</v>
      </c>
      <c r="FZ103">
        <v>39.916200000000003</v>
      </c>
      <c r="GH103" t="s">
        <v>628</v>
      </c>
      <c r="GI103">
        <v>53.42</v>
      </c>
      <c r="GL103" t="s">
        <v>628</v>
      </c>
      <c r="GM103">
        <f>63*GI103/100</f>
        <v>33.654600000000002</v>
      </c>
      <c r="GQ103">
        <v>79.999300000000005</v>
      </c>
      <c r="GR103">
        <v>81.083699999999993</v>
      </c>
      <c r="GS103">
        <v>58.975499999999997</v>
      </c>
      <c r="GT103">
        <v>61.678100000000001</v>
      </c>
      <c r="GU103">
        <v>82.001999999999995</v>
      </c>
      <c r="GW103">
        <v>49.236899999999999</v>
      </c>
      <c r="GZ103" t="s">
        <v>891</v>
      </c>
      <c r="HB103">
        <v>61.85</v>
      </c>
      <c r="HD103" t="s">
        <v>891</v>
      </c>
      <c r="HF103">
        <f>63*Supplementary_Fig7!HB103/100</f>
        <v>38.965499999999999</v>
      </c>
      <c r="HV103" t="s">
        <v>645</v>
      </c>
      <c r="HW103">
        <v>80.88</v>
      </c>
      <c r="HZ103">
        <v>98.097200000000001</v>
      </c>
      <c r="IA103">
        <v>98.806799999999996</v>
      </c>
      <c r="IB103">
        <v>67.846699999999998</v>
      </c>
      <c r="IC103">
        <v>102.61499999999999</v>
      </c>
      <c r="ID103">
        <v>76.194800000000001</v>
      </c>
      <c r="IE103">
        <v>93.290700000000001</v>
      </c>
      <c r="IF103">
        <v>92.266800000000003</v>
      </c>
      <c r="IG103">
        <v>99.8322</v>
      </c>
      <c r="IH103">
        <v>81.568899999999999</v>
      </c>
      <c r="II103">
        <v>86.135900000000007</v>
      </c>
      <c r="IJ103">
        <v>86.941500000000005</v>
      </c>
      <c r="IK103">
        <v>66.186499999999995</v>
      </c>
      <c r="IL103">
        <v>83.741799999999998</v>
      </c>
      <c r="IM103">
        <v>79.583699999999993</v>
      </c>
      <c r="IN103">
        <v>101.622</v>
      </c>
      <c r="IO103">
        <v>93.6417</v>
      </c>
      <c r="IP103">
        <v>88.522300000000001</v>
      </c>
      <c r="IQ103">
        <v>79.226699999999994</v>
      </c>
      <c r="IR103">
        <v>90.922499999999999</v>
      </c>
      <c r="IS103">
        <v>75.724800000000002</v>
      </c>
      <c r="IT103">
        <v>80.903599999999997</v>
      </c>
      <c r="IU103">
        <v>87.6648</v>
      </c>
      <c r="IX103" t="s">
        <v>634</v>
      </c>
      <c r="IY103">
        <v>107.2</v>
      </c>
      <c r="JB103">
        <v>94.340500000000006</v>
      </c>
      <c r="JC103">
        <v>124.24</v>
      </c>
      <c r="JD103">
        <v>88.293499999999995</v>
      </c>
      <c r="JE103">
        <v>99.066199999999995</v>
      </c>
      <c r="JF103">
        <v>118.02800000000001</v>
      </c>
      <c r="JG103">
        <v>121.39</v>
      </c>
      <c r="JH103">
        <v>119.331</v>
      </c>
      <c r="JI103">
        <v>92.375200000000007</v>
      </c>
      <c r="JJ103">
        <v>103.328</v>
      </c>
      <c r="JK103">
        <v>94.285600000000002</v>
      </c>
      <c r="JL103">
        <v>112.759</v>
      </c>
      <c r="JM103">
        <v>107.571</v>
      </c>
      <c r="JN103">
        <v>127.09399999999999</v>
      </c>
      <c r="JO103">
        <v>110.693</v>
      </c>
      <c r="JP103">
        <v>103.053</v>
      </c>
      <c r="JQ103">
        <v>128.589</v>
      </c>
      <c r="JR103">
        <v>120.44499999999999</v>
      </c>
      <c r="JS103">
        <v>118.92400000000001</v>
      </c>
      <c r="JV103" t="s">
        <v>1077</v>
      </c>
      <c r="JW103">
        <v>122.55</v>
      </c>
      <c r="KC103">
        <v>107.864</v>
      </c>
      <c r="KD103">
        <v>82.781999999999996</v>
      </c>
      <c r="KF103">
        <v>84.684799999999996</v>
      </c>
      <c r="KI103">
        <v>116.14400000000001</v>
      </c>
      <c r="KK103">
        <f>AVERAGE(Supplementary_Fig7!KK91:KK102)</f>
        <v>88.513708333333327</v>
      </c>
      <c r="KL103">
        <v>98.188800000000001</v>
      </c>
      <c r="KQ103">
        <v>107.086</v>
      </c>
      <c r="KT103" t="s">
        <v>645</v>
      </c>
      <c r="KU103">
        <v>1.6080000000000001</v>
      </c>
      <c r="KY103">
        <v>1.5492999999999999</v>
      </c>
      <c r="KZ103">
        <v>2.2893599999999998</v>
      </c>
      <c r="LA103">
        <v>1.34246</v>
      </c>
      <c r="LB103">
        <v>2.7141000000000002</v>
      </c>
      <c r="LC103">
        <v>3.4577</v>
      </c>
      <c r="LD103">
        <v>1.3588199999999999</v>
      </c>
      <c r="LE103">
        <v>2.4089100000000001</v>
      </c>
      <c r="LF103">
        <v>1.5646899999999999</v>
      </c>
      <c r="LG103">
        <v>1.6499299999999999</v>
      </c>
      <c r="LH103">
        <v>1.43</v>
      </c>
      <c r="LI103">
        <v>1.24441</v>
      </c>
      <c r="LJ103">
        <v>1.7739499999999999</v>
      </c>
      <c r="LK103">
        <v>1.55722</v>
      </c>
      <c r="LL103">
        <v>1.43072</v>
      </c>
      <c r="LM103">
        <v>1.4569000000000001</v>
      </c>
      <c r="LN103">
        <v>1.4178599999999999</v>
      </c>
      <c r="LO103">
        <v>1.53938</v>
      </c>
      <c r="LP103">
        <v>1.5295700000000001</v>
      </c>
      <c r="LQ103">
        <v>1.417</v>
      </c>
      <c r="LR103">
        <v>1.64164</v>
      </c>
      <c r="LW103" t="s">
        <v>634</v>
      </c>
      <c r="LX103">
        <v>1.62</v>
      </c>
      <c r="MB103">
        <v>1.3335600000000001</v>
      </c>
      <c r="MC103">
        <v>1.4497599999999999</v>
      </c>
      <c r="MD103">
        <v>1.8857900000000001</v>
      </c>
      <c r="ME103">
        <v>1.5953200000000001</v>
      </c>
      <c r="MF103">
        <v>1.4558599999999999</v>
      </c>
      <c r="MG103">
        <v>1.4051400000000001</v>
      </c>
      <c r="MH103">
        <v>1.39371</v>
      </c>
      <c r="MI103">
        <v>1.5964499999999999</v>
      </c>
      <c r="MJ103">
        <v>1.6802600000000001</v>
      </c>
      <c r="MK103">
        <v>1.4673499999999999</v>
      </c>
      <c r="ML103">
        <v>1.6750700000000001</v>
      </c>
      <c r="MM103">
        <f>AVERAGE(MM97:MM102)</f>
        <v>1.5270533333333336</v>
      </c>
      <c r="MN103">
        <v>1.34849</v>
      </c>
      <c r="MO103">
        <v>1.8085899999999999</v>
      </c>
      <c r="MP103">
        <v>1.51065</v>
      </c>
      <c r="MZ103" t="s">
        <v>1077</v>
      </c>
      <c r="NA103">
        <v>1.5</v>
      </c>
      <c r="NF103">
        <v>1.32802</v>
      </c>
      <c r="NI103">
        <v>1.3638699999999999</v>
      </c>
      <c r="NM103">
        <v>1.2885899999999999</v>
      </c>
      <c r="NN103">
        <f>AVERAGE(Supplementary_Fig7!NN90:NN102)</f>
        <v>1.4739646153846153</v>
      </c>
      <c r="NS103">
        <f>AVERAGE(Supplementary_Fig7!NS90:NS102)</f>
        <v>1.6537453846153849</v>
      </c>
      <c r="NU103">
        <v>1.71512</v>
      </c>
      <c r="NZ103" t="s">
        <v>651</v>
      </c>
      <c r="OA103">
        <v>173.01599999999999</v>
      </c>
      <c r="OC103" t="s">
        <v>634</v>
      </c>
      <c r="OD103">
        <v>318.92599999999999</v>
      </c>
      <c r="OF103" t="s">
        <v>891</v>
      </c>
      <c r="OG103">
        <v>342.00200000000001</v>
      </c>
      <c r="PD103">
        <v>-100</v>
      </c>
      <c r="PE103">
        <v>7.11</v>
      </c>
      <c r="QC103">
        <v>-97.27</v>
      </c>
      <c r="QD103">
        <v>7.52</v>
      </c>
      <c r="RA103">
        <v>-90.12</v>
      </c>
      <c r="RB103">
        <v>4.1399999999999997</v>
      </c>
    </row>
    <row r="104" spans="171:470" ht="13.15" x14ac:dyDescent="0.4">
      <c r="FO104" t="s">
        <v>649</v>
      </c>
      <c r="FQ104">
        <v>56.25</v>
      </c>
      <c r="FS104" t="s">
        <v>649</v>
      </c>
      <c r="FU104">
        <f>63*FQ104/100</f>
        <v>35.4375</v>
      </c>
      <c r="FW104" s="1">
        <f>AVERAGE(Supplementary_Fig7!FW100:FW103)</f>
        <v>59.194850000000002</v>
      </c>
      <c r="FX104" s="1">
        <f>AVERAGE(Supplementary_Fig7!FX100:FX103)</f>
        <v>53.032299999999999</v>
      </c>
      <c r="FY104" s="1">
        <f>AVERAGE(Supplementary_Fig7!FY100:FY103)</f>
        <v>69.000699999999995</v>
      </c>
      <c r="FZ104" s="1">
        <f>AVERAGE(Supplementary_Fig7!FZ100:FZ103)</f>
        <v>41.570300000000003</v>
      </c>
      <c r="GA104" s="1">
        <f>AVERAGE(Supplementary_Fig7!GA100:GA103)</f>
        <v>56.25235</v>
      </c>
      <c r="GB104" s="1" t="e">
        <f>AVERAGE(Supplementary_Fig7!GB100:GB103)</f>
        <v>#DIV/0!</v>
      </c>
      <c r="GH104" t="s">
        <v>631</v>
      </c>
      <c r="GI104">
        <v>71.569999999999993</v>
      </c>
      <c r="GL104" t="s">
        <v>631</v>
      </c>
      <c r="GM104">
        <f>63*GI104/100</f>
        <v>45.089100000000002</v>
      </c>
      <c r="GQ104" s="1">
        <f t="shared" ref="GQ104:GW104" si="26">AVERAGE(GQ100:GQ103)</f>
        <v>76.125925000000009</v>
      </c>
      <c r="GR104" s="1">
        <f t="shared" si="26"/>
        <v>73.556700000000006</v>
      </c>
      <c r="GS104" s="1">
        <f t="shared" si="26"/>
        <v>71.793225000000007</v>
      </c>
      <c r="GT104" s="1">
        <f t="shared" si="26"/>
        <v>63.982050000000001</v>
      </c>
      <c r="GU104" s="1">
        <f t="shared" si="26"/>
        <v>73.263024999999999</v>
      </c>
      <c r="GV104" s="1">
        <f t="shared" si="26"/>
        <v>60.009133333333331</v>
      </c>
      <c r="GW104" s="1">
        <f t="shared" si="26"/>
        <v>53.429399999999994</v>
      </c>
      <c r="GZ104" t="s">
        <v>1083</v>
      </c>
      <c r="HA104">
        <v>66.64</v>
      </c>
      <c r="HD104" t="s">
        <v>1083</v>
      </c>
      <c r="HE104">
        <f>63*Supplementary_Fig7!HA104/100</f>
        <v>41.983199999999997</v>
      </c>
      <c r="HJ104" t="s">
        <v>891</v>
      </c>
      <c r="HK104" t="s">
        <v>1083</v>
      </c>
      <c r="HL104" t="s">
        <v>892</v>
      </c>
      <c r="HM104" t="s">
        <v>1084</v>
      </c>
      <c r="HN104" t="s">
        <v>893</v>
      </c>
      <c r="HO104" t="s">
        <v>894</v>
      </c>
      <c r="HP104" t="s">
        <v>895</v>
      </c>
      <c r="HQ104" t="s">
        <v>896</v>
      </c>
      <c r="HV104" t="s">
        <v>647</v>
      </c>
      <c r="HW104">
        <v>76.260000000000005</v>
      </c>
      <c r="HZ104">
        <v>100.41</v>
      </c>
      <c r="IA104">
        <v>98.687700000000007</v>
      </c>
      <c r="IB104">
        <v>68.5608</v>
      </c>
      <c r="IC104">
        <v>103.13</v>
      </c>
      <c r="ID104">
        <v>74.511700000000005</v>
      </c>
      <c r="IE104">
        <v>93.002300000000005</v>
      </c>
      <c r="IF104">
        <v>96.380600000000001</v>
      </c>
      <c r="IG104">
        <v>99.189800000000005</v>
      </c>
      <c r="IH104">
        <v>80.415300000000002</v>
      </c>
      <c r="II104">
        <v>87.893699999999995</v>
      </c>
      <c r="IJ104">
        <v>87.2864</v>
      </c>
      <c r="IK104">
        <v>66.468800000000002</v>
      </c>
      <c r="IL104">
        <v>84.594700000000003</v>
      </c>
      <c r="IM104">
        <v>100.462</v>
      </c>
      <c r="IN104">
        <v>103.15900000000001</v>
      </c>
      <c r="IO104">
        <v>93.7012</v>
      </c>
      <c r="IP104">
        <v>82.551599999999993</v>
      </c>
      <c r="IQ104">
        <v>77.743499999999997</v>
      </c>
      <c r="IR104">
        <v>91.578699999999998</v>
      </c>
      <c r="IS104">
        <v>75.936899999999994</v>
      </c>
      <c r="IT104">
        <v>81.912199999999999</v>
      </c>
      <c r="IU104">
        <v>86.823999999999998</v>
      </c>
      <c r="IX104" t="s">
        <v>637</v>
      </c>
      <c r="IY104">
        <v>107.94</v>
      </c>
      <c r="JB104">
        <v>97.625699999999995</v>
      </c>
      <c r="JC104">
        <v>120.712</v>
      </c>
      <c r="JD104">
        <v>117.902</v>
      </c>
      <c r="JE104">
        <v>97.615099999999998</v>
      </c>
      <c r="JF104">
        <v>118.78400000000001</v>
      </c>
      <c r="JG104">
        <v>119.803</v>
      </c>
      <c r="JH104">
        <v>120.964</v>
      </c>
      <c r="JI104">
        <v>93.016099999999994</v>
      </c>
      <c r="JJ104">
        <v>105.042</v>
      </c>
      <c r="JK104">
        <v>99.203500000000005</v>
      </c>
      <c r="JL104">
        <v>116.52200000000001</v>
      </c>
      <c r="JM104">
        <v>108.148</v>
      </c>
      <c r="JN104">
        <v>101.66200000000001</v>
      </c>
      <c r="JO104">
        <v>109.854</v>
      </c>
      <c r="JP104">
        <v>101.044</v>
      </c>
      <c r="JQ104">
        <v>124.443</v>
      </c>
      <c r="JR104">
        <v>123.569</v>
      </c>
      <c r="JS104">
        <v>115.9</v>
      </c>
      <c r="JV104" t="s">
        <v>1078</v>
      </c>
      <c r="JW104">
        <v>90.83</v>
      </c>
      <c r="KC104">
        <v>110.48099999999999</v>
      </c>
      <c r="KD104">
        <v>81.384299999999996</v>
      </c>
      <c r="KF104">
        <v>85.345500000000001</v>
      </c>
      <c r="KI104">
        <v>115.337</v>
      </c>
      <c r="KL104">
        <v>98.442099999999996</v>
      </c>
      <c r="KQ104">
        <f>AVERAGE(Supplementary_Fig7!KQ91:KQ103)</f>
        <v>100.29515384615387</v>
      </c>
      <c r="KT104" t="s">
        <v>647</v>
      </c>
      <c r="KU104">
        <v>1.74</v>
      </c>
      <c r="KY104">
        <v>1.48953</v>
      </c>
      <c r="KZ104">
        <v>2.3167900000000001</v>
      </c>
      <c r="LB104">
        <v>2.5459800000000001</v>
      </c>
      <c r="LC104">
        <v>3.54453</v>
      </c>
      <c r="LD104">
        <v>1.3533900000000001</v>
      </c>
      <c r="LE104">
        <v>2.56379</v>
      </c>
      <c r="LF104">
        <v>1.5526800000000001</v>
      </c>
      <c r="LG104">
        <v>1.68184</v>
      </c>
      <c r="LH104">
        <v>1.4270099999999999</v>
      </c>
      <c r="LI104">
        <v>1.2143299999999999</v>
      </c>
      <c r="LJ104">
        <v>2.0650499999999998</v>
      </c>
      <c r="LK104">
        <v>1.5463899999999999</v>
      </c>
      <c r="LL104">
        <v>1.4200600000000001</v>
      </c>
      <c r="LM104">
        <v>1.49905</v>
      </c>
      <c r="LN104">
        <v>1.4027799999999999</v>
      </c>
      <c r="LO104">
        <v>1.45255</v>
      </c>
      <c r="LQ104">
        <v>1.4309499999999999</v>
      </c>
      <c r="LR104">
        <v>1.6749400000000001</v>
      </c>
      <c r="LW104" t="s">
        <v>637</v>
      </c>
      <c r="LX104">
        <v>1.47</v>
      </c>
      <c r="MB104">
        <v>1.28668</v>
      </c>
      <c r="MC104">
        <v>1.4414499999999999</v>
      </c>
      <c r="MD104">
        <v>1.9008100000000001</v>
      </c>
      <c r="ME104">
        <v>1.6017300000000001</v>
      </c>
      <c r="MF104">
        <v>1.46966</v>
      </c>
      <c r="MG104">
        <v>1.4003399999999999</v>
      </c>
      <c r="MH104">
        <v>1.3996999999999999</v>
      </c>
      <c r="MI104">
        <v>1.57162</v>
      </c>
      <c r="MJ104">
        <v>1.6804699999999999</v>
      </c>
      <c r="MK104">
        <v>1.47149</v>
      </c>
      <c r="ML104">
        <v>1.7038599999999999</v>
      </c>
      <c r="MN104">
        <v>1.3311500000000001</v>
      </c>
      <c r="MO104">
        <v>2.0510100000000002</v>
      </c>
      <c r="MP104">
        <v>1.5236700000000001</v>
      </c>
      <c r="MZ104" t="s">
        <v>1078</v>
      </c>
      <c r="NA104">
        <v>1.58</v>
      </c>
      <c r="NF104">
        <v>1.3432299999999999</v>
      </c>
      <c r="NI104">
        <v>1.38154</v>
      </c>
      <c r="NM104">
        <f>AVERAGE(Supplementary_Fig7!NM90:NM103)</f>
        <v>1.2882435714285714</v>
      </c>
      <c r="NU104">
        <f>AVERAGE(Supplementary_Fig7!NU90:NU103)</f>
        <v>1.7298949999999997</v>
      </c>
      <c r="NZ104" t="s">
        <v>653</v>
      </c>
      <c r="OA104">
        <v>235.10400000000001</v>
      </c>
      <c r="OC104" t="s">
        <v>637</v>
      </c>
      <c r="OD104">
        <v>403.53699999999998</v>
      </c>
      <c r="OF104" t="s">
        <v>1083</v>
      </c>
      <c r="OG104">
        <v>304.82299999999998</v>
      </c>
      <c r="PD104">
        <v>-100</v>
      </c>
      <c r="PE104">
        <v>9.91</v>
      </c>
      <c r="QC104">
        <v>-97.62</v>
      </c>
      <c r="QD104">
        <v>5.45</v>
      </c>
      <c r="RA104">
        <v>-90.18</v>
      </c>
      <c r="RB104">
        <v>5.3</v>
      </c>
    </row>
    <row r="105" spans="171:470" x14ac:dyDescent="0.35">
      <c r="FO105" t="s">
        <v>745</v>
      </c>
      <c r="FS105" t="s">
        <v>745</v>
      </c>
      <c r="GH105" t="s">
        <v>634</v>
      </c>
      <c r="GJ105">
        <v>78.06</v>
      </c>
      <c r="GL105" t="s">
        <v>634</v>
      </c>
      <c r="GN105">
        <f>63*GJ105/100</f>
        <v>49.177799999999998</v>
      </c>
      <c r="GZ105" t="s">
        <v>892</v>
      </c>
      <c r="HA105">
        <v>41.45</v>
      </c>
      <c r="HD105" t="s">
        <v>892</v>
      </c>
      <c r="HE105">
        <f>63*Supplementary_Fig7!HA105/100</f>
        <v>26.113500000000002</v>
      </c>
      <c r="HJ105">
        <v>63.901200000000003</v>
      </c>
      <c r="HK105">
        <v>73.593800000000002</v>
      </c>
      <c r="HL105">
        <v>44.572200000000002</v>
      </c>
      <c r="HM105">
        <v>74.987300000000005</v>
      </c>
      <c r="HN105">
        <v>82.012600000000006</v>
      </c>
      <c r="HO105">
        <v>57.792200000000001</v>
      </c>
      <c r="HP105">
        <v>70.742500000000007</v>
      </c>
      <c r="HQ105">
        <v>68.575100000000006</v>
      </c>
      <c r="HV105" t="s">
        <v>649</v>
      </c>
      <c r="HW105">
        <v>82.18</v>
      </c>
      <c r="HZ105">
        <v>101.395</v>
      </c>
      <c r="IA105">
        <v>97.442599999999999</v>
      </c>
      <c r="IB105">
        <v>69.198599999999999</v>
      </c>
      <c r="IC105">
        <v>104.298</v>
      </c>
      <c r="ID105">
        <v>103.333</v>
      </c>
      <c r="IE105">
        <v>94.364900000000006</v>
      </c>
      <c r="IF105">
        <v>95.809899999999999</v>
      </c>
      <c r="IG105">
        <v>101.61</v>
      </c>
      <c r="IH105">
        <v>80.804400000000001</v>
      </c>
      <c r="II105">
        <v>89.408900000000003</v>
      </c>
      <c r="IJ105">
        <v>87.141400000000004</v>
      </c>
      <c r="IK105">
        <v>66.191100000000006</v>
      </c>
      <c r="IL105">
        <v>85.124200000000002</v>
      </c>
      <c r="IM105">
        <v>100.16500000000001</v>
      </c>
      <c r="IN105">
        <v>108.569</v>
      </c>
      <c r="IO105">
        <v>94.218400000000003</v>
      </c>
      <c r="IP105">
        <v>81.994600000000005</v>
      </c>
      <c r="IQ105">
        <v>96.342500000000001</v>
      </c>
      <c r="IR105">
        <v>91.055300000000003</v>
      </c>
      <c r="IS105">
        <v>73.265100000000004</v>
      </c>
      <c r="IT105">
        <v>81.683300000000003</v>
      </c>
      <c r="IU105">
        <v>87.277199999999993</v>
      </c>
      <c r="IX105" t="s">
        <v>640</v>
      </c>
      <c r="IY105">
        <v>106.73</v>
      </c>
      <c r="JB105">
        <v>95.619200000000006</v>
      </c>
      <c r="JC105">
        <v>122.31</v>
      </c>
      <c r="JD105">
        <v>116.89100000000001</v>
      </c>
      <c r="JE105">
        <v>96.443200000000004</v>
      </c>
      <c r="JF105">
        <v>96.379099999999994</v>
      </c>
      <c r="JG105">
        <v>90.351900000000001</v>
      </c>
      <c r="JH105">
        <v>117.831</v>
      </c>
      <c r="JI105">
        <v>94.142200000000003</v>
      </c>
      <c r="JJ105">
        <v>101.154</v>
      </c>
      <c r="JK105">
        <v>100.61199999999999</v>
      </c>
      <c r="JL105">
        <v>79.151899999999998</v>
      </c>
      <c r="JM105">
        <v>102.676</v>
      </c>
      <c r="JN105">
        <v>99.881</v>
      </c>
      <c r="JO105">
        <v>93.621799999999993</v>
      </c>
      <c r="JP105">
        <v>99.754300000000001</v>
      </c>
      <c r="JQ105">
        <v>99.8566</v>
      </c>
      <c r="JR105">
        <v>95.007300000000001</v>
      </c>
      <c r="JS105">
        <v>98.738100000000003</v>
      </c>
      <c r="JV105" t="s">
        <v>1079</v>
      </c>
      <c r="JW105">
        <v>99.2</v>
      </c>
      <c r="KC105">
        <v>107.70099999999999</v>
      </c>
      <c r="KD105">
        <v>81.524699999999996</v>
      </c>
      <c r="KF105">
        <f>AVERAGE(Supplementary_Fig7!KF91:KF104)</f>
        <v>107.52730714285714</v>
      </c>
      <c r="KI105">
        <v>116.74299999999999</v>
      </c>
      <c r="KL105">
        <v>99.452200000000005</v>
      </c>
      <c r="KT105" t="s">
        <v>649</v>
      </c>
      <c r="KU105">
        <v>1.46</v>
      </c>
      <c r="KY105">
        <v>1.73722</v>
      </c>
      <c r="KZ105">
        <v>3.44502</v>
      </c>
      <c r="LA105">
        <v>1.7995099999999999</v>
      </c>
      <c r="LB105">
        <v>2.7048800000000002</v>
      </c>
      <c r="LC105">
        <v>3.3597299999999999</v>
      </c>
      <c r="LD105">
        <v>1.40795</v>
      </c>
      <c r="LG105">
        <v>1.92022</v>
      </c>
      <c r="LH105">
        <v>1.4250799999999999</v>
      </c>
      <c r="LI105">
        <v>1.33003</v>
      </c>
      <c r="LJ105">
        <v>2.0311400000000002</v>
      </c>
      <c r="LK105">
        <v>1.8184800000000001</v>
      </c>
      <c r="LL105">
        <v>1.43587</v>
      </c>
      <c r="LM105">
        <v>1.60114</v>
      </c>
      <c r="LN105">
        <v>1.4755400000000001</v>
      </c>
      <c r="LO105">
        <v>1.6760699999999999</v>
      </c>
      <c r="LP105">
        <v>1.5487200000000001</v>
      </c>
      <c r="LR105">
        <v>1.6269</v>
      </c>
      <c r="LW105" t="s">
        <v>640</v>
      </c>
      <c r="LX105">
        <v>1.61</v>
      </c>
      <c r="MB105">
        <v>1.27555</v>
      </c>
      <c r="MC105">
        <v>1.4136899999999999</v>
      </c>
      <c r="MD105">
        <v>1.9081999999999999</v>
      </c>
      <c r="ME105">
        <v>1.61246</v>
      </c>
      <c r="MF105">
        <v>1.42848</v>
      </c>
      <c r="MG105">
        <v>1.4226799999999999</v>
      </c>
      <c r="MH105">
        <f>AVERAGE(MH97:MH104)</f>
        <v>1.37705875</v>
      </c>
      <c r="MI105">
        <v>1.5684</v>
      </c>
      <c r="MJ105">
        <v>1.6913400000000001</v>
      </c>
      <c r="MK105">
        <v>1.4665900000000001</v>
      </c>
      <c r="ML105">
        <v>1.76519</v>
      </c>
      <c r="MN105">
        <v>1.3408800000000001</v>
      </c>
      <c r="MO105">
        <v>2.2646500000000001</v>
      </c>
      <c r="MP105">
        <v>1.5170300000000001</v>
      </c>
      <c r="MZ105" t="s">
        <v>1079</v>
      </c>
      <c r="NA105">
        <v>1.65</v>
      </c>
      <c r="NF105">
        <v>1.33179</v>
      </c>
      <c r="NI105">
        <f>AVERAGE(Supplementary_Fig7!NI90:NI104)</f>
        <v>1.3464379999999998</v>
      </c>
      <c r="NZ105" t="s">
        <v>655</v>
      </c>
      <c r="OA105">
        <v>331.38</v>
      </c>
      <c r="OC105" t="s">
        <v>640</v>
      </c>
      <c r="OD105">
        <v>337.80500000000001</v>
      </c>
      <c r="OF105" t="s">
        <v>892</v>
      </c>
      <c r="OG105">
        <v>234.12700000000001</v>
      </c>
      <c r="PD105">
        <v>-100</v>
      </c>
      <c r="PE105">
        <v>9.0500000000000007</v>
      </c>
      <c r="QC105">
        <v>-97.8</v>
      </c>
      <c r="QD105">
        <v>5.38</v>
      </c>
      <c r="RA105">
        <v>-90.2</v>
      </c>
      <c r="RB105">
        <v>1.22</v>
      </c>
    </row>
    <row r="106" spans="171:470" x14ac:dyDescent="0.35">
      <c r="FO106" t="s">
        <v>651</v>
      </c>
      <c r="FP106">
        <v>72.86</v>
      </c>
      <c r="FS106" t="s">
        <v>651</v>
      </c>
      <c r="FT106">
        <f>63*FP106/100</f>
        <v>45.901800000000001</v>
      </c>
      <c r="FW106" t="s">
        <v>651</v>
      </c>
      <c r="FX106" t="s">
        <v>653</v>
      </c>
      <c r="FY106" t="s">
        <v>655</v>
      </c>
      <c r="GH106" t="s">
        <v>637</v>
      </c>
      <c r="GJ106">
        <v>89.55</v>
      </c>
      <c r="GL106" t="s">
        <v>637</v>
      </c>
      <c r="GN106">
        <f>63*GJ106/100</f>
        <v>56.416499999999999</v>
      </c>
      <c r="GQ106" t="s">
        <v>631</v>
      </c>
      <c r="GR106" t="s">
        <v>634</v>
      </c>
      <c r="GS106" t="s">
        <v>637</v>
      </c>
      <c r="GT106" t="s">
        <v>640</v>
      </c>
      <c r="GU106" t="s">
        <v>642</v>
      </c>
      <c r="GV106" t="s">
        <v>644</v>
      </c>
      <c r="GW106" t="s">
        <v>646</v>
      </c>
      <c r="GX106" t="s">
        <v>648</v>
      </c>
      <c r="GZ106" t="s">
        <v>1084</v>
      </c>
      <c r="HA106">
        <v>71.209999999999994</v>
      </c>
      <c r="HD106" t="s">
        <v>1084</v>
      </c>
      <c r="HE106">
        <f>63*Supplementary_Fig7!HA106/100</f>
        <v>44.862299999999998</v>
      </c>
      <c r="HJ106">
        <v>59.804099999999998</v>
      </c>
      <c r="HK106">
        <v>62.471400000000003</v>
      </c>
      <c r="HL106">
        <v>40.6706</v>
      </c>
      <c r="HM106">
        <v>86.108999999999995</v>
      </c>
      <c r="HN106">
        <v>85.195899999999995</v>
      </c>
      <c r="HO106">
        <v>85.864199999999997</v>
      </c>
      <c r="HP106">
        <v>91.736400000000003</v>
      </c>
      <c r="HQ106">
        <v>81.011399999999995</v>
      </c>
      <c r="HV106" t="s">
        <v>745</v>
      </c>
      <c r="HW106">
        <v>98.97</v>
      </c>
      <c r="HZ106">
        <v>77.850300000000004</v>
      </c>
      <c r="IA106">
        <v>71.337900000000005</v>
      </c>
      <c r="IB106">
        <v>58.389299999999999</v>
      </c>
      <c r="IC106">
        <v>74.624600000000001</v>
      </c>
      <c r="ID106">
        <v>79.984999999999999</v>
      </c>
      <c r="IE106">
        <v>77.9602</v>
      </c>
      <c r="IF106">
        <v>60.279800000000002</v>
      </c>
      <c r="IG106">
        <v>83.143600000000006</v>
      </c>
      <c r="IH106">
        <v>83.232100000000003</v>
      </c>
      <c r="II106">
        <v>61.0794</v>
      </c>
      <c r="IJ106">
        <v>89.648399999999995</v>
      </c>
      <c r="IK106">
        <v>68.894999999999996</v>
      </c>
      <c r="IL106">
        <v>60.646099999999997</v>
      </c>
      <c r="IM106">
        <v>80.282600000000002</v>
      </c>
      <c r="IN106">
        <v>66.026300000000006</v>
      </c>
      <c r="IO106">
        <v>73.721299999999999</v>
      </c>
      <c r="IP106">
        <v>69.007900000000006</v>
      </c>
      <c r="IQ106">
        <v>80.720500000000001</v>
      </c>
      <c r="IR106">
        <v>90.183999999999997</v>
      </c>
      <c r="IS106">
        <v>76.925700000000006</v>
      </c>
      <c r="IT106">
        <v>83.421300000000002</v>
      </c>
      <c r="IU106">
        <v>88.444500000000005</v>
      </c>
      <c r="IX106" t="s">
        <v>642</v>
      </c>
      <c r="IY106">
        <v>119.36</v>
      </c>
      <c r="JB106">
        <v>94.087199999999996</v>
      </c>
      <c r="JC106">
        <v>121.693</v>
      </c>
      <c r="JD106">
        <v>86.344899999999996</v>
      </c>
      <c r="JE106">
        <v>94.639600000000002</v>
      </c>
      <c r="JF106">
        <v>96.482799999999997</v>
      </c>
      <c r="JG106">
        <v>89.474500000000006</v>
      </c>
      <c r="JH106">
        <v>94.128399999999999</v>
      </c>
      <c r="JI106">
        <v>95.165999999999997</v>
      </c>
      <c r="JJ106">
        <v>100.761</v>
      </c>
      <c r="JK106">
        <v>97.235100000000003</v>
      </c>
      <c r="JL106">
        <v>80.468800000000002</v>
      </c>
      <c r="JM106">
        <v>104.31399999999999</v>
      </c>
      <c r="JN106">
        <v>100.31</v>
      </c>
      <c r="JO106">
        <v>94.723500000000001</v>
      </c>
      <c r="JP106">
        <v>100.504</v>
      </c>
      <c r="JQ106">
        <v>97.557100000000005</v>
      </c>
      <c r="JR106">
        <v>94.857799999999997</v>
      </c>
      <c r="JS106">
        <v>99.295000000000002</v>
      </c>
      <c r="JV106" t="s">
        <v>1080</v>
      </c>
      <c r="JW106">
        <v>118.03</v>
      </c>
      <c r="KC106">
        <f>AVERAGE(Supplementary_Fig7!KC91:KC105)</f>
        <v>108.78700000000001</v>
      </c>
      <c r="KD106">
        <f>AVERAGE(Supplementary_Fig7!KD91:KD105)</f>
        <v>77.673459999999992</v>
      </c>
      <c r="KI106">
        <v>116.73699999999999</v>
      </c>
      <c r="KL106">
        <v>100.589</v>
      </c>
      <c r="KT106" t="s">
        <v>745</v>
      </c>
      <c r="KU106">
        <v>1.27</v>
      </c>
      <c r="KY106">
        <v>1.68536</v>
      </c>
      <c r="KZ106">
        <v>2.7661199999999999</v>
      </c>
      <c r="LA106">
        <v>1.69384</v>
      </c>
      <c r="LB106">
        <v>2.6701100000000002</v>
      </c>
      <c r="LC106">
        <v>2.71008</v>
      </c>
      <c r="LD106">
        <v>1.3572299999999999</v>
      </c>
      <c r="LE106">
        <v>2.7596400000000001</v>
      </c>
      <c r="LF106">
        <v>1.74129</v>
      </c>
      <c r="LG106">
        <v>1.7164600000000001</v>
      </c>
      <c r="LH106">
        <v>1.4242699999999999</v>
      </c>
      <c r="LI106">
        <v>1.3082499999999999</v>
      </c>
      <c r="LJ106">
        <v>1.7732600000000001</v>
      </c>
      <c r="LK106">
        <v>1.7081500000000001</v>
      </c>
      <c r="LL106">
        <v>1.40971</v>
      </c>
      <c r="LM106">
        <v>1.5911599999999999</v>
      </c>
      <c r="LN106">
        <v>1.4365699999999999</v>
      </c>
      <c r="LO106">
        <v>1.67506</v>
      </c>
      <c r="LP106">
        <v>1.5319</v>
      </c>
      <c r="LQ106">
        <v>1.6528700000000001</v>
      </c>
      <c r="LR106">
        <v>1.61896</v>
      </c>
      <c r="LW106" t="s">
        <v>642</v>
      </c>
      <c r="LX106">
        <v>1.52</v>
      </c>
      <c r="MB106">
        <v>1.2561599999999999</v>
      </c>
      <c r="MC106">
        <v>1.4109</v>
      </c>
      <c r="MD106">
        <v>1.9444399999999999</v>
      </c>
      <c r="ME106">
        <v>1.6576200000000001</v>
      </c>
      <c r="MF106">
        <v>1.43381</v>
      </c>
      <c r="MG106">
        <v>1.33754</v>
      </c>
      <c r="MI106">
        <v>1.6034299999999999</v>
      </c>
      <c r="MJ106">
        <v>1.6558900000000001</v>
      </c>
      <c r="MK106">
        <v>1.4684999999999999</v>
      </c>
      <c r="ML106">
        <v>1.71967</v>
      </c>
      <c r="MN106">
        <v>1.3106800000000001</v>
      </c>
      <c r="MO106">
        <v>2.2867999999999999</v>
      </c>
      <c r="MP106">
        <v>1.49813</v>
      </c>
      <c r="MZ106" t="s">
        <v>1080</v>
      </c>
      <c r="NA106">
        <v>1.66</v>
      </c>
      <c r="NF106">
        <f>AVERAGE(Supplementary_Fig7!NF90:NF105)</f>
        <v>1.3336124999999999</v>
      </c>
      <c r="NZ106" t="s">
        <v>657</v>
      </c>
      <c r="OA106">
        <v>287.91899999999998</v>
      </c>
      <c r="OC106" t="s">
        <v>642</v>
      </c>
      <c r="OD106">
        <v>281.50200000000001</v>
      </c>
      <c r="OF106" t="s">
        <v>1084</v>
      </c>
      <c r="OG106">
        <v>314.34699999999998</v>
      </c>
      <c r="PD106">
        <v>-100</v>
      </c>
      <c r="PE106">
        <v>7.16</v>
      </c>
      <c r="QC106">
        <v>-97.81</v>
      </c>
      <c r="QD106">
        <v>4.5599999999999996</v>
      </c>
      <c r="RA106">
        <v>-90.23</v>
      </c>
      <c r="RB106">
        <v>3.97</v>
      </c>
    </row>
    <row r="107" spans="171:470" x14ac:dyDescent="0.35">
      <c r="FO107" t="s">
        <v>653</v>
      </c>
      <c r="FQ107">
        <v>50.05</v>
      </c>
      <c r="FS107" t="s">
        <v>653</v>
      </c>
      <c r="FU107">
        <f>63*FQ107/100</f>
        <v>31.531499999999998</v>
      </c>
      <c r="FW107">
        <v>82.066699999999997</v>
      </c>
      <c r="FX107">
        <v>49.553899999999999</v>
      </c>
      <c r="FY107">
        <v>59.656399999999998</v>
      </c>
      <c r="GH107" t="s">
        <v>640</v>
      </c>
      <c r="GJ107">
        <v>74.98</v>
      </c>
      <c r="GL107" t="s">
        <v>640</v>
      </c>
      <c r="GN107">
        <f>63*GJ107/100</f>
        <v>47.237400000000008</v>
      </c>
      <c r="GQ107">
        <v>60.476999999999997</v>
      </c>
      <c r="GR107">
        <v>79.9773</v>
      </c>
      <c r="GS107">
        <v>88.2209</v>
      </c>
      <c r="GT107">
        <v>71.399199999999993</v>
      </c>
      <c r="GU107">
        <v>59.767000000000003</v>
      </c>
      <c r="GV107">
        <v>47.081499999999998</v>
      </c>
      <c r="GW107">
        <v>73.636099999999999</v>
      </c>
      <c r="GX107">
        <v>47.056600000000003</v>
      </c>
      <c r="GZ107" t="s">
        <v>893</v>
      </c>
      <c r="HB107">
        <v>84.35</v>
      </c>
      <c r="HD107" t="s">
        <v>893</v>
      </c>
      <c r="HF107">
        <f>63*Supplementary_Fig7!HB107/100</f>
        <v>53.140499999999996</v>
      </c>
      <c r="HK107">
        <v>63.872999999999998</v>
      </c>
      <c r="HL107">
        <v>46.267899999999997</v>
      </c>
      <c r="HM107">
        <v>62.856999999999999</v>
      </c>
      <c r="HN107">
        <v>78.739800000000002</v>
      </c>
      <c r="HO107">
        <v>49.081499999999998</v>
      </c>
      <c r="HP107">
        <v>70.078199999999995</v>
      </c>
      <c r="HQ107">
        <v>51.573900000000002</v>
      </c>
      <c r="HV107" t="s">
        <v>651</v>
      </c>
      <c r="HW107">
        <v>74.84</v>
      </c>
      <c r="HZ107">
        <v>74.496499999999997</v>
      </c>
      <c r="IA107">
        <v>68.531800000000004</v>
      </c>
      <c r="IB107">
        <v>61.908000000000001</v>
      </c>
      <c r="IC107">
        <v>71.6721</v>
      </c>
      <c r="ID107">
        <v>77.490200000000002</v>
      </c>
      <c r="IE107">
        <v>73.834199999999996</v>
      </c>
      <c r="IF107">
        <v>59.667999999999999</v>
      </c>
      <c r="IG107">
        <v>81.819199999999995</v>
      </c>
      <c r="IH107">
        <v>82.795699999999997</v>
      </c>
      <c r="II107">
        <v>55.691499999999998</v>
      </c>
      <c r="IJ107">
        <v>88.949600000000004</v>
      </c>
      <c r="IK107">
        <v>67.1524</v>
      </c>
      <c r="IL107">
        <v>61.190800000000003</v>
      </c>
      <c r="IM107">
        <v>80.799899999999994</v>
      </c>
      <c r="IN107">
        <v>64.753699999999995</v>
      </c>
      <c r="IO107">
        <v>72.158799999999999</v>
      </c>
      <c r="IP107">
        <v>75.556899999999999</v>
      </c>
      <c r="IQ107">
        <v>79.509</v>
      </c>
      <c r="IR107">
        <v>89.866600000000005</v>
      </c>
      <c r="IS107">
        <v>78.878799999999998</v>
      </c>
      <c r="IT107">
        <v>81.512500000000003</v>
      </c>
      <c r="IU107">
        <v>86.074799999999996</v>
      </c>
      <c r="IX107" t="s">
        <v>644</v>
      </c>
      <c r="IY107">
        <v>121.8</v>
      </c>
      <c r="JB107">
        <v>93.119799999999998</v>
      </c>
      <c r="JC107">
        <v>122.29</v>
      </c>
      <c r="JD107">
        <v>88.406400000000005</v>
      </c>
      <c r="JE107">
        <v>96.577500000000001</v>
      </c>
      <c r="JF107">
        <v>97.466999999999999</v>
      </c>
      <c r="JG107">
        <v>88.505600000000001</v>
      </c>
      <c r="JH107">
        <v>117.88800000000001</v>
      </c>
      <c r="JI107">
        <v>93.783600000000007</v>
      </c>
      <c r="JJ107">
        <v>101.20099999999999</v>
      </c>
      <c r="JK107">
        <v>96.711699999999993</v>
      </c>
      <c r="JL107">
        <v>109.28</v>
      </c>
      <c r="JM107">
        <v>104.52</v>
      </c>
      <c r="JN107">
        <v>127.759</v>
      </c>
      <c r="JO107">
        <v>109.227</v>
      </c>
      <c r="JP107">
        <f>AVERAGE(JP99:JP106)</f>
        <v>101.029025</v>
      </c>
      <c r="JQ107">
        <v>97.822599999999994</v>
      </c>
      <c r="JR107">
        <v>127.50700000000001</v>
      </c>
      <c r="JS107">
        <v>120.36</v>
      </c>
      <c r="JV107" t="s">
        <v>1081</v>
      </c>
      <c r="JW107">
        <v>112.6</v>
      </c>
      <c r="KI107">
        <f>AVERAGE(Supplementary_Fig7!KI91:KI106)</f>
        <v>116.355625</v>
      </c>
      <c r="KL107">
        <f>AVERAGE(Supplementary_Fig7!KL91:KL106)</f>
        <v>93.965243749999985</v>
      </c>
      <c r="KT107" t="s">
        <v>651</v>
      </c>
      <c r="KU107">
        <v>1.86</v>
      </c>
      <c r="KY107">
        <v>1.5878000000000001</v>
      </c>
      <c r="KZ107">
        <v>2.6209099999999999</v>
      </c>
      <c r="LA107">
        <v>1.6293599999999999</v>
      </c>
      <c r="LB107">
        <v>2.5350100000000002</v>
      </c>
      <c r="LC107">
        <v>2.4878100000000001</v>
      </c>
      <c r="LD107">
        <v>1.3369500000000001</v>
      </c>
      <c r="LE107">
        <v>2.5993200000000001</v>
      </c>
      <c r="LF107">
        <v>1.6932700000000001</v>
      </c>
      <c r="LG107">
        <v>2.03566</v>
      </c>
      <c r="LH107">
        <v>1.41795</v>
      </c>
      <c r="LI107">
        <v>1.2880400000000001</v>
      </c>
      <c r="LJ107">
        <v>1.77945</v>
      </c>
      <c r="LK107">
        <v>1.64469</v>
      </c>
      <c r="LL107">
        <v>1.4152499999999999</v>
      </c>
      <c r="LM107">
        <v>1.5578399999999999</v>
      </c>
      <c r="LN107">
        <v>1.44316</v>
      </c>
      <c r="LO107">
        <v>1.52929</v>
      </c>
      <c r="LP107">
        <v>1.5310299999999999</v>
      </c>
      <c r="LQ107">
        <v>1.6021099999999999</v>
      </c>
      <c r="LR107">
        <v>1.6160600000000001</v>
      </c>
      <c r="LW107" t="s">
        <v>644</v>
      </c>
      <c r="LX107">
        <v>1.33</v>
      </c>
      <c r="MB107">
        <v>1.23994</v>
      </c>
      <c r="MC107">
        <v>1.41605</v>
      </c>
      <c r="MD107">
        <v>1.9792400000000001</v>
      </c>
      <c r="ME107">
        <v>1.64873</v>
      </c>
      <c r="MF107">
        <f>AVERAGE(MF97:MF106)</f>
        <v>1.45339</v>
      </c>
      <c r="MG107">
        <v>1.40639</v>
      </c>
      <c r="MI107">
        <f>AVERAGE(MI97:MI106)</f>
        <v>1.578932</v>
      </c>
      <c r="MJ107">
        <v>1.6031500000000001</v>
      </c>
      <c r="MK107">
        <v>1.53813</v>
      </c>
      <c r="ML107">
        <v>1.57</v>
      </c>
      <c r="MN107">
        <f>AVERAGE(MN97:MN106)</f>
        <v>1.3354240000000002</v>
      </c>
      <c r="MO107">
        <v>1.6617999999999999</v>
      </c>
      <c r="MP107">
        <v>1.5128999999999999</v>
      </c>
      <c r="MZ107" t="s">
        <v>1081</v>
      </c>
      <c r="NA107">
        <v>1.72</v>
      </c>
      <c r="NZ107" t="s">
        <v>659</v>
      </c>
      <c r="OA107">
        <v>298.41300000000001</v>
      </c>
      <c r="OC107" t="s">
        <v>644</v>
      </c>
      <c r="OD107">
        <v>442.91800000000001</v>
      </c>
      <c r="OF107" t="s">
        <v>893</v>
      </c>
      <c r="OG107">
        <v>282.733</v>
      </c>
      <c r="PD107">
        <v>-100</v>
      </c>
      <c r="PE107">
        <v>8.9700000000000006</v>
      </c>
      <c r="QC107">
        <v>-97.86</v>
      </c>
      <c r="QD107">
        <v>5.33</v>
      </c>
      <c r="RA107">
        <v>-90.78</v>
      </c>
      <c r="RB107">
        <v>7.13</v>
      </c>
    </row>
    <row r="108" spans="171:470" x14ac:dyDescent="0.35">
      <c r="FO108" t="s">
        <v>655</v>
      </c>
      <c r="FP108">
        <v>55.79</v>
      </c>
      <c r="FS108" t="s">
        <v>655</v>
      </c>
      <c r="FT108">
        <f>63*FP108/100</f>
        <v>35.1477</v>
      </c>
      <c r="FW108">
        <v>58.134700000000002</v>
      </c>
      <c r="FX108">
        <v>50.557299999999998</v>
      </c>
      <c r="FY108">
        <v>64.921499999999995</v>
      </c>
      <c r="GH108" t="s">
        <v>642</v>
      </c>
      <c r="GJ108">
        <v>58.88</v>
      </c>
      <c r="GL108" t="s">
        <v>642</v>
      </c>
      <c r="GN108">
        <f>63*GJ108/100</f>
        <v>37.0944</v>
      </c>
      <c r="GQ108">
        <v>64.991</v>
      </c>
      <c r="GR108">
        <v>100.051</v>
      </c>
      <c r="GS108">
        <v>129.035</v>
      </c>
      <c r="GT108">
        <v>100.98</v>
      </c>
      <c r="GU108">
        <v>81.510599999999997</v>
      </c>
      <c r="GV108">
        <v>55.311100000000003</v>
      </c>
      <c r="GW108">
        <v>75.243200000000002</v>
      </c>
      <c r="GX108">
        <v>91.551500000000004</v>
      </c>
      <c r="GZ108" t="s">
        <v>894</v>
      </c>
      <c r="HA108">
        <v>62.38</v>
      </c>
      <c r="HD108" t="s">
        <v>894</v>
      </c>
      <c r="HE108">
        <f>63*Supplementary_Fig7!HA108/100</f>
        <v>39.299399999999999</v>
      </c>
      <c r="HL108">
        <v>34.315600000000003</v>
      </c>
      <c r="HM108">
        <v>60.911000000000001</v>
      </c>
      <c r="HN108">
        <v>91.491399999999999</v>
      </c>
      <c r="HO108">
        <v>60.793700000000001</v>
      </c>
      <c r="HP108">
        <v>88.246600000000001</v>
      </c>
      <c r="HQ108">
        <v>86.747299999999996</v>
      </c>
      <c r="HV108" t="s">
        <v>653</v>
      </c>
      <c r="HW108">
        <v>82.16</v>
      </c>
      <c r="HZ108">
        <v>99.784899999999993</v>
      </c>
      <c r="IA108">
        <v>98.397800000000004</v>
      </c>
      <c r="IB108">
        <v>63.011200000000002</v>
      </c>
      <c r="IC108">
        <v>70.137</v>
      </c>
      <c r="ID108">
        <v>77.967799999999997</v>
      </c>
      <c r="IE108">
        <v>73.954800000000006</v>
      </c>
      <c r="IF108">
        <v>57.9208</v>
      </c>
      <c r="IG108">
        <v>97.448700000000002</v>
      </c>
      <c r="IH108">
        <v>82.174700000000001</v>
      </c>
      <c r="II108">
        <v>55.097999999999999</v>
      </c>
      <c r="IJ108">
        <v>87.045299999999997</v>
      </c>
      <c r="IK108">
        <v>64.709500000000006</v>
      </c>
      <c r="IL108">
        <v>61.657699999999998</v>
      </c>
      <c r="IM108">
        <v>79.7226</v>
      </c>
      <c r="IN108">
        <v>63.003500000000003</v>
      </c>
      <c r="IO108">
        <v>71.218900000000005</v>
      </c>
      <c r="IP108">
        <v>68.811000000000007</v>
      </c>
      <c r="IQ108">
        <v>79.208399999999997</v>
      </c>
      <c r="IR108">
        <v>89.451599999999999</v>
      </c>
      <c r="IS108">
        <v>77.177400000000006</v>
      </c>
      <c r="IT108">
        <v>82.171599999999998</v>
      </c>
      <c r="IU108">
        <v>86.94</v>
      </c>
      <c r="IX108" t="s">
        <v>646</v>
      </c>
      <c r="IY108">
        <v>109.91</v>
      </c>
      <c r="JB108">
        <v>92.768900000000002</v>
      </c>
      <c r="JC108">
        <v>123.66800000000001</v>
      </c>
      <c r="JD108">
        <v>89.315799999999996</v>
      </c>
      <c r="JE108">
        <f>AVERAGE(JE99:JE107)</f>
        <v>96.893677777777782</v>
      </c>
      <c r="JF108">
        <v>118.279</v>
      </c>
      <c r="JG108">
        <v>86.415099999999995</v>
      </c>
      <c r="JH108">
        <v>120.52800000000001</v>
      </c>
      <c r="JI108">
        <v>94.520600000000002</v>
      </c>
      <c r="JJ108">
        <v>103.352</v>
      </c>
      <c r="JK108">
        <v>95.980800000000002</v>
      </c>
      <c r="JL108">
        <v>112.553</v>
      </c>
      <c r="JM108">
        <v>106.474</v>
      </c>
      <c r="JN108">
        <v>125.502</v>
      </c>
      <c r="JO108">
        <v>108.861</v>
      </c>
      <c r="JQ108">
        <v>127.435</v>
      </c>
      <c r="JR108">
        <v>127.4</v>
      </c>
      <c r="JS108">
        <v>118.941</v>
      </c>
      <c r="JV108" t="s">
        <v>1085</v>
      </c>
      <c r="JW108">
        <v>101.48</v>
      </c>
      <c r="KT108" t="s">
        <v>653</v>
      </c>
      <c r="KU108">
        <v>1.6</v>
      </c>
      <c r="KY108">
        <v>1.49024</v>
      </c>
      <c r="KZ108">
        <v>3.1513399999999998</v>
      </c>
      <c r="LA108">
        <v>1.45583</v>
      </c>
      <c r="LB108">
        <v>2.4260299999999999</v>
      </c>
      <c r="LC108">
        <v>2.4674</v>
      </c>
      <c r="LD108">
        <v>1.33074</v>
      </c>
      <c r="LE108">
        <v>3.4645299999999999</v>
      </c>
      <c r="LF108">
        <v>1.65587</v>
      </c>
      <c r="LG108">
        <v>1.70183</v>
      </c>
      <c r="LH108">
        <v>1.4219599999999999</v>
      </c>
      <c r="LI108">
        <v>1.2957700000000001</v>
      </c>
      <c r="LJ108">
        <v>1.7196400000000001</v>
      </c>
      <c r="LK108">
        <v>1.6108800000000001</v>
      </c>
      <c r="LL108">
        <v>1.4144300000000001</v>
      </c>
      <c r="LM108">
        <v>1.5358000000000001</v>
      </c>
      <c r="LN108">
        <v>1.41564</v>
      </c>
      <c r="LO108">
        <v>1.4849300000000001</v>
      </c>
      <c r="LP108">
        <v>1.50878</v>
      </c>
      <c r="LQ108">
        <v>1.4972099999999999</v>
      </c>
      <c r="LR108">
        <v>1.64971</v>
      </c>
      <c r="LW108" t="s">
        <v>646</v>
      </c>
      <c r="LX108">
        <v>1.86</v>
      </c>
      <c r="MB108">
        <v>1.26132</v>
      </c>
      <c r="MC108">
        <v>1.3605799999999999</v>
      </c>
      <c r="MD108">
        <v>2.0105</v>
      </c>
      <c r="ME108">
        <v>1.68936</v>
      </c>
      <c r="MG108">
        <v>1.4513799999999999</v>
      </c>
      <c r="MJ108">
        <v>1.5398099999999999</v>
      </c>
      <c r="MK108">
        <v>1.4820899999999999</v>
      </c>
      <c r="ML108">
        <f>AVERAGE(ML97:ML107)</f>
        <v>1.6192872727272729</v>
      </c>
      <c r="MO108">
        <v>1.5582400000000001</v>
      </c>
      <c r="MP108">
        <v>1.4868600000000001</v>
      </c>
      <c r="MZ108" t="s">
        <v>1085</v>
      </c>
      <c r="NA108">
        <v>1.42</v>
      </c>
      <c r="ND108" t="s">
        <v>1085</v>
      </c>
      <c r="NE108" t="s">
        <v>1086</v>
      </c>
      <c r="NF108" t="s">
        <v>1087</v>
      </c>
      <c r="NG108" t="s">
        <v>1088</v>
      </c>
      <c r="NH108" t="s">
        <v>1089</v>
      </c>
      <c r="NI108" t="s">
        <v>1090</v>
      </c>
      <c r="NJ108" t="s">
        <v>1091</v>
      </c>
      <c r="NK108" t="s">
        <v>1092</v>
      </c>
      <c r="NL108" t="s">
        <v>1093</v>
      </c>
      <c r="NM108" t="s">
        <v>1094</v>
      </c>
      <c r="NN108" t="s">
        <v>1095</v>
      </c>
      <c r="NO108" t="s">
        <v>1096</v>
      </c>
      <c r="NP108" t="s">
        <v>1097</v>
      </c>
      <c r="NZ108" t="s">
        <v>661</v>
      </c>
      <c r="OA108">
        <v>238.316</v>
      </c>
      <c r="OC108" t="s">
        <v>646</v>
      </c>
      <c r="OD108">
        <v>265.81200000000001</v>
      </c>
      <c r="OF108" t="s">
        <v>894</v>
      </c>
      <c r="OG108">
        <v>312.149</v>
      </c>
      <c r="PD108">
        <v>-100</v>
      </c>
      <c r="PE108">
        <v>9.4499999999999993</v>
      </c>
      <c r="QC108">
        <v>-97.93</v>
      </c>
      <c r="QD108">
        <v>4.4000000000000004</v>
      </c>
      <c r="RA108">
        <v>-91.21</v>
      </c>
      <c r="RB108">
        <v>2.15</v>
      </c>
    </row>
    <row r="109" spans="171:470" ht="13.15" x14ac:dyDescent="0.4">
      <c r="FO109" t="s">
        <v>657</v>
      </c>
      <c r="FQ109">
        <v>34.33</v>
      </c>
      <c r="FS109" t="s">
        <v>657</v>
      </c>
      <c r="FU109">
        <f>63*FQ109/100</f>
        <v>21.6279</v>
      </c>
      <c r="FW109">
        <v>78.394900000000007</v>
      </c>
      <c r="FY109">
        <v>42.808999999999997</v>
      </c>
      <c r="GH109" t="s">
        <v>644</v>
      </c>
      <c r="GJ109">
        <v>58.58</v>
      </c>
      <c r="GL109" t="s">
        <v>644</v>
      </c>
      <c r="GN109">
        <f>63*GJ109/100</f>
        <v>36.9054</v>
      </c>
      <c r="GQ109">
        <v>89.248000000000005</v>
      </c>
      <c r="GR109">
        <v>64.688299999999998</v>
      </c>
      <c r="GS109">
        <v>70.2226</v>
      </c>
      <c r="GT109">
        <v>58.169600000000003</v>
      </c>
      <c r="GU109">
        <v>42.899000000000001</v>
      </c>
      <c r="GV109">
        <v>52.389899999999997</v>
      </c>
      <c r="GX109">
        <v>51.259900000000002</v>
      </c>
      <c r="GZ109" t="s">
        <v>895</v>
      </c>
      <c r="HB109">
        <v>80.2</v>
      </c>
      <c r="HD109" t="s">
        <v>895</v>
      </c>
      <c r="HF109">
        <f>63*Supplementary_Fig7!HB109/100</f>
        <v>50.526000000000003</v>
      </c>
      <c r="HJ109" s="1">
        <f>AVERAGE(Supplementary_Fig7!HJ105:HJ108)</f>
        <v>61.852649999999997</v>
      </c>
      <c r="HK109" s="1">
        <f>AVERAGE(Supplementary_Fig7!HK105:HK108)</f>
        <v>66.64606666666667</v>
      </c>
      <c r="HL109" s="1">
        <f>AVERAGE(Supplementary_Fig7!HL105:HL108)</f>
        <v>41.456575000000001</v>
      </c>
      <c r="HM109" s="1">
        <f>AVERAGE(Supplementary_Fig7!HM105:HM108)</f>
        <v>71.216074999999989</v>
      </c>
      <c r="HN109" s="1">
        <f>AVERAGE(Supplementary_Fig7!HN105:HN108)</f>
        <v>84.359925000000004</v>
      </c>
      <c r="HO109" s="1">
        <f>AVERAGE(Supplementary_Fig7!HO105:HO108)</f>
        <v>63.382899999999999</v>
      </c>
      <c r="HP109" s="1">
        <f>AVERAGE(Supplementary_Fig7!HP105:HP108)</f>
        <v>80.200924999999998</v>
      </c>
      <c r="HQ109" s="1">
        <f>AVERAGE(Supplementary_Fig7!HQ105:HQ108)</f>
        <v>71.976924999999994</v>
      </c>
      <c r="HV109" t="s">
        <v>655</v>
      </c>
      <c r="HW109">
        <v>87.53</v>
      </c>
      <c r="HZ109">
        <v>98.252899999999997</v>
      </c>
      <c r="IA109">
        <v>97.901899999999998</v>
      </c>
      <c r="IB109">
        <v>76.287800000000004</v>
      </c>
      <c r="IC109">
        <v>100.84099999999999</v>
      </c>
      <c r="ID109">
        <v>76.283299999999997</v>
      </c>
      <c r="IE109">
        <v>95.175200000000004</v>
      </c>
      <c r="IF109">
        <v>85.049400000000006</v>
      </c>
      <c r="IG109">
        <v>98.3673</v>
      </c>
      <c r="IH109">
        <v>80.465699999999998</v>
      </c>
      <c r="II109">
        <v>71.125799999999998</v>
      </c>
      <c r="IJ109">
        <v>85.641499999999994</v>
      </c>
      <c r="IK109">
        <v>64.511099999999999</v>
      </c>
      <c r="IL109">
        <v>61.651600000000002</v>
      </c>
      <c r="IM109">
        <v>81.433099999999996</v>
      </c>
      <c r="IN109">
        <v>102.789</v>
      </c>
      <c r="IO109">
        <v>69.859300000000005</v>
      </c>
      <c r="IP109">
        <v>74.424700000000001</v>
      </c>
      <c r="IQ109">
        <v>78.579700000000003</v>
      </c>
      <c r="IR109">
        <v>117.018</v>
      </c>
      <c r="IS109">
        <v>74.458299999999994</v>
      </c>
      <c r="IT109">
        <v>81.823700000000002</v>
      </c>
      <c r="IU109">
        <v>85.365300000000005</v>
      </c>
      <c r="IX109" t="s">
        <v>648</v>
      </c>
      <c r="IY109">
        <v>117.67</v>
      </c>
      <c r="JB109">
        <v>95.313999999999993</v>
      </c>
      <c r="JC109">
        <f>AVERAGE(JC99:JC108)</f>
        <v>116.55046999999999</v>
      </c>
      <c r="JD109">
        <v>89.102199999999996</v>
      </c>
      <c r="JF109">
        <v>117.85</v>
      </c>
      <c r="JG109">
        <v>89.645399999999995</v>
      </c>
      <c r="JH109">
        <v>121.004</v>
      </c>
      <c r="JI109">
        <v>93.139600000000002</v>
      </c>
      <c r="JJ109">
        <v>101.575</v>
      </c>
      <c r="JK109">
        <v>95.924400000000006</v>
      </c>
      <c r="JL109">
        <v>114.133</v>
      </c>
      <c r="JM109">
        <v>107.03</v>
      </c>
      <c r="JN109">
        <v>124.361</v>
      </c>
      <c r="JO109">
        <v>108.238</v>
      </c>
      <c r="JQ109">
        <v>128.148</v>
      </c>
      <c r="JR109">
        <v>128.059</v>
      </c>
      <c r="JS109">
        <v>118.402</v>
      </c>
      <c r="JV109" t="s">
        <v>1086</v>
      </c>
      <c r="JZ109" t="s">
        <v>1074</v>
      </c>
      <c r="KA109" t="s">
        <v>1075</v>
      </c>
      <c r="KB109" t="s">
        <v>1076</v>
      </c>
      <c r="KC109" t="s">
        <v>1077</v>
      </c>
      <c r="KD109" t="s">
        <v>1078</v>
      </c>
      <c r="KE109" t="s">
        <v>1079</v>
      </c>
      <c r="KF109" t="s">
        <v>1080</v>
      </c>
      <c r="KG109" t="s">
        <v>1081</v>
      </c>
      <c r="KH109" t="s">
        <v>1085</v>
      </c>
      <c r="KI109" t="s">
        <v>1086</v>
      </c>
      <c r="KJ109" t="s">
        <v>1087</v>
      </c>
      <c r="KK109" t="s">
        <v>1088</v>
      </c>
      <c r="KL109" t="s">
        <v>1089</v>
      </c>
      <c r="KM109" t="s">
        <v>1090</v>
      </c>
      <c r="KN109" t="s">
        <v>1091</v>
      </c>
      <c r="KT109" t="s">
        <v>655</v>
      </c>
      <c r="KU109">
        <v>1.42</v>
      </c>
      <c r="KY109">
        <v>1.5382100000000001</v>
      </c>
      <c r="KZ109">
        <v>2.5121699999999998</v>
      </c>
      <c r="LA109">
        <v>1.38602</v>
      </c>
      <c r="LB109">
        <v>2.3828</v>
      </c>
      <c r="LC109">
        <v>2.4504600000000001</v>
      </c>
      <c r="LD109">
        <v>1.3212999999999999</v>
      </c>
      <c r="LE109">
        <v>2.5429900000000001</v>
      </c>
      <c r="LF109">
        <v>1.6079399999999999</v>
      </c>
      <c r="LG109">
        <v>1.9206700000000001</v>
      </c>
      <c r="LH109">
        <v>1.4096599999999999</v>
      </c>
      <c r="LI109">
        <v>1.29162</v>
      </c>
      <c r="LJ109">
        <v>1.71777</v>
      </c>
      <c r="LK109">
        <v>1.5524800000000001</v>
      </c>
      <c r="LL109">
        <v>1.43432</v>
      </c>
      <c r="LM109">
        <v>1.5083299999999999</v>
      </c>
      <c r="LN109">
        <v>1.4271</v>
      </c>
      <c r="LO109">
        <v>1.47539</v>
      </c>
      <c r="LP109">
        <v>1.53305</v>
      </c>
      <c r="LQ109">
        <v>1.4973799999999999</v>
      </c>
      <c r="LR109">
        <v>1.6659999999999999</v>
      </c>
      <c r="LW109" t="s">
        <v>648</v>
      </c>
      <c r="LX109">
        <v>1.52</v>
      </c>
      <c r="MB109">
        <f>AVERAGE(MB97:MB108)</f>
        <v>1.2698808333333333</v>
      </c>
      <c r="MC109">
        <f>AVERAGE(MC97:MC108)</f>
        <v>1.4095433333333329</v>
      </c>
      <c r="MD109">
        <v>1.8054399999999999</v>
      </c>
      <c r="ME109">
        <v>1.54766</v>
      </c>
      <c r="MG109">
        <v>1.4007099999999999</v>
      </c>
      <c r="MJ109">
        <v>1.5841099999999999</v>
      </c>
      <c r="MK109">
        <v>1.49692</v>
      </c>
      <c r="MO109">
        <v>1.8262</v>
      </c>
      <c r="MP109">
        <v>1.5636300000000001</v>
      </c>
      <c r="MZ109" t="s">
        <v>1086</v>
      </c>
      <c r="ND109">
        <v>1.4384999999999999</v>
      </c>
      <c r="NF109">
        <v>1.4862500000000001</v>
      </c>
      <c r="NG109">
        <v>1.6257999999999999</v>
      </c>
      <c r="NH109">
        <v>1.6028100000000001</v>
      </c>
      <c r="NI109">
        <v>1.3862099999999999</v>
      </c>
      <c r="NJ109">
        <v>1.6407400000000001</v>
      </c>
      <c r="NK109">
        <v>1.33318</v>
      </c>
      <c r="NL109">
        <v>1.5416099999999999</v>
      </c>
      <c r="NM109">
        <v>1.42458</v>
      </c>
      <c r="NN109">
        <v>1.3663000000000001</v>
      </c>
      <c r="NO109">
        <v>1.31698</v>
      </c>
      <c r="NP109">
        <v>1.9120299999999999</v>
      </c>
      <c r="NZ109" t="s">
        <v>663</v>
      </c>
      <c r="OA109">
        <v>258.42500000000001</v>
      </c>
      <c r="OC109" t="s">
        <v>648</v>
      </c>
      <c r="OD109">
        <v>331.99</v>
      </c>
      <c r="OF109" t="s">
        <v>895</v>
      </c>
      <c r="OG109">
        <v>332.88600000000002</v>
      </c>
      <c r="PD109">
        <v>-100</v>
      </c>
      <c r="PE109">
        <v>5.7</v>
      </c>
      <c r="QC109">
        <v>-97.98</v>
      </c>
      <c r="QD109">
        <v>4.3899999999999997</v>
      </c>
      <c r="RA109">
        <v>-91.42</v>
      </c>
      <c r="RB109">
        <v>4.8499999999999996</v>
      </c>
    </row>
    <row r="110" spans="171:470" ht="13.15" x14ac:dyDescent="0.4">
      <c r="FO110" t="s">
        <v>659</v>
      </c>
      <c r="FP110">
        <v>53.25</v>
      </c>
      <c r="FS110" t="s">
        <v>659</v>
      </c>
      <c r="FT110">
        <f>63*FP110/100</f>
        <v>33.547499999999999</v>
      </c>
      <c r="FW110" s="1">
        <f>AVERAGE(Supplementary_Fig7!FW107:FW109)</f>
        <v>72.865433333333343</v>
      </c>
      <c r="GH110" t="s">
        <v>646</v>
      </c>
      <c r="GI110">
        <v>74.430000000000007</v>
      </c>
      <c r="GL110" t="s">
        <v>646</v>
      </c>
      <c r="GM110">
        <f>63*GI110/100</f>
        <v>46.890900000000002</v>
      </c>
      <c r="GR110">
        <v>67.539199999999994</v>
      </c>
      <c r="GS110">
        <v>70.748900000000006</v>
      </c>
      <c r="GT110">
        <v>69.385599999999997</v>
      </c>
      <c r="GU110">
        <v>51.365099999999998</v>
      </c>
      <c r="GV110">
        <v>79.552599999999998</v>
      </c>
      <c r="GZ110" t="s">
        <v>896</v>
      </c>
      <c r="HB110">
        <v>71.97</v>
      </c>
      <c r="HD110" t="s">
        <v>896</v>
      </c>
      <c r="HF110">
        <f>63*Supplementary_Fig7!HB110/100</f>
        <v>45.341099999999997</v>
      </c>
      <c r="HV110" t="s">
        <v>657</v>
      </c>
      <c r="HW110">
        <v>92.17</v>
      </c>
      <c r="HZ110">
        <v>101.32299999999999</v>
      </c>
      <c r="IA110">
        <v>99.427800000000005</v>
      </c>
      <c r="IB110">
        <v>75.141900000000007</v>
      </c>
      <c r="IC110">
        <v>103.084</v>
      </c>
      <c r="ID110">
        <v>76.429699999999997</v>
      </c>
      <c r="IE110">
        <v>95.191999999999993</v>
      </c>
      <c r="IF110">
        <v>86.006200000000007</v>
      </c>
      <c r="IG110">
        <v>98.715199999999996</v>
      </c>
      <c r="IH110">
        <v>81.028700000000001</v>
      </c>
      <c r="II110">
        <v>75.381500000000003</v>
      </c>
      <c r="IJ110">
        <v>87.118499999999997</v>
      </c>
      <c r="IK110">
        <v>64.688100000000006</v>
      </c>
      <c r="IL110">
        <v>94.876099999999994</v>
      </c>
      <c r="IM110">
        <v>80.542000000000002</v>
      </c>
      <c r="IN110">
        <v>81.152299999999997</v>
      </c>
      <c r="IO110">
        <v>69.615200000000002</v>
      </c>
      <c r="IP110">
        <v>66.642799999999994</v>
      </c>
      <c r="IQ110">
        <v>79.338099999999997</v>
      </c>
      <c r="IR110">
        <v>117.786</v>
      </c>
      <c r="IS110">
        <v>73.734999999999999</v>
      </c>
      <c r="IT110">
        <v>81.019599999999997</v>
      </c>
      <c r="IU110">
        <v>86.921700000000001</v>
      </c>
      <c r="IX110" t="s">
        <v>650</v>
      </c>
      <c r="IY110">
        <v>89.04</v>
      </c>
      <c r="JB110">
        <v>94.978300000000004</v>
      </c>
      <c r="JD110">
        <v>115.491</v>
      </c>
      <c r="JF110">
        <v>119.919</v>
      </c>
      <c r="JG110">
        <v>121.71899999999999</v>
      </c>
      <c r="JH110">
        <v>122.244</v>
      </c>
      <c r="JI110">
        <v>92.314099999999996</v>
      </c>
      <c r="JJ110">
        <v>105.10599999999999</v>
      </c>
      <c r="JK110">
        <v>96.7209</v>
      </c>
      <c r="JL110">
        <v>115.884</v>
      </c>
      <c r="JM110">
        <v>109.273</v>
      </c>
      <c r="JN110">
        <f>AVERAGE(JN99:JN109)</f>
        <v>114.30172727272729</v>
      </c>
      <c r="JO110">
        <v>108.39100000000001</v>
      </c>
      <c r="JQ110">
        <f>AVERAGE(JQ99:JQ109)</f>
        <v>109.03860909090908</v>
      </c>
      <c r="JR110">
        <v>96.022000000000006</v>
      </c>
      <c r="JS110">
        <v>101.498</v>
      </c>
      <c r="JV110" t="s">
        <v>1087</v>
      </c>
      <c r="JW110">
        <v>95.67</v>
      </c>
      <c r="JZ110">
        <v>96.997100000000003</v>
      </c>
      <c r="KA110">
        <v>92.381299999999996</v>
      </c>
      <c r="KB110">
        <v>93.718000000000004</v>
      </c>
      <c r="KC110">
        <v>102.911</v>
      </c>
      <c r="KD110">
        <v>89.718599999999995</v>
      </c>
      <c r="KE110">
        <v>98.808300000000003</v>
      </c>
      <c r="KF110">
        <v>116.23699999999999</v>
      </c>
      <c r="KG110">
        <v>87.181100000000001</v>
      </c>
      <c r="KH110">
        <v>102.53400000000001</v>
      </c>
      <c r="KJ110">
        <v>96.281400000000005</v>
      </c>
      <c r="KK110">
        <v>98.522900000000007</v>
      </c>
      <c r="KL110">
        <v>129.637</v>
      </c>
      <c r="KM110">
        <v>104.944</v>
      </c>
      <c r="KN110">
        <v>91.880799999999994</v>
      </c>
      <c r="KT110" t="s">
        <v>657</v>
      </c>
      <c r="KU110">
        <v>1.51</v>
      </c>
      <c r="KY110">
        <v>1.50495</v>
      </c>
      <c r="KZ110">
        <v>2.3722300000000001</v>
      </c>
      <c r="LA110">
        <v>1.3514299999999999</v>
      </c>
      <c r="LB110">
        <v>2.3353000000000002</v>
      </c>
      <c r="LC110">
        <v>2.2611400000000001</v>
      </c>
      <c r="LD110">
        <v>1.3364400000000001</v>
      </c>
      <c r="LE110">
        <v>2.58657</v>
      </c>
      <c r="LF110">
        <v>1.57311</v>
      </c>
      <c r="LH110">
        <v>1.42333</v>
      </c>
      <c r="LI110">
        <v>1.2996399999999999</v>
      </c>
      <c r="LJ110">
        <v>1.73874</v>
      </c>
      <c r="LK110">
        <v>1.5730500000000001</v>
      </c>
      <c r="LL110">
        <v>1.4386399999999999</v>
      </c>
      <c r="LM110">
        <v>1.52765</v>
      </c>
      <c r="LN110">
        <v>1.44536</v>
      </c>
      <c r="LO110">
        <v>1.46024</v>
      </c>
      <c r="LP110">
        <v>1.5403899999999999</v>
      </c>
      <c r="LQ110">
        <v>1.4573700000000001</v>
      </c>
      <c r="LR110">
        <v>1.6741200000000001</v>
      </c>
      <c r="LW110" t="s">
        <v>650</v>
      </c>
      <c r="LX110">
        <v>1.83</v>
      </c>
      <c r="MD110">
        <v>1.81094</v>
      </c>
      <c r="ME110">
        <v>1.54799</v>
      </c>
      <c r="MG110">
        <v>1.44286</v>
      </c>
      <c r="MJ110">
        <v>1.67428</v>
      </c>
      <c r="MK110">
        <f>AVERAGE(MK97:MK109)</f>
        <v>1.4724846153846154</v>
      </c>
      <c r="MO110">
        <f>AVERAGE(MO97:MO109)</f>
        <v>1.8642430769230769</v>
      </c>
      <c r="MP110">
        <v>1.6027499999999999</v>
      </c>
      <c r="MZ110" t="s">
        <v>1087</v>
      </c>
      <c r="NA110">
        <v>1.42</v>
      </c>
      <c r="ND110">
        <v>1.41235</v>
      </c>
      <c r="NF110">
        <v>1.4799899999999999</v>
      </c>
      <c r="NG110">
        <v>1.62548</v>
      </c>
      <c r="NH110">
        <v>1.56654</v>
      </c>
      <c r="NI110">
        <v>1.3708199999999999</v>
      </c>
      <c r="NJ110">
        <v>1.6381399999999999</v>
      </c>
      <c r="NK110">
        <v>1.3032300000000001</v>
      </c>
      <c r="NL110">
        <v>1.52332</v>
      </c>
      <c r="NM110">
        <v>1.43801</v>
      </c>
      <c r="NN110">
        <v>1.3577600000000001</v>
      </c>
      <c r="NO110">
        <v>1.31941</v>
      </c>
      <c r="NP110">
        <v>1.9185300000000001</v>
      </c>
      <c r="NZ110" t="s">
        <v>665</v>
      </c>
      <c r="OA110">
        <v>295.05500000000001</v>
      </c>
      <c r="OC110" t="s">
        <v>650</v>
      </c>
      <c r="OD110">
        <v>219.64599999999999</v>
      </c>
      <c r="OF110" t="s">
        <v>896</v>
      </c>
      <c r="OG110">
        <v>286.70699999999999</v>
      </c>
      <c r="PD110">
        <v>-100</v>
      </c>
      <c r="PE110">
        <v>5.94</v>
      </c>
      <c r="QC110">
        <v>-98.07</v>
      </c>
      <c r="QD110">
        <v>5.55</v>
      </c>
      <c r="RA110">
        <v>-91.46</v>
      </c>
      <c r="RB110">
        <v>3.41</v>
      </c>
    </row>
    <row r="111" spans="171:470" ht="13.15" x14ac:dyDescent="0.4">
      <c r="FO111" t="s">
        <v>661</v>
      </c>
      <c r="FP111">
        <v>78.05</v>
      </c>
      <c r="FS111" t="s">
        <v>661</v>
      </c>
      <c r="FT111">
        <f>63*FP111/100</f>
        <v>49.171499999999995</v>
      </c>
      <c r="FX111" s="1">
        <f>AVERAGE(Supplementary_Fig7!FX107:FX110)</f>
        <v>50.055599999999998</v>
      </c>
      <c r="FY111" s="1">
        <f>AVERAGE(Supplementary_Fig7!FY107:FY110)</f>
        <v>55.795633333333335</v>
      </c>
      <c r="GH111" t="s">
        <v>648</v>
      </c>
      <c r="GJ111">
        <v>63.28</v>
      </c>
      <c r="GL111" t="s">
        <v>648</v>
      </c>
      <c r="GN111">
        <f>63*GJ111/100</f>
        <v>39.866399999999999</v>
      </c>
      <c r="GQ111" s="1">
        <f t="shared" ref="GQ111:GX111" si="27">AVERAGE(GQ107:GQ110)</f>
        <v>71.572000000000003</v>
      </c>
      <c r="GR111" s="1">
        <f t="shared" si="27"/>
        <v>78.063950000000006</v>
      </c>
      <c r="GS111" s="1">
        <f t="shared" si="27"/>
        <v>89.556849999999997</v>
      </c>
      <c r="GT111" s="1">
        <f t="shared" si="27"/>
        <v>74.983599999999996</v>
      </c>
      <c r="GU111" s="1">
        <f t="shared" si="27"/>
        <v>58.885424999999998</v>
      </c>
      <c r="GV111" s="1">
        <f t="shared" si="27"/>
        <v>58.583775000000003</v>
      </c>
      <c r="GW111" s="1">
        <f t="shared" si="27"/>
        <v>74.43965</v>
      </c>
      <c r="GX111" s="1">
        <f t="shared" si="27"/>
        <v>63.289333333333332</v>
      </c>
      <c r="GZ111" t="s">
        <v>1098</v>
      </c>
      <c r="HB111">
        <v>21.79</v>
      </c>
      <c r="HD111" t="s">
        <v>1098</v>
      </c>
      <c r="HF111">
        <f>63*Supplementary_Fig7!HB111/100</f>
        <v>13.7277</v>
      </c>
      <c r="HJ111" t="s">
        <v>1098</v>
      </c>
      <c r="HK111" t="s">
        <v>1099</v>
      </c>
      <c r="HL111" t="s">
        <v>1100</v>
      </c>
      <c r="HM111" t="s">
        <v>1101</v>
      </c>
      <c r="HN111" t="s">
        <v>1102</v>
      </c>
      <c r="HO111" t="s">
        <v>1103</v>
      </c>
      <c r="HP111" t="s">
        <v>1104</v>
      </c>
      <c r="HV111" t="s">
        <v>659</v>
      </c>
      <c r="HW111">
        <v>91.09</v>
      </c>
      <c r="HZ111">
        <v>98.860200000000006</v>
      </c>
      <c r="IA111">
        <v>94.088700000000003</v>
      </c>
      <c r="IB111">
        <v>70.211799999999997</v>
      </c>
      <c r="IC111">
        <v>104.749</v>
      </c>
      <c r="ID111">
        <v>76.939400000000006</v>
      </c>
      <c r="IE111">
        <v>95.581100000000006</v>
      </c>
      <c r="IF111">
        <v>95.568799999999996</v>
      </c>
      <c r="IG111">
        <v>100.809</v>
      </c>
      <c r="IH111">
        <v>102.621</v>
      </c>
      <c r="II111">
        <v>82.548500000000004</v>
      </c>
      <c r="IJ111">
        <v>85.531599999999997</v>
      </c>
      <c r="IK111">
        <v>62.779200000000003</v>
      </c>
      <c r="IL111">
        <v>96.862799999999993</v>
      </c>
      <c r="IM111">
        <v>79.678299999999993</v>
      </c>
      <c r="IN111">
        <v>86.434899999999999</v>
      </c>
      <c r="IO111">
        <v>94.314599999999999</v>
      </c>
      <c r="IP111">
        <v>65.240499999999997</v>
      </c>
      <c r="IQ111">
        <v>78.729200000000006</v>
      </c>
      <c r="IR111">
        <v>116.34099999999999</v>
      </c>
      <c r="IS111">
        <v>74.391199999999998</v>
      </c>
      <c r="IT111">
        <v>81.4255</v>
      </c>
      <c r="IU111">
        <v>87.055999999999997</v>
      </c>
      <c r="IX111" t="s">
        <v>652</v>
      </c>
      <c r="IY111">
        <v>102.44</v>
      </c>
      <c r="JB111">
        <v>96.690399999999997</v>
      </c>
      <c r="JD111">
        <v>113.776</v>
      </c>
      <c r="JF111">
        <f>AVERAGE(JF99:JF110)</f>
        <v>107.63153333333334</v>
      </c>
      <c r="JG111">
        <f>AVERAGE(JG99:JG110)</f>
        <v>96.867000000000004</v>
      </c>
      <c r="JH111">
        <v>121.00700000000001</v>
      </c>
      <c r="JI111">
        <v>91.507000000000005</v>
      </c>
      <c r="JJ111">
        <f>AVERAGE(JJ99:JJ110)</f>
        <v>102.64008333333334</v>
      </c>
      <c r="JK111">
        <f>AVERAGE(JK99:JK110)</f>
        <v>97.007000000000005</v>
      </c>
      <c r="JL111">
        <v>83.766199999999998</v>
      </c>
      <c r="JM111">
        <v>89.0625</v>
      </c>
      <c r="JO111">
        <v>90.658600000000007</v>
      </c>
      <c r="JR111">
        <v>97.755399999999995</v>
      </c>
      <c r="JS111">
        <v>100.122</v>
      </c>
      <c r="JV111" t="s">
        <v>1088</v>
      </c>
      <c r="JW111">
        <v>98.27</v>
      </c>
      <c r="JZ111">
        <v>100.47799999999999</v>
      </c>
      <c r="KA111">
        <v>91.082800000000006</v>
      </c>
      <c r="KB111">
        <v>94.029200000000003</v>
      </c>
      <c r="KC111">
        <v>123.28</v>
      </c>
      <c r="KD111">
        <v>89.654499999999999</v>
      </c>
      <c r="KE111">
        <v>96.906999999999996</v>
      </c>
      <c r="KF111">
        <v>118.26</v>
      </c>
      <c r="KG111">
        <v>115.363</v>
      </c>
      <c r="KH111">
        <v>102.96599999999999</v>
      </c>
      <c r="KJ111">
        <v>94.824200000000005</v>
      </c>
      <c r="KK111">
        <v>99.636799999999994</v>
      </c>
      <c r="KL111">
        <v>126.996</v>
      </c>
      <c r="KM111">
        <v>103.842</v>
      </c>
      <c r="KN111">
        <v>116.63800000000001</v>
      </c>
      <c r="KT111" t="s">
        <v>659</v>
      </c>
      <c r="KU111">
        <v>1.43</v>
      </c>
      <c r="KY111">
        <v>1.5122800000000001</v>
      </c>
      <c r="KZ111">
        <v>2.3680599999999998</v>
      </c>
      <c r="LA111">
        <v>1.3767499999999999</v>
      </c>
      <c r="LB111">
        <v>2.26118</v>
      </c>
      <c r="LC111">
        <v>2.3490899999999999</v>
      </c>
      <c r="LD111">
        <v>1.32416</v>
      </c>
      <c r="LE111">
        <v>2.5811299999999999</v>
      </c>
      <c r="LF111">
        <v>1.57406</v>
      </c>
      <c r="LG111">
        <v>2.0779299999999998</v>
      </c>
      <c r="LH111">
        <v>1.4564699999999999</v>
      </c>
      <c r="LI111">
        <v>1.31131</v>
      </c>
      <c r="LJ111">
        <v>1.71956</v>
      </c>
      <c r="LK111">
        <v>1.56938</v>
      </c>
      <c r="LL111">
        <v>1.3857999999999999</v>
      </c>
      <c r="LM111">
        <v>1.55511</v>
      </c>
      <c r="LN111">
        <v>1.45302</v>
      </c>
      <c r="LO111">
        <v>1.4311</v>
      </c>
      <c r="LP111">
        <v>1.53712</v>
      </c>
      <c r="LQ111">
        <v>1.44716</v>
      </c>
      <c r="LR111">
        <v>1.6930400000000001</v>
      </c>
      <c r="LW111" t="s">
        <v>652</v>
      </c>
      <c r="LX111">
        <v>1.9</v>
      </c>
      <c r="MD111">
        <v>1.8926000000000001</v>
      </c>
      <c r="ME111">
        <v>1.56148</v>
      </c>
      <c r="MG111">
        <v>1.38019</v>
      </c>
      <c r="MJ111">
        <f>AVERAGE(MJ97:MJ110)</f>
        <v>1.6226964285714285</v>
      </c>
      <c r="MP111">
        <f>AVERAGE(MP97:MP110)</f>
        <v>1.5244721428571428</v>
      </c>
      <c r="MZ111" t="s">
        <v>1088</v>
      </c>
      <c r="NA111">
        <v>1.64</v>
      </c>
      <c r="ND111">
        <v>1.3900300000000001</v>
      </c>
      <c r="NF111">
        <v>1.39778</v>
      </c>
      <c r="NG111">
        <v>1.63384</v>
      </c>
      <c r="NH111">
        <v>1.51773</v>
      </c>
      <c r="NI111">
        <v>1.3878999999999999</v>
      </c>
      <c r="NJ111">
        <v>1.70886</v>
      </c>
      <c r="NK111">
        <v>1.32552</v>
      </c>
      <c r="NL111">
        <v>1.6004</v>
      </c>
      <c r="NM111">
        <v>1.4305300000000001</v>
      </c>
      <c r="NN111">
        <v>1.36792</v>
      </c>
      <c r="NO111">
        <v>1.3058399999999999</v>
      </c>
      <c r="NP111">
        <v>1.9699800000000001</v>
      </c>
      <c r="NZ111" t="s">
        <v>667</v>
      </c>
      <c r="OA111">
        <v>240.04900000000001</v>
      </c>
      <c r="OC111" t="s">
        <v>652</v>
      </c>
      <c r="OD111">
        <v>219.59100000000001</v>
      </c>
      <c r="OF111" t="s">
        <v>1105</v>
      </c>
      <c r="OG111">
        <v>185.40899999999999</v>
      </c>
      <c r="PD111">
        <v>-100</v>
      </c>
      <c r="PE111">
        <v>14.9</v>
      </c>
      <c r="QC111">
        <v>-98.13</v>
      </c>
      <c r="QD111">
        <v>1.96</v>
      </c>
      <c r="RA111">
        <v>-91.47</v>
      </c>
      <c r="RB111">
        <v>4.0199999999999996</v>
      </c>
    </row>
    <row r="112" spans="171:470" x14ac:dyDescent="0.35">
      <c r="FO112" t="s">
        <v>663</v>
      </c>
      <c r="FQ112">
        <v>29.88</v>
      </c>
      <c r="FS112" t="s">
        <v>663</v>
      </c>
      <c r="FU112">
        <f t="shared" ref="FU112:FU120" si="28">63*FQ112/100</f>
        <v>18.824399999999997</v>
      </c>
      <c r="GH112" t="s">
        <v>650</v>
      </c>
      <c r="GJ112">
        <v>95.27</v>
      </c>
      <c r="GL112" t="s">
        <v>650</v>
      </c>
      <c r="GN112">
        <f>63*GJ112/100</f>
        <v>60.020099999999992</v>
      </c>
      <c r="GZ112" t="s">
        <v>1099</v>
      </c>
      <c r="HB112">
        <v>52.8</v>
      </c>
      <c r="HD112" t="s">
        <v>1099</v>
      </c>
      <c r="HF112">
        <f>63*Supplementary_Fig7!HB112/100</f>
        <v>33.263999999999996</v>
      </c>
      <c r="HJ112">
        <v>20.130600000000001</v>
      </c>
      <c r="HK112">
        <v>53.297899999999998</v>
      </c>
      <c r="HL112">
        <v>31.073</v>
      </c>
      <c r="HM112">
        <v>21.4602</v>
      </c>
      <c r="HN112">
        <v>56.688899999999997</v>
      </c>
      <c r="HO112">
        <v>18.478999999999999</v>
      </c>
      <c r="HP112">
        <v>55.067999999999998</v>
      </c>
      <c r="HV112" t="s">
        <v>661</v>
      </c>
      <c r="HW112">
        <v>91.22</v>
      </c>
      <c r="HZ112">
        <v>104.373</v>
      </c>
      <c r="IA112">
        <v>98.643500000000003</v>
      </c>
      <c r="IB112">
        <v>69.816599999999994</v>
      </c>
      <c r="IC112">
        <v>102.229</v>
      </c>
      <c r="ID112">
        <v>101.529</v>
      </c>
      <c r="IE112">
        <v>95.729100000000003</v>
      </c>
      <c r="IF112">
        <v>97.435000000000002</v>
      </c>
      <c r="IG112">
        <v>101.10899999999999</v>
      </c>
      <c r="IH112">
        <v>103.97</v>
      </c>
      <c r="II112">
        <v>83.258099999999999</v>
      </c>
      <c r="IJ112">
        <v>86.189300000000003</v>
      </c>
      <c r="IK112">
        <v>63.131700000000002</v>
      </c>
      <c r="IL112">
        <v>97.511300000000006</v>
      </c>
      <c r="IM112">
        <v>80.397000000000006</v>
      </c>
      <c r="IN112">
        <v>90.377799999999993</v>
      </c>
      <c r="IO112">
        <v>94.851699999999994</v>
      </c>
      <c r="IP112">
        <v>73.341399999999993</v>
      </c>
      <c r="IQ112">
        <v>99.105800000000002</v>
      </c>
      <c r="IR112">
        <v>118.15600000000001</v>
      </c>
      <c r="IS112">
        <v>73.759500000000003</v>
      </c>
      <c r="IT112">
        <v>81.587199999999996</v>
      </c>
      <c r="IU112">
        <v>85.522499999999994</v>
      </c>
      <c r="IX112" t="s">
        <v>654</v>
      </c>
      <c r="IY112">
        <v>84.82</v>
      </c>
      <c r="JB112">
        <f>AVERAGE(JB99:JB111)</f>
        <v>95.002038461538461</v>
      </c>
      <c r="JD112">
        <f>AVERAGE(JD99:JD111)</f>
        <v>96.803915384615394</v>
      </c>
      <c r="JH112">
        <f>AVERAGE(JH99:JH111)</f>
        <v>113.50879230769229</v>
      </c>
      <c r="JI112">
        <f>AVERAGE(JI99:JI111)</f>
        <v>94.120676923076928</v>
      </c>
      <c r="JL112">
        <v>83.317599999999999</v>
      </c>
      <c r="JM112">
        <v>89.994799999999998</v>
      </c>
      <c r="JO112">
        <v>92.2256</v>
      </c>
      <c r="JR112">
        <v>95.690899999999999</v>
      </c>
      <c r="JS112">
        <v>99.574299999999994</v>
      </c>
      <c r="JV112" t="s">
        <v>1089</v>
      </c>
      <c r="JW112">
        <v>123.39</v>
      </c>
      <c r="JZ112">
        <v>97.570800000000006</v>
      </c>
      <c r="KA112">
        <v>91.934200000000004</v>
      </c>
      <c r="KB112">
        <v>92.863500000000002</v>
      </c>
      <c r="KC112">
        <v>120.271</v>
      </c>
      <c r="KD112">
        <v>93.801900000000003</v>
      </c>
      <c r="KE112">
        <v>97.344999999999999</v>
      </c>
      <c r="KF112">
        <v>118.919</v>
      </c>
      <c r="KG112">
        <v>117.28400000000001</v>
      </c>
      <c r="KH112">
        <v>100.929</v>
      </c>
      <c r="KJ112">
        <v>95.375100000000003</v>
      </c>
      <c r="KK112">
        <v>98.780799999999999</v>
      </c>
      <c r="KL112">
        <v>118.596</v>
      </c>
      <c r="KM112">
        <v>105.46899999999999</v>
      </c>
      <c r="KN112">
        <v>116.431</v>
      </c>
      <c r="KT112" t="s">
        <v>661</v>
      </c>
      <c r="KU112">
        <v>1.56</v>
      </c>
      <c r="KY112">
        <v>1.4922599999999999</v>
      </c>
      <c r="KZ112">
        <v>2.3201999999999998</v>
      </c>
      <c r="LA112">
        <f>AVERAGE(Supplementary_Fig7!LA97:LA111)</f>
        <v>1.4725950000000001</v>
      </c>
      <c r="LB112">
        <v>2.2173799999999999</v>
      </c>
      <c r="LC112">
        <v>2.3627400000000001</v>
      </c>
      <c r="LD112">
        <v>1.34259</v>
      </c>
      <c r="LE112">
        <v>2.6417600000000001</v>
      </c>
      <c r="LF112">
        <v>1.57555</v>
      </c>
      <c r="LG112">
        <v>1.90307</v>
      </c>
      <c r="LH112">
        <v>1.44851</v>
      </c>
      <c r="LI112">
        <v>1.3017399999999999</v>
      </c>
      <c r="LJ112">
        <v>2.0826699999999998</v>
      </c>
      <c r="LK112">
        <v>1.54606</v>
      </c>
      <c r="LL112">
        <v>1.3933800000000001</v>
      </c>
      <c r="LM112">
        <v>1.65056</v>
      </c>
      <c r="LN112">
        <v>1.4493499999999999</v>
      </c>
      <c r="LO112">
        <v>1.4511799999999999</v>
      </c>
      <c r="LP112">
        <f>AVERAGE(Supplementary_Fig7!LP97:LP111)</f>
        <v>1.532842857142857</v>
      </c>
      <c r="LQ112">
        <v>1.3991499999999999</v>
      </c>
      <c r="LR112">
        <v>1.71109</v>
      </c>
      <c r="LW112" t="s">
        <v>654</v>
      </c>
      <c r="LX112">
        <v>1.81</v>
      </c>
      <c r="MD112">
        <f>AVERAGE(MD97:MD111)</f>
        <v>1.9045626666666668</v>
      </c>
      <c r="ME112">
        <f>AVERAGE(ME97:ME111)</f>
        <v>1.6157773333333334</v>
      </c>
      <c r="MG112">
        <v>1.4263999999999999</v>
      </c>
      <c r="MZ112" t="s">
        <v>1089</v>
      </c>
      <c r="NA112">
        <v>1.5</v>
      </c>
      <c r="ND112">
        <v>1.41717</v>
      </c>
      <c r="NF112">
        <v>1.3851899999999999</v>
      </c>
      <c r="NG112">
        <v>1.6526000000000001</v>
      </c>
      <c r="NH112">
        <v>1.4605399999999999</v>
      </c>
      <c r="NI112">
        <v>1.3913800000000001</v>
      </c>
      <c r="NJ112">
        <v>1.6995899999999999</v>
      </c>
      <c r="NK112">
        <v>1.2974600000000001</v>
      </c>
      <c r="NL112">
        <v>1.60734</v>
      </c>
      <c r="NM112">
        <v>1.4335899999999999</v>
      </c>
      <c r="NN112">
        <v>1.3732200000000001</v>
      </c>
      <c r="NO112">
        <v>1.3150500000000001</v>
      </c>
      <c r="NP112">
        <v>1.9878100000000001</v>
      </c>
      <c r="NZ112" t="s">
        <v>669</v>
      </c>
      <c r="OA112">
        <v>245.36</v>
      </c>
      <c r="OC112" t="s">
        <v>654</v>
      </c>
      <c r="OD112">
        <v>244.661</v>
      </c>
      <c r="OF112" t="s">
        <v>1106</v>
      </c>
      <c r="OG112">
        <v>256.315</v>
      </c>
      <c r="PD112">
        <v>-100</v>
      </c>
      <c r="PE112">
        <v>6.73</v>
      </c>
      <c r="QC112">
        <v>-98.15</v>
      </c>
      <c r="QD112">
        <v>4.75</v>
      </c>
      <c r="RA112">
        <v>-91.47</v>
      </c>
      <c r="RB112">
        <v>2.17</v>
      </c>
    </row>
    <row r="113" spans="171:470" x14ac:dyDescent="0.35">
      <c r="FO113" t="s">
        <v>665</v>
      </c>
      <c r="FQ113">
        <v>56.05</v>
      </c>
      <c r="FS113" t="s">
        <v>665</v>
      </c>
      <c r="FU113">
        <f t="shared" si="28"/>
        <v>35.311499999999995</v>
      </c>
      <c r="FW113" t="s">
        <v>657</v>
      </c>
      <c r="FX113" t="s">
        <v>659</v>
      </c>
      <c r="FY113" t="s">
        <v>661</v>
      </c>
      <c r="FZ113" t="s">
        <v>663</v>
      </c>
      <c r="GA113" t="s">
        <v>665</v>
      </c>
      <c r="GB113" t="s">
        <v>667</v>
      </c>
      <c r="GH113" t="s">
        <v>652</v>
      </c>
      <c r="GJ113">
        <v>74.23</v>
      </c>
      <c r="GL113" t="s">
        <v>652</v>
      </c>
      <c r="GN113">
        <f>63*GJ113/100</f>
        <v>46.764900000000004</v>
      </c>
      <c r="GQ113" t="s">
        <v>650</v>
      </c>
      <c r="GR113" t="s">
        <v>652</v>
      </c>
      <c r="GS113" t="s">
        <v>654</v>
      </c>
      <c r="GT113" t="s">
        <v>656</v>
      </c>
      <c r="GU113" t="s">
        <v>658</v>
      </c>
      <c r="GV113" t="s">
        <v>660</v>
      </c>
      <c r="GW113" t="s">
        <v>662</v>
      </c>
      <c r="GZ113" t="s">
        <v>1100</v>
      </c>
      <c r="HB113">
        <v>28.58</v>
      </c>
      <c r="HD113" t="s">
        <v>1100</v>
      </c>
      <c r="HF113">
        <f>63*Supplementary_Fig7!HB113/100</f>
        <v>18.005399999999998</v>
      </c>
      <c r="HJ113">
        <v>21.6111</v>
      </c>
      <c r="HK113">
        <v>57.712699999999998</v>
      </c>
      <c r="HL113">
        <v>28.9343</v>
      </c>
      <c r="HM113">
        <v>16.525700000000001</v>
      </c>
      <c r="HN113">
        <v>48.287500000000001</v>
      </c>
      <c r="HO113">
        <v>17.654</v>
      </c>
      <c r="HP113">
        <v>66.435100000000006</v>
      </c>
      <c r="HV113" t="s">
        <v>663</v>
      </c>
      <c r="HW113">
        <v>93.78</v>
      </c>
      <c r="HZ113">
        <v>100.508</v>
      </c>
      <c r="IA113">
        <v>100.699</v>
      </c>
      <c r="IB113">
        <v>72.993499999999997</v>
      </c>
      <c r="IC113">
        <v>104.176</v>
      </c>
      <c r="ID113">
        <f>AVERAGE(Supplementary_Fig7!ID98:ID112)</f>
        <v>81.457453333333333</v>
      </c>
      <c r="IE113">
        <v>94.491600000000005</v>
      </c>
      <c r="IF113">
        <v>99.208100000000002</v>
      </c>
      <c r="IG113">
        <v>102.22799999999999</v>
      </c>
      <c r="IH113">
        <v>104.863</v>
      </c>
      <c r="II113">
        <v>86.436499999999995</v>
      </c>
      <c r="IJ113">
        <f>AVERAGE(Supplementary_Fig7!IJ98:IJ112)</f>
        <v>87.98869333333333</v>
      </c>
      <c r="IK113">
        <v>93.106099999999998</v>
      </c>
      <c r="IL113">
        <v>96.852099999999993</v>
      </c>
      <c r="IM113">
        <v>80.966200000000001</v>
      </c>
      <c r="IN113">
        <v>91.827399999999997</v>
      </c>
      <c r="IO113">
        <v>95.498699999999999</v>
      </c>
      <c r="IP113">
        <v>74.032600000000002</v>
      </c>
      <c r="IQ113">
        <v>99.339299999999994</v>
      </c>
      <c r="IR113">
        <v>117.137</v>
      </c>
      <c r="IS113">
        <v>66.696200000000005</v>
      </c>
      <c r="IT113">
        <v>80.609099999999998</v>
      </c>
      <c r="IU113">
        <v>86.416600000000003</v>
      </c>
      <c r="IX113" t="s">
        <v>656</v>
      </c>
      <c r="IY113">
        <v>103.54</v>
      </c>
      <c r="JL113">
        <v>80.726600000000005</v>
      </c>
      <c r="JM113">
        <v>88.751199999999997</v>
      </c>
      <c r="JO113">
        <v>91.421499999999995</v>
      </c>
      <c r="JR113">
        <v>95.849599999999995</v>
      </c>
      <c r="JS113">
        <f>AVERAGE(JS99:JS112)</f>
        <v>107.94034285714285</v>
      </c>
      <c r="JV113" t="s">
        <v>1090</v>
      </c>
      <c r="JW113">
        <v>110.97</v>
      </c>
      <c r="JZ113">
        <v>99.028000000000006</v>
      </c>
      <c r="KA113">
        <v>91.297899999999998</v>
      </c>
      <c r="KB113">
        <v>91.159099999999995</v>
      </c>
      <c r="KC113">
        <v>126.039</v>
      </c>
      <c r="KD113">
        <v>93.106099999999998</v>
      </c>
      <c r="KE113">
        <v>96.965000000000003</v>
      </c>
      <c r="KF113">
        <v>117.598</v>
      </c>
      <c r="KG113">
        <v>113.435</v>
      </c>
      <c r="KH113">
        <v>102.357</v>
      </c>
      <c r="KJ113">
        <v>96.571399999999997</v>
      </c>
      <c r="KK113">
        <v>98.007199999999997</v>
      </c>
      <c r="KL113">
        <v>125.676</v>
      </c>
      <c r="KM113">
        <v>114.02</v>
      </c>
      <c r="KN113">
        <v>116.82299999999999</v>
      </c>
      <c r="KT113" t="s">
        <v>663</v>
      </c>
      <c r="KU113">
        <v>1.53</v>
      </c>
      <c r="KY113">
        <f>AVERAGE(Supplementary_Fig7!KY97:KY112)</f>
        <v>1.5606724999999999</v>
      </c>
      <c r="KZ113">
        <f>AVERAGE(Supplementary_Fig7!KZ97:KZ112)</f>
        <v>2.5484675000000001</v>
      </c>
      <c r="LB113">
        <f>AVERAGE(Supplementary_Fig7!LB97:LB112)</f>
        <v>2.6062275000000001</v>
      </c>
      <c r="LC113">
        <f>AVERAGE(Supplementary_Fig7!LC97:LC112)</f>
        <v>3.0136549999999995</v>
      </c>
      <c r="LD113">
        <f>AVERAGE(Supplementary_Fig7!LD97:LD112)</f>
        <v>1.3611774999999999</v>
      </c>
      <c r="LE113">
        <f>AVERAGE(Supplementary_Fig7!LE97:LE112)</f>
        <v>2.6753813333333336</v>
      </c>
      <c r="LF113">
        <f>AVERAGE(Supplementary_Fig7!LF97:LF112)</f>
        <v>1.6085166666666668</v>
      </c>
      <c r="LG113">
        <f>AVERAGE(Supplementary_Fig7!LG97:LG112)</f>
        <v>1.7418100000000001</v>
      </c>
      <c r="LH113">
        <f>AVERAGE(Supplementary_Fig7!LH97:LH112)</f>
        <v>1.4620806249999996</v>
      </c>
      <c r="LI113">
        <f>AVERAGE(Supplementary_Fig7!LI97:LI112)</f>
        <v>1.2722093750000001</v>
      </c>
      <c r="LJ113">
        <f>AVERAGE(Supplementary_Fig7!LJ97:LJ112)</f>
        <v>1.8673943749999999</v>
      </c>
      <c r="LK113">
        <f>AVERAGE(Supplementary_Fig7!LK97:LK112)</f>
        <v>1.6077575</v>
      </c>
      <c r="LL113">
        <f>AVERAGE(Supplementary_Fig7!LL97:LL112)</f>
        <v>1.4217950000000001</v>
      </c>
      <c r="LM113">
        <f>AVERAGE(Supplementary_Fig7!LM97:LM112)</f>
        <v>1.5108675000000003</v>
      </c>
      <c r="LN113">
        <f>AVERAGE(Supplementary_Fig7!LN97:LN112)</f>
        <v>1.4317681249999998</v>
      </c>
      <c r="LO113">
        <f>AVERAGE(Supplementary_Fig7!LO97:LO112)</f>
        <v>1.5634275</v>
      </c>
      <c r="LQ113">
        <f>AVERAGE(Supplementary_Fig7!LQ97:LQ112)</f>
        <v>1.4919919999999998</v>
      </c>
      <c r="LR113">
        <f>AVERAGE(Supplementary_Fig7!LR97:LR112)</f>
        <v>1.6358262499999998</v>
      </c>
      <c r="LW113" t="s">
        <v>656</v>
      </c>
      <c r="LX113">
        <v>2.04</v>
      </c>
      <c r="MG113">
        <f>AVERAGE(MG97:MG112)</f>
        <v>1.406708125</v>
      </c>
      <c r="MZ113" t="s">
        <v>1090</v>
      </c>
      <c r="NA113">
        <v>1.38</v>
      </c>
      <c r="ND113">
        <v>1.41177</v>
      </c>
      <c r="NF113">
        <v>1.3892800000000001</v>
      </c>
      <c r="NG113">
        <v>1.6301000000000001</v>
      </c>
      <c r="NH113">
        <v>1.47113</v>
      </c>
      <c r="NI113">
        <v>1.39134</v>
      </c>
      <c r="NJ113">
        <v>1.71631</v>
      </c>
      <c r="NK113">
        <v>1.3353699999999999</v>
      </c>
      <c r="NL113">
        <v>1.5426899999999999</v>
      </c>
      <c r="NM113">
        <v>1.49281</v>
      </c>
      <c r="NN113">
        <v>1.37</v>
      </c>
      <c r="NO113">
        <v>1.32622</v>
      </c>
      <c r="NP113">
        <v>2.0240900000000002</v>
      </c>
      <c r="NZ113" t="s">
        <v>671</v>
      </c>
      <c r="OA113">
        <v>276.87599999999998</v>
      </c>
      <c r="OC113" t="s">
        <v>656</v>
      </c>
      <c r="OD113">
        <v>216.96199999999999</v>
      </c>
      <c r="OF113" t="s">
        <v>1107</v>
      </c>
      <c r="OG113">
        <v>75.213700000000003</v>
      </c>
      <c r="QC113">
        <v>-98.16</v>
      </c>
      <c r="QD113">
        <v>4.9400000000000004</v>
      </c>
      <c r="RA113">
        <v>-91.49</v>
      </c>
      <c r="RB113">
        <v>2.02</v>
      </c>
    </row>
    <row r="114" spans="171:470" x14ac:dyDescent="0.35">
      <c r="FO114" t="s">
        <v>667</v>
      </c>
      <c r="FQ114">
        <v>37.01</v>
      </c>
      <c r="FS114" t="s">
        <v>667</v>
      </c>
      <c r="FU114">
        <f t="shared" si="28"/>
        <v>23.316299999999998</v>
      </c>
      <c r="FW114">
        <v>40.479900000000001</v>
      </c>
      <c r="FX114">
        <v>45.968899999999998</v>
      </c>
      <c r="FY114">
        <v>103.27500000000001</v>
      </c>
      <c r="FZ114">
        <v>26.846399999999999</v>
      </c>
      <c r="GA114">
        <v>61.845399999999998</v>
      </c>
      <c r="GB114">
        <v>37.8416</v>
      </c>
      <c r="GH114" t="s">
        <v>654</v>
      </c>
      <c r="GJ114">
        <v>108.44</v>
      </c>
      <c r="GL114" t="s">
        <v>654</v>
      </c>
      <c r="GN114">
        <f>63*GJ114/100</f>
        <v>68.3172</v>
      </c>
      <c r="GQ114">
        <v>91.026300000000006</v>
      </c>
      <c r="GR114">
        <v>68.241399999999999</v>
      </c>
      <c r="GS114">
        <v>117.20699999999999</v>
      </c>
      <c r="GT114">
        <v>187.65299999999999</v>
      </c>
      <c r="GU114">
        <v>123.324</v>
      </c>
      <c r="GV114">
        <v>119.30800000000001</v>
      </c>
      <c r="GW114">
        <v>116.042</v>
      </c>
      <c r="GZ114" t="s">
        <v>1101</v>
      </c>
      <c r="HB114">
        <v>18.010000000000002</v>
      </c>
      <c r="HD114" t="s">
        <v>1101</v>
      </c>
      <c r="HF114">
        <f>63*Supplementary_Fig7!HB114/100</f>
        <v>11.346300000000001</v>
      </c>
      <c r="HJ114">
        <v>23.6495</v>
      </c>
      <c r="HK114">
        <v>47.6693</v>
      </c>
      <c r="HL114">
        <v>25.750800000000002</v>
      </c>
      <c r="HM114">
        <v>18.097100000000001</v>
      </c>
      <c r="HP114">
        <v>42.963200000000001</v>
      </c>
      <c r="HV114" t="s">
        <v>665</v>
      </c>
      <c r="HW114">
        <v>100.94</v>
      </c>
      <c r="HZ114">
        <f>AVERAGE(Supplementary_Fig7!HZ98:HZ113)</f>
        <v>92.514781250000013</v>
      </c>
      <c r="IA114">
        <f>AVERAGE(Supplementary_Fig7!IA98:IA113)</f>
        <v>91.040712499999984</v>
      </c>
      <c r="IB114">
        <f>AVERAGE(Supplementary_Fig7!IB98:IB113)</f>
        <v>67.192468750000018</v>
      </c>
      <c r="IC114">
        <f>AVERAGE(Supplementary_Fig7!IC98:IC113)</f>
        <v>91.646443749999989</v>
      </c>
      <c r="IE114">
        <f>AVERAGE(Supplementary_Fig7!IE98:IE113)</f>
        <v>87.181481250000019</v>
      </c>
      <c r="IF114">
        <f>AVERAGE(Supplementary_Fig7!IF98:IF113)</f>
        <v>80.288206250000002</v>
      </c>
      <c r="IG114">
        <f>AVERAGE(Supplementary_Fig7!IG98:IG113)</f>
        <v>94.649056250000001</v>
      </c>
      <c r="IH114">
        <f>AVERAGE(Supplementary_Fig7!IH98:IH113)</f>
        <v>86.26598125000001</v>
      </c>
      <c r="II114">
        <f>AVERAGE(Supplementary_Fig7!II98:II113)</f>
        <v>74.017912499999994</v>
      </c>
      <c r="IK114">
        <f>AVERAGE(Supplementary_Fig7!IK98:IK113)</f>
        <v>68.218137500000012</v>
      </c>
      <c r="IL114">
        <f>AVERAGE(Supplementary_Fig7!IL98:IL113)</f>
        <v>75.726606250000003</v>
      </c>
      <c r="IM114">
        <f>AVERAGE(Supplementary_Fig7!IM98:IM113)</f>
        <v>82.383618749999997</v>
      </c>
      <c r="IN114">
        <f>AVERAGE(Supplementary_Fig7!IN98:IN113)</f>
        <v>84.646962499999987</v>
      </c>
      <c r="IO114">
        <f>AVERAGE(Supplementary_Fig7!IO98:IO113)</f>
        <v>80.881699999999995</v>
      </c>
      <c r="IP114">
        <f>AVERAGE(Supplementary_Fig7!IP98:IP113)</f>
        <v>76.269243750000001</v>
      </c>
      <c r="IQ114">
        <f>AVERAGE(Supplementary_Fig7!IQ98:IQ113)</f>
        <v>82.18021250000001</v>
      </c>
      <c r="IR114">
        <f>AVERAGE(Supplementary_Fig7!IR98:IR113)</f>
        <v>98.978331249999982</v>
      </c>
      <c r="IS114">
        <f>AVERAGE(Supplementary_Fig7!IS98:IS113)</f>
        <v>74.845037500000004</v>
      </c>
      <c r="IT114">
        <f>AVERAGE(Supplementary_Fig7!IT98:IT113)</f>
        <v>82.166093750000002</v>
      </c>
      <c r="IU114">
        <f>AVERAGE(Supplementary_Fig7!IU98:IU113)</f>
        <v>87.538137500000005</v>
      </c>
      <c r="IX114" t="s">
        <v>658</v>
      </c>
      <c r="IY114">
        <v>89.26</v>
      </c>
      <c r="JL114">
        <f>AVERAGE(JL99:JL113)</f>
        <v>98.407153333333326</v>
      </c>
      <c r="JM114">
        <f>AVERAGE(JM99:JM113)</f>
        <v>102.05923333333332</v>
      </c>
      <c r="JO114">
        <v>92.207300000000004</v>
      </c>
      <c r="JR114">
        <f>AVERAGE(JR99:JR113)</f>
        <v>107.20638000000001</v>
      </c>
      <c r="JV114" t="s">
        <v>1091</v>
      </c>
      <c r="JW114">
        <v>114.34</v>
      </c>
      <c r="JZ114">
        <v>96.855199999999996</v>
      </c>
      <c r="KA114">
        <v>101.843</v>
      </c>
      <c r="KB114">
        <v>93.357799999999997</v>
      </c>
      <c r="KC114">
        <v>125.319</v>
      </c>
      <c r="KD114">
        <v>91.796899999999994</v>
      </c>
      <c r="KE114">
        <v>100.06</v>
      </c>
      <c r="KF114">
        <v>118.721</v>
      </c>
      <c r="KG114">
        <v>115.875</v>
      </c>
      <c r="KH114">
        <v>102.242</v>
      </c>
      <c r="KJ114">
        <v>96.548500000000004</v>
      </c>
      <c r="KK114">
        <v>98.515299999999996</v>
      </c>
      <c r="KL114">
        <v>126.878</v>
      </c>
      <c r="KM114">
        <v>116.541</v>
      </c>
      <c r="KN114">
        <v>117.992</v>
      </c>
      <c r="KT114" t="s">
        <v>665</v>
      </c>
      <c r="KU114">
        <v>1.49</v>
      </c>
      <c r="LW114" t="s">
        <v>658</v>
      </c>
      <c r="LX114">
        <v>1.8</v>
      </c>
      <c r="MZ114" t="s">
        <v>1091</v>
      </c>
      <c r="NA114">
        <v>1.66</v>
      </c>
      <c r="ND114">
        <v>1.4384699999999999</v>
      </c>
      <c r="NF114">
        <v>1.3845499999999999</v>
      </c>
      <c r="NG114">
        <v>1.6361699999999999</v>
      </c>
      <c r="NH114">
        <v>1.56152</v>
      </c>
      <c r="NI114">
        <v>1.4007700000000001</v>
      </c>
      <c r="NJ114">
        <v>1.63985</v>
      </c>
      <c r="NK114">
        <v>1.34501</v>
      </c>
      <c r="NL114">
        <v>1.55674</v>
      </c>
      <c r="NM114">
        <v>1.4899100000000001</v>
      </c>
      <c r="NN114">
        <v>1.3649899999999999</v>
      </c>
      <c r="NO114">
        <v>1.30583</v>
      </c>
      <c r="NP114">
        <v>2.1176599999999999</v>
      </c>
      <c r="NZ114" t="s">
        <v>673</v>
      </c>
      <c r="OA114">
        <v>112.508</v>
      </c>
      <c r="OC114" t="s">
        <v>658</v>
      </c>
      <c r="OD114">
        <v>284.55399999999997</v>
      </c>
      <c r="OF114" t="s">
        <v>1108</v>
      </c>
      <c r="OG114">
        <v>298.96300000000002</v>
      </c>
      <c r="QC114">
        <v>-98.59</v>
      </c>
      <c r="QD114">
        <v>3.53</v>
      </c>
      <c r="RA114">
        <v>-91.51</v>
      </c>
      <c r="RB114">
        <v>3.87</v>
      </c>
    </row>
    <row r="115" spans="171:470" x14ac:dyDescent="0.35">
      <c r="FO115" t="s">
        <v>669</v>
      </c>
      <c r="FQ115">
        <v>84.16</v>
      </c>
      <c r="FS115" t="s">
        <v>669</v>
      </c>
      <c r="FU115">
        <f t="shared" si="28"/>
        <v>53.020800000000001</v>
      </c>
      <c r="FW115">
        <v>23.632100000000001</v>
      </c>
      <c r="FX115">
        <v>55.714100000000002</v>
      </c>
      <c r="FY115">
        <v>78.452699999999993</v>
      </c>
      <c r="FZ115">
        <v>30.351500000000001</v>
      </c>
      <c r="GA115">
        <v>60.868699999999997</v>
      </c>
      <c r="GB115">
        <v>36.1965</v>
      </c>
      <c r="GH115" t="s">
        <v>656</v>
      </c>
      <c r="GI115">
        <v>142.25</v>
      </c>
      <c r="GL115" t="s">
        <v>656</v>
      </c>
      <c r="GM115">
        <f>63*GI115/100</f>
        <v>89.617500000000007</v>
      </c>
      <c r="GQ115">
        <v>99.533000000000001</v>
      </c>
      <c r="GR115">
        <v>65.139499999999998</v>
      </c>
      <c r="GS115">
        <v>99.690399999999997</v>
      </c>
      <c r="GT115">
        <v>96.861699999999999</v>
      </c>
      <c r="GU115">
        <v>152.24799999999999</v>
      </c>
      <c r="GV115">
        <v>88.922399999999996</v>
      </c>
      <c r="GZ115" t="s">
        <v>1102</v>
      </c>
      <c r="HB115">
        <v>52.48</v>
      </c>
      <c r="HD115" t="s">
        <v>1102</v>
      </c>
      <c r="HF115">
        <f>63*Supplementary_Fig7!HB115/100</f>
        <v>33.062399999999997</v>
      </c>
      <c r="HK115">
        <v>52.556800000000003</v>
      </c>
      <c r="HM115">
        <v>15.9908</v>
      </c>
      <c r="HP115">
        <v>29.114799999999999</v>
      </c>
      <c r="HV115" t="s">
        <v>667</v>
      </c>
      <c r="HW115">
        <v>84.41</v>
      </c>
      <c r="IX115" t="s">
        <v>660</v>
      </c>
      <c r="IY115">
        <v>85.68</v>
      </c>
      <c r="JO115">
        <f>AVERAGE(JO99:JO114)</f>
        <v>101.47601875000001</v>
      </c>
      <c r="JV115" t="s">
        <v>1092</v>
      </c>
      <c r="JW115">
        <v>85.4</v>
      </c>
      <c r="JZ115">
        <v>97.183199999999999</v>
      </c>
      <c r="KA115">
        <v>101.78700000000001</v>
      </c>
      <c r="KB115">
        <v>90.313699999999997</v>
      </c>
      <c r="KC115">
        <v>125.328</v>
      </c>
      <c r="KD115">
        <v>86.171000000000006</v>
      </c>
      <c r="KE115">
        <v>99.809299999999993</v>
      </c>
      <c r="KF115">
        <v>120.724</v>
      </c>
      <c r="KG115">
        <v>116.13800000000001</v>
      </c>
      <c r="KH115">
        <v>101.532</v>
      </c>
      <c r="KJ115">
        <v>96.400499999999994</v>
      </c>
      <c r="KK115">
        <v>96.9452</v>
      </c>
      <c r="KL115">
        <v>101.509</v>
      </c>
      <c r="KM115">
        <v>115.65600000000001</v>
      </c>
      <c r="KN115">
        <v>120.28400000000001</v>
      </c>
      <c r="KT115" t="s">
        <v>667</v>
      </c>
      <c r="KU115">
        <v>1.63</v>
      </c>
      <c r="LW115" t="s">
        <v>660</v>
      </c>
      <c r="LX115">
        <v>1.77</v>
      </c>
      <c r="MB115" t="s">
        <v>650</v>
      </c>
      <c r="MC115" t="s">
        <v>652</v>
      </c>
      <c r="MD115" t="s">
        <v>654</v>
      </c>
      <c r="ME115" t="s">
        <v>656</v>
      </c>
      <c r="MF115" t="s">
        <v>658</v>
      </c>
      <c r="MG115" t="s">
        <v>660</v>
      </c>
      <c r="MH115" t="s">
        <v>662</v>
      </c>
      <c r="MI115" t="s">
        <v>664</v>
      </c>
      <c r="MJ115" t="s">
        <v>666</v>
      </c>
      <c r="MK115" t="s">
        <v>668</v>
      </c>
      <c r="ML115" t="s">
        <v>670</v>
      </c>
      <c r="MM115" t="s">
        <v>672</v>
      </c>
      <c r="MN115" t="s">
        <v>674</v>
      </c>
      <c r="MZ115" t="s">
        <v>1092</v>
      </c>
      <c r="NA115">
        <v>1.32</v>
      </c>
      <c r="ND115">
        <v>1.4338</v>
      </c>
      <c r="NF115">
        <v>1.5268699999999999</v>
      </c>
      <c r="NG115">
        <v>1.63792</v>
      </c>
      <c r="NH115">
        <v>1.5416799999999999</v>
      </c>
      <c r="NI115">
        <v>1.38602</v>
      </c>
      <c r="NJ115">
        <v>1.6773</v>
      </c>
      <c r="NK115">
        <v>1.3216000000000001</v>
      </c>
      <c r="NL115">
        <v>1.4669700000000001</v>
      </c>
      <c r="NM115">
        <v>1.4534400000000001</v>
      </c>
      <c r="NN115">
        <v>1.3629199999999999</v>
      </c>
      <c r="NO115">
        <v>1.32158</v>
      </c>
      <c r="NP115">
        <v>2.1040199999999998</v>
      </c>
      <c r="NZ115" t="s">
        <v>675</v>
      </c>
      <c r="OA115">
        <v>217.03299999999999</v>
      </c>
      <c r="OC115" t="s">
        <v>660</v>
      </c>
      <c r="OD115">
        <v>268.43700000000001</v>
      </c>
      <c r="OF115" t="s">
        <v>1109</v>
      </c>
      <c r="OG115">
        <v>331.72699999999998</v>
      </c>
      <c r="QC115">
        <v>-98.6</v>
      </c>
      <c r="QD115">
        <v>5.42</v>
      </c>
      <c r="RA115">
        <v>-91.82</v>
      </c>
      <c r="RB115">
        <v>9.99</v>
      </c>
    </row>
    <row r="116" spans="171:470" ht="13.15" x14ac:dyDescent="0.4">
      <c r="FO116" t="s">
        <v>671</v>
      </c>
      <c r="FQ116">
        <v>91.19</v>
      </c>
      <c r="FS116" t="s">
        <v>671</v>
      </c>
      <c r="FU116">
        <f t="shared" si="28"/>
        <v>57.4497</v>
      </c>
      <c r="FW116">
        <v>41.502000000000002</v>
      </c>
      <c r="FX116">
        <v>52.4587</v>
      </c>
      <c r="FY116">
        <v>59.168799999999997</v>
      </c>
      <c r="FZ116">
        <v>28.590199999999999</v>
      </c>
      <c r="GA116">
        <v>40.202599999999997</v>
      </c>
      <c r="GH116" t="s">
        <v>658</v>
      </c>
      <c r="GJ116">
        <v>137.78</v>
      </c>
      <c r="GL116" t="s">
        <v>658</v>
      </c>
      <c r="GN116">
        <f>63*GJ116/100</f>
        <v>86.801400000000001</v>
      </c>
      <c r="GR116">
        <v>89.3172</v>
      </c>
      <c r="GZ116" t="s">
        <v>1103</v>
      </c>
      <c r="HB116">
        <v>18.059999999999999</v>
      </c>
      <c r="HD116" t="s">
        <v>1103</v>
      </c>
      <c r="HF116">
        <f>63*Supplementary_Fig7!HB116/100</f>
        <v>11.377800000000001</v>
      </c>
      <c r="HJ116" s="1">
        <f>AVERAGE(Supplementary_Fig7!HJ112:HJ115)</f>
        <v>21.797066666666666</v>
      </c>
      <c r="HK116" s="1">
        <f>AVERAGE(Supplementary_Fig7!HK112:HK115)</f>
        <v>52.809175000000003</v>
      </c>
      <c r="HL116" s="1">
        <f>AVERAGE(Supplementary_Fig7!HL112:HL115)</f>
        <v>28.586033333333333</v>
      </c>
      <c r="HM116" s="1">
        <f>AVERAGE(Supplementary_Fig7!HM112:HM115)</f>
        <v>18.018450000000001</v>
      </c>
      <c r="HN116" s="1">
        <f>AVERAGE(Supplementary_Fig7!HN112:HN115)</f>
        <v>52.488199999999999</v>
      </c>
      <c r="HO116" s="1">
        <f>AVERAGE(Supplementary_Fig7!HO112:HO115)</f>
        <v>18.066499999999998</v>
      </c>
      <c r="HP116" s="1">
        <f>AVERAGE(Supplementary_Fig7!HP112:HP115)</f>
        <v>48.395274999999998</v>
      </c>
      <c r="HV116" t="s">
        <v>669</v>
      </c>
      <c r="HW116">
        <v>97.11</v>
      </c>
      <c r="HZ116" t="s">
        <v>657</v>
      </c>
      <c r="IA116" t="s">
        <v>659</v>
      </c>
      <c r="IB116" t="s">
        <v>661</v>
      </c>
      <c r="IC116" t="s">
        <v>663</v>
      </c>
      <c r="ID116" t="s">
        <v>665</v>
      </c>
      <c r="IE116" t="s">
        <v>667</v>
      </c>
      <c r="IF116" t="s">
        <v>669</v>
      </c>
      <c r="IG116" t="s">
        <v>671</v>
      </c>
      <c r="IH116" t="s">
        <v>673</v>
      </c>
      <c r="II116" t="s">
        <v>675</v>
      </c>
      <c r="IJ116" t="s">
        <v>677</v>
      </c>
      <c r="IK116" t="s">
        <v>679</v>
      </c>
      <c r="IL116" t="s">
        <v>681</v>
      </c>
      <c r="IM116" t="s">
        <v>683</v>
      </c>
      <c r="IN116" t="s">
        <v>685</v>
      </c>
      <c r="IO116" t="s">
        <v>687</v>
      </c>
      <c r="IX116" t="s">
        <v>662</v>
      </c>
      <c r="IY116">
        <v>89.71</v>
      </c>
      <c r="JV116" t="s">
        <v>1093</v>
      </c>
      <c r="JW116">
        <v>114.92</v>
      </c>
      <c r="JZ116">
        <v>98.3292</v>
      </c>
      <c r="KA116">
        <v>102.777</v>
      </c>
      <c r="KB116">
        <v>91.221599999999995</v>
      </c>
      <c r="KC116">
        <v>124.51300000000001</v>
      </c>
      <c r="KD116">
        <v>90.232799999999997</v>
      </c>
      <c r="KE116">
        <v>100.84699999999999</v>
      </c>
      <c r="KF116">
        <v>119.34699999999999</v>
      </c>
      <c r="KG116">
        <v>114.217</v>
      </c>
      <c r="KH116">
        <v>101.955</v>
      </c>
      <c r="KJ116">
        <v>95.303299999999993</v>
      </c>
      <c r="KK116">
        <v>99.166899999999998</v>
      </c>
      <c r="KL116">
        <v>128.029</v>
      </c>
      <c r="KM116">
        <v>100.40600000000001</v>
      </c>
      <c r="KN116">
        <v>119.611</v>
      </c>
      <c r="KT116" t="s">
        <v>669</v>
      </c>
      <c r="KU116">
        <v>1.69</v>
      </c>
      <c r="KY116" t="s">
        <v>669</v>
      </c>
      <c r="KZ116" t="s">
        <v>671</v>
      </c>
      <c r="LA116" t="s">
        <v>673</v>
      </c>
      <c r="LB116" t="s">
        <v>675</v>
      </c>
      <c r="LC116" t="s">
        <v>677</v>
      </c>
      <c r="LD116" t="s">
        <v>679</v>
      </c>
      <c r="LE116" t="s">
        <v>681</v>
      </c>
      <c r="LF116" t="s">
        <v>683</v>
      </c>
      <c r="LG116" t="s">
        <v>685</v>
      </c>
      <c r="LH116" t="s">
        <v>687</v>
      </c>
      <c r="LW116" t="s">
        <v>662</v>
      </c>
      <c r="LX116">
        <v>1.76</v>
      </c>
      <c r="MB116">
        <v>1.7986599999999999</v>
      </c>
      <c r="MC116">
        <v>1.79887</v>
      </c>
      <c r="MD116">
        <v>1.78424</v>
      </c>
      <c r="ME116">
        <v>1.7816000000000001</v>
      </c>
      <c r="MF116">
        <v>1.74187</v>
      </c>
      <c r="MG116">
        <v>1.7478100000000001</v>
      </c>
      <c r="MH116">
        <v>1.6122700000000001</v>
      </c>
      <c r="MI116">
        <v>1.5161100000000001</v>
      </c>
      <c r="MJ116">
        <v>1.8124</v>
      </c>
      <c r="MK116">
        <v>1.7154700000000001</v>
      </c>
      <c r="ML116">
        <v>1.83372</v>
      </c>
      <c r="MM116">
        <v>1.7124600000000001</v>
      </c>
      <c r="MN116">
        <v>1.7290700000000001</v>
      </c>
      <c r="MZ116" t="s">
        <v>1093</v>
      </c>
      <c r="NA116">
        <v>1.55</v>
      </c>
      <c r="ND116">
        <v>1.4036599999999999</v>
      </c>
      <c r="NF116">
        <v>1.4757800000000001</v>
      </c>
      <c r="NG116">
        <v>1.6754500000000001</v>
      </c>
      <c r="NH116">
        <v>1.51945</v>
      </c>
      <c r="NI116">
        <v>1.3873599999999999</v>
      </c>
      <c r="NJ116">
        <v>1.6967699999999999</v>
      </c>
      <c r="NK116">
        <v>1.3614200000000001</v>
      </c>
      <c r="NL116">
        <v>1.60964</v>
      </c>
      <c r="NM116">
        <f>AVERAGE(Supplementary_Fig7!NM109:NM115)</f>
        <v>1.4518385714285713</v>
      </c>
      <c r="NN116">
        <v>1.36494</v>
      </c>
      <c r="NO116">
        <v>1.34884</v>
      </c>
      <c r="NP116">
        <v>1.86711</v>
      </c>
      <c r="NZ116" t="s">
        <v>677</v>
      </c>
      <c r="OA116">
        <v>136.26400000000001</v>
      </c>
      <c r="OC116" t="s">
        <v>662</v>
      </c>
      <c r="OD116">
        <v>248.2</v>
      </c>
      <c r="OF116" t="s">
        <v>1110</v>
      </c>
      <c r="OG116">
        <v>319.95100000000002</v>
      </c>
      <c r="QC116">
        <v>-98.71</v>
      </c>
      <c r="QD116">
        <v>3.43</v>
      </c>
      <c r="RA116">
        <v>-91.86</v>
      </c>
      <c r="RB116">
        <v>2.56</v>
      </c>
    </row>
    <row r="117" spans="171:470" x14ac:dyDescent="0.35">
      <c r="FO117" t="s">
        <v>673</v>
      </c>
      <c r="FQ117">
        <v>39.76</v>
      </c>
      <c r="FS117" t="s">
        <v>673</v>
      </c>
      <c r="FU117">
        <f t="shared" si="28"/>
        <v>25.048799999999996</v>
      </c>
      <c r="FW117">
        <v>31.740200000000002</v>
      </c>
      <c r="FX117">
        <v>58.876600000000003</v>
      </c>
      <c r="FY117">
        <v>71.3322</v>
      </c>
      <c r="FZ117">
        <v>33.759300000000003</v>
      </c>
      <c r="GA117">
        <v>61.296100000000003</v>
      </c>
      <c r="GH117" t="s">
        <v>660</v>
      </c>
      <c r="GI117">
        <v>104.11</v>
      </c>
      <c r="GL117" t="s">
        <v>660</v>
      </c>
      <c r="GM117">
        <f>63*GI117/100</f>
        <v>65.589300000000009</v>
      </c>
      <c r="GZ117" t="s">
        <v>1104</v>
      </c>
      <c r="HB117">
        <v>48.39</v>
      </c>
      <c r="HD117" t="s">
        <v>1104</v>
      </c>
      <c r="HF117">
        <f>63*Supplementary_Fig7!HB117/100</f>
        <v>30.485700000000001</v>
      </c>
      <c r="HV117" t="s">
        <v>671</v>
      </c>
      <c r="HW117">
        <v>86.24</v>
      </c>
      <c r="HZ117">
        <v>86.350999999999999</v>
      </c>
      <c r="IA117">
        <v>93.9529</v>
      </c>
      <c r="IB117">
        <v>83.888199999999998</v>
      </c>
      <c r="IC117">
        <v>87.046800000000005</v>
      </c>
      <c r="ID117">
        <v>90.475499999999997</v>
      </c>
      <c r="IE117">
        <v>84.474199999999996</v>
      </c>
      <c r="IF117">
        <v>92.050200000000004</v>
      </c>
      <c r="IG117">
        <v>90.815700000000007</v>
      </c>
      <c r="IH117">
        <v>59.1995</v>
      </c>
      <c r="II117">
        <v>87.768600000000006</v>
      </c>
      <c r="IJ117">
        <v>74.349999999999994</v>
      </c>
      <c r="IK117">
        <v>84.054599999999994</v>
      </c>
      <c r="IL117">
        <v>69.805899999999994</v>
      </c>
      <c r="IM117">
        <v>81.816100000000006</v>
      </c>
      <c r="IN117">
        <v>89.790300000000002</v>
      </c>
      <c r="IO117">
        <v>73.414599999999993</v>
      </c>
      <c r="IX117" t="s">
        <v>664</v>
      </c>
      <c r="IY117">
        <v>110.68</v>
      </c>
      <c r="JB117" t="s">
        <v>650</v>
      </c>
      <c r="JC117" t="s">
        <v>652</v>
      </c>
      <c r="JD117" t="s">
        <v>654</v>
      </c>
      <c r="JE117" t="s">
        <v>656</v>
      </c>
      <c r="JF117" t="s">
        <v>658</v>
      </c>
      <c r="JG117" t="s">
        <v>660</v>
      </c>
      <c r="JH117" t="s">
        <v>662</v>
      </c>
      <c r="JI117" t="s">
        <v>664</v>
      </c>
      <c r="JJ117" t="s">
        <v>666</v>
      </c>
      <c r="JK117" t="s">
        <v>668</v>
      </c>
      <c r="JL117" t="s">
        <v>670</v>
      </c>
      <c r="JM117" t="s">
        <v>672</v>
      </c>
      <c r="JN117" t="s">
        <v>674</v>
      </c>
      <c r="JO117" t="s">
        <v>676</v>
      </c>
      <c r="JP117" t="s">
        <v>678</v>
      </c>
      <c r="JQ117" t="s">
        <v>680</v>
      </c>
      <c r="JR117" t="s">
        <v>682</v>
      </c>
      <c r="JS117" t="s">
        <v>684</v>
      </c>
      <c r="JV117" t="s">
        <v>1094</v>
      </c>
      <c r="JW117">
        <v>126.19</v>
      </c>
      <c r="JZ117">
        <v>96.591200000000001</v>
      </c>
      <c r="KA117">
        <v>92.515600000000006</v>
      </c>
      <c r="KB117">
        <f>AVERAGE(Supplementary_Fig7!KB110:KB116)</f>
        <v>92.380414285714295</v>
      </c>
      <c r="KC117">
        <v>126.166</v>
      </c>
      <c r="KD117">
        <v>91.285700000000006</v>
      </c>
      <c r="KE117">
        <v>98.300200000000004</v>
      </c>
      <c r="KF117">
        <v>115.346</v>
      </c>
      <c r="KG117">
        <v>118.089</v>
      </c>
      <c r="KH117">
        <v>102.97199999999999</v>
      </c>
      <c r="KJ117">
        <v>94.956999999999994</v>
      </c>
      <c r="KK117">
        <v>98.062100000000001</v>
      </c>
      <c r="KL117">
        <v>126.529</v>
      </c>
      <c r="KM117">
        <v>100.607</v>
      </c>
      <c r="KN117">
        <v>116.873</v>
      </c>
      <c r="KT117" t="s">
        <v>671</v>
      </c>
      <c r="KU117">
        <v>1.59</v>
      </c>
      <c r="KY117">
        <v>1.7402899999999999</v>
      </c>
      <c r="KZ117">
        <v>1.64446</v>
      </c>
      <c r="LA117">
        <v>2.2079800000000001</v>
      </c>
      <c r="LB117">
        <v>1.7210700000000001</v>
      </c>
      <c r="LC117">
        <v>1.9743999999999999</v>
      </c>
      <c r="LD117">
        <v>1.5942499999999999</v>
      </c>
      <c r="LE117">
        <v>2.11327</v>
      </c>
      <c r="LF117">
        <v>1.8369200000000001</v>
      </c>
      <c r="LG117">
        <v>1.65863</v>
      </c>
      <c r="LH117">
        <v>1.68879</v>
      </c>
      <c r="LW117" t="s">
        <v>664</v>
      </c>
      <c r="LX117">
        <v>1.49</v>
      </c>
      <c r="MB117">
        <v>1.7565999999999999</v>
      </c>
      <c r="MC117">
        <v>1.79836</v>
      </c>
      <c r="MD117">
        <v>1.81046</v>
      </c>
      <c r="ME117">
        <v>1.8399399999999999</v>
      </c>
      <c r="MF117">
        <v>1.73631</v>
      </c>
      <c r="MG117">
        <v>1.7822</v>
      </c>
      <c r="MH117">
        <v>1.67876</v>
      </c>
      <c r="MI117">
        <v>1.49698</v>
      </c>
      <c r="MJ117">
        <v>1.8805400000000001</v>
      </c>
      <c r="MK117">
        <v>1.6819900000000001</v>
      </c>
      <c r="ML117">
        <v>1.88771</v>
      </c>
      <c r="MM117">
        <v>1.68835</v>
      </c>
      <c r="MN117">
        <v>1.6401399999999999</v>
      </c>
      <c r="MZ117" t="s">
        <v>1094</v>
      </c>
      <c r="NA117">
        <v>1.45</v>
      </c>
      <c r="ND117">
        <v>1.4713700000000001</v>
      </c>
      <c r="NF117">
        <v>1.44476</v>
      </c>
      <c r="NG117">
        <v>1.6722900000000001</v>
      </c>
      <c r="NH117">
        <v>1.3783799999999999</v>
      </c>
      <c r="NI117">
        <v>1.3256399999999999</v>
      </c>
      <c r="NJ117">
        <v>1.7019299999999999</v>
      </c>
      <c r="NK117">
        <v>1.3378099999999999</v>
      </c>
      <c r="NL117">
        <f>AVERAGE(Supplementary_Fig7!NL109:NL116)</f>
        <v>1.55608875</v>
      </c>
      <c r="NN117">
        <v>1.3645400000000001</v>
      </c>
      <c r="NO117">
        <v>1.33314</v>
      </c>
      <c r="NP117">
        <v>1.9028799999999999</v>
      </c>
      <c r="NZ117" t="s">
        <v>679</v>
      </c>
      <c r="OA117">
        <v>234.86</v>
      </c>
      <c r="OC117" t="s">
        <v>664</v>
      </c>
      <c r="OD117">
        <v>363.88</v>
      </c>
      <c r="OF117" t="s">
        <v>1111</v>
      </c>
      <c r="OG117">
        <v>256.95999999999998</v>
      </c>
      <c r="QB117">
        <v>6</v>
      </c>
      <c r="QC117">
        <v>-98.77</v>
      </c>
      <c r="QD117">
        <v>4.84</v>
      </c>
      <c r="RA117">
        <v>-92.06</v>
      </c>
      <c r="RB117">
        <v>2.94</v>
      </c>
    </row>
    <row r="118" spans="171:470" ht="13.15" x14ac:dyDescent="0.4">
      <c r="FO118" t="s">
        <v>675</v>
      </c>
      <c r="FQ118">
        <v>93.2</v>
      </c>
      <c r="FS118" t="s">
        <v>675</v>
      </c>
      <c r="FU118">
        <f t="shared" si="28"/>
        <v>58.716000000000001</v>
      </c>
      <c r="FW118" s="1">
        <f>AVERAGE(Supplementary_Fig7!FW114:FW117)</f>
        <v>34.338549999999998</v>
      </c>
      <c r="FX118" s="1">
        <f>AVERAGE(Supplementary_Fig7!FX114:FX117)</f>
        <v>53.254574999999996</v>
      </c>
      <c r="FY118" s="1">
        <f>AVERAGE(Supplementary_Fig7!FY114:FY117)</f>
        <v>78.057175000000001</v>
      </c>
      <c r="FZ118" s="1">
        <f>AVERAGE(Supplementary_Fig7!FZ114:FZ117)</f>
        <v>29.886850000000003</v>
      </c>
      <c r="GA118" s="1">
        <f>AVERAGE(Supplementary_Fig7!GA114:GA117)</f>
        <v>56.053199999999997</v>
      </c>
      <c r="GB118" s="1">
        <f>AVERAGE(Supplementary_Fig7!GB114:GB117)</f>
        <v>37.01905</v>
      </c>
      <c r="GH118" t="s">
        <v>662</v>
      </c>
      <c r="GJ118">
        <v>116</v>
      </c>
      <c r="GL118" t="s">
        <v>662</v>
      </c>
      <c r="GN118">
        <f>63*GJ118/100</f>
        <v>73.08</v>
      </c>
      <c r="GQ118" s="1">
        <f t="shared" ref="GQ118:GW118" si="29">AVERAGE(GQ114:GQ117)</f>
        <v>95.279650000000004</v>
      </c>
      <c r="GR118" s="1">
        <f t="shared" si="29"/>
        <v>74.232700000000008</v>
      </c>
      <c r="GS118" s="1">
        <f t="shared" si="29"/>
        <v>108.4487</v>
      </c>
      <c r="GT118" s="1">
        <f t="shared" si="29"/>
        <v>142.25735</v>
      </c>
      <c r="GU118" s="1">
        <f t="shared" si="29"/>
        <v>137.786</v>
      </c>
      <c r="GV118" s="1">
        <f t="shared" si="29"/>
        <v>104.1152</v>
      </c>
      <c r="GW118" s="1">
        <f t="shared" si="29"/>
        <v>116.042</v>
      </c>
      <c r="GZ118" t="s">
        <v>1105</v>
      </c>
      <c r="HB118">
        <v>38.04</v>
      </c>
      <c r="HD118" t="s">
        <v>1105</v>
      </c>
      <c r="HF118">
        <f>63*Supplementary_Fig7!HB118/100</f>
        <v>23.965199999999999</v>
      </c>
      <c r="HJ118" t="s">
        <v>1105</v>
      </c>
      <c r="HK118" t="s">
        <v>1106</v>
      </c>
      <c r="HL118" t="s">
        <v>1107</v>
      </c>
      <c r="HM118" t="s">
        <v>1108</v>
      </c>
      <c r="HN118" t="s">
        <v>1109</v>
      </c>
      <c r="HO118" t="s">
        <v>1110</v>
      </c>
      <c r="HP118" t="s">
        <v>1111</v>
      </c>
      <c r="HQ118" t="s">
        <v>1112</v>
      </c>
      <c r="HV118" t="s">
        <v>673</v>
      </c>
      <c r="HW118">
        <v>58.32</v>
      </c>
      <c r="HZ118">
        <v>85.685699999999997</v>
      </c>
      <c r="IA118">
        <v>90.809600000000003</v>
      </c>
      <c r="IB118">
        <v>80.084199999999996</v>
      </c>
      <c r="IC118">
        <v>87.672399999999996</v>
      </c>
      <c r="ID118">
        <v>88.409400000000005</v>
      </c>
      <c r="IE118">
        <v>83.157300000000006</v>
      </c>
      <c r="IF118">
        <v>89.712500000000006</v>
      </c>
      <c r="IG118">
        <v>91.062899999999999</v>
      </c>
      <c r="IH118">
        <v>59.2361</v>
      </c>
      <c r="II118">
        <v>86.360200000000006</v>
      </c>
      <c r="IJ118">
        <v>78.814700000000002</v>
      </c>
      <c r="IK118">
        <v>84.327699999999993</v>
      </c>
      <c r="IL118">
        <v>70.5124</v>
      </c>
      <c r="IM118">
        <v>80.069000000000003</v>
      </c>
      <c r="IN118">
        <v>89.063999999999993</v>
      </c>
      <c r="IO118">
        <v>74.395799999999994</v>
      </c>
      <c r="IX118" t="s">
        <v>666</v>
      </c>
      <c r="IY118">
        <v>110</v>
      </c>
      <c r="JB118">
        <v>87.147499999999994</v>
      </c>
      <c r="JC118">
        <v>86.642499999999998</v>
      </c>
      <c r="JD118">
        <v>86.975099999999998</v>
      </c>
      <c r="JE118">
        <v>84.568799999999996</v>
      </c>
      <c r="JF118">
        <v>94.158900000000003</v>
      </c>
      <c r="JG118">
        <v>87.002600000000001</v>
      </c>
      <c r="JH118">
        <v>91.348299999999995</v>
      </c>
      <c r="JI118">
        <v>98.181200000000004</v>
      </c>
      <c r="JJ118">
        <v>90.887500000000003</v>
      </c>
      <c r="JK118">
        <v>96.580500000000001</v>
      </c>
      <c r="JL118">
        <v>90.566999999999993</v>
      </c>
      <c r="JM118">
        <v>95.982399999999998</v>
      </c>
      <c r="JN118">
        <v>95.208699999999993</v>
      </c>
      <c r="JO118">
        <v>91.113299999999995</v>
      </c>
      <c r="JP118">
        <v>87.525899999999993</v>
      </c>
      <c r="JQ118">
        <v>101.1</v>
      </c>
      <c r="JR118">
        <v>111.14</v>
      </c>
      <c r="JS118">
        <v>87.123099999999994</v>
      </c>
      <c r="JV118" t="s">
        <v>1095</v>
      </c>
      <c r="JW118">
        <v>98.68</v>
      </c>
      <c r="JZ118">
        <v>96.388199999999998</v>
      </c>
      <c r="KA118">
        <v>92.283600000000007</v>
      </c>
      <c r="KC118">
        <v>125.679</v>
      </c>
      <c r="KD118">
        <v>91.749600000000001</v>
      </c>
      <c r="KE118">
        <v>96.513400000000004</v>
      </c>
      <c r="KF118">
        <v>117.157</v>
      </c>
      <c r="KG118">
        <v>118.723</v>
      </c>
      <c r="KH118">
        <v>98.744200000000006</v>
      </c>
      <c r="KJ118">
        <v>94.364900000000006</v>
      </c>
      <c r="KK118">
        <v>98.185699999999997</v>
      </c>
      <c r="KL118">
        <v>122.919</v>
      </c>
      <c r="KM118">
        <v>118.956</v>
      </c>
      <c r="KN118">
        <v>118.35</v>
      </c>
      <c r="KT118" t="s">
        <v>673</v>
      </c>
      <c r="KU118">
        <v>2.17</v>
      </c>
      <c r="KY118">
        <v>1.70123</v>
      </c>
      <c r="KZ118">
        <v>1.5823400000000001</v>
      </c>
      <c r="LA118">
        <v>2.1418400000000002</v>
      </c>
      <c r="LB118">
        <v>1.6460300000000001</v>
      </c>
      <c r="LC118">
        <v>1.8104899999999999</v>
      </c>
      <c r="LD118">
        <v>1.5585500000000001</v>
      </c>
      <c r="LE118">
        <v>2.0062799999999998</v>
      </c>
      <c r="LF118">
        <v>1.81664</v>
      </c>
      <c r="LG118">
        <v>1.60582</v>
      </c>
      <c r="LH118">
        <v>1.7010099999999999</v>
      </c>
      <c r="LW118" t="s">
        <v>666</v>
      </c>
      <c r="LX118">
        <v>1.85</v>
      </c>
      <c r="MB118">
        <v>1.7939099999999999</v>
      </c>
      <c r="MC118">
        <v>1.81918</v>
      </c>
      <c r="MD118">
        <v>1.73197</v>
      </c>
      <c r="ME118">
        <v>1.8221000000000001</v>
      </c>
      <c r="MF118">
        <v>1.76945</v>
      </c>
      <c r="MG118">
        <v>1.7072499999999999</v>
      </c>
      <c r="MH118">
        <v>1.72631</v>
      </c>
      <c r="MI118">
        <v>1.48895</v>
      </c>
      <c r="MJ118">
        <v>1.7810999999999999</v>
      </c>
      <c r="MK118">
        <v>1.67831</v>
      </c>
      <c r="ML118">
        <v>1.8471</v>
      </c>
      <c r="MM118">
        <v>1.67238</v>
      </c>
      <c r="MN118">
        <v>1.6200600000000001</v>
      </c>
      <c r="MZ118" t="s">
        <v>1095</v>
      </c>
      <c r="NA118">
        <v>1.36</v>
      </c>
      <c r="ND118">
        <v>1.43947</v>
      </c>
      <c r="NF118">
        <v>1.4113199999999999</v>
      </c>
      <c r="NG118">
        <v>1.71038</v>
      </c>
      <c r="NH118">
        <v>1.4189000000000001</v>
      </c>
      <c r="NI118">
        <v>1.3784400000000001</v>
      </c>
      <c r="NJ118">
        <v>1.7209300000000001</v>
      </c>
      <c r="NK118">
        <v>1.3204</v>
      </c>
      <c r="NN118">
        <v>1.3757600000000001</v>
      </c>
      <c r="NO118">
        <v>1.3444799999999999</v>
      </c>
      <c r="NP118">
        <v>1.98766</v>
      </c>
      <c r="NZ118" t="s">
        <v>681</v>
      </c>
      <c r="OA118">
        <v>144.13900000000001</v>
      </c>
      <c r="OC118" t="s">
        <v>666</v>
      </c>
      <c r="OD118">
        <v>259.45100000000002</v>
      </c>
      <c r="OF118" t="s">
        <v>1112</v>
      </c>
      <c r="OG118">
        <v>315.26299999999998</v>
      </c>
      <c r="QC118">
        <v>-98.81</v>
      </c>
      <c r="QD118">
        <v>4.99</v>
      </c>
      <c r="RA118">
        <v>-92.11</v>
      </c>
      <c r="RB118">
        <v>4.74</v>
      </c>
    </row>
    <row r="119" spans="171:470" x14ac:dyDescent="0.35">
      <c r="FO119" t="s">
        <v>677</v>
      </c>
      <c r="FQ119">
        <v>57.62</v>
      </c>
      <c r="FS119" t="s">
        <v>677</v>
      </c>
      <c r="FU119">
        <f t="shared" si="28"/>
        <v>36.300600000000003</v>
      </c>
      <c r="GH119" t="s">
        <v>664</v>
      </c>
      <c r="GI119">
        <v>73.48</v>
      </c>
      <c r="GL119" t="s">
        <v>664</v>
      </c>
      <c r="GM119">
        <f>63*GI119/100</f>
        <v>46.292400000000008</v>
      </c>
      <c r="GZ119" t="s">
        <v>1106</v>
      </c>
      <c r="HB119">
        <v>52.27</v>
      </c>
      <c r="HD119" t="s">
        <v>1106</v>
      </c>
      <c r="HF119">
        <f>63*Supplementary_Fig7!HB119/100</f>
        <v>32.930100000000003</v>
      </c>
      <c r="HJ119">
        <v>40.992199999999997</v>
      </c>
      <c r="HK119">
        <v>52.356699999999996</v>
      </c>
      <c r="HL119">
        <v>27.334900000000001</v>
      </c>
      <c r="HM119">
        <v>56.134399999999999</v>
      </c>
      <c r="HN119">
        <v>62.388100000000001</v>
      </c>
      <c r="HO119">
        <v>84.488299999999995</v>
      </c>
      <c r="HP119">
        <v>55.679200000000002</v>
      </c>
      <c r="HQ119">
        <v>70.877499999999998</v>
      </c>
      <c r="HV119" t="s">
        <v>675</v>
      </c>
      <c r="HW119">
        <v>81.55</v>
      </c>
      <c r="HZ119">
        <v>87.686199999999999</v>
      </c>
      <c r="IA119">
        <v>92.146299999999997</v>
      </c>
      <c r="IB119">
        <v>83.688400000000001</v>
      </c>
      <c r="IC119">
        <v>84.268199999999993</v>
      </c>
      <c r="ID119">
        <v>86.708100000000002</v>
      </c>
      <c r="IE119">
        <v>82.28</v>
      </c>
      <c r="IF119">
        <v>88.975499999999997</v>
      </c>
      <c r="IG119">
        <v>88.020300000000006</v>
      </c>
      <c r="IH119">
        <v>57.634</v>
      </c>
      <c r="II119">
        <v>83.364900000000006</v>
      </c>
      <c r="IJ119">
        <v>77.835099999999997</v>
      </c>
      <c r="IK119">
        <v>95.794700000000006</v>
      </c>
      <c r="IL119">
        <v>71.319599999999994</v>
      </c>
      <c r="IM119">
        <v>79.190100000000001</v>
      </c>
      <c r="IN119">
        <v>85.496499999999997</v>
      </c>
      <c r="IO119">
        <v>74.462900000000005</v>
      </c>
      <c r="IX119" t="s">
        <v>668</v>
      </c>
      <c r="IY119">
        <v>115.34</v>
      </c>
      <c r="JB119">
        <v>88.850399999999993</v>
      </c>
      <c r="JC119">
        <v>86.441000000000003</v>
      </c>
      <c r="JD119">
        <v>86.729399999999998</v>
      </c>
      <c r="JE119">
        <v>82.670599999999993</v>
      </c>
      <c r="JF119">
        <v>91.787700000000001</v>
      </c>
      <c r="JG119">
        <v>85.774199999999993</v>
      </c>
      <c r="JH119">
        <v>91.381799999999998</v>
      </c>
      <c r="JI119">
        <v>98.057599999999994</v>
      </c>
      <c r="JJ119">
        <v>114.252</v>
      </c>
      <c r="JK119">
        <v>95.43</v>
      </c>
      <c r="JL119">
        <v>89.889499999999998</v>
      </c>
      <c r="JM119">
        <v>95.605500000000006</v>
      </c>
      <c r="JN119">
        <v>95.306399999999996</v>
      </c>
      <c r="JO119">
        <v>92.1036</v>
      </c>
      <c r="JP119">
        <v>90.367099999999994</v>
      </c>
      <c r="JQ119">
        <v>103.36499999999999</v>
      </c>
      <c r="JR119">
        <v>109.892</v>
      </c>
      <c r="JS119">
        <v>87.936400000000006</v>
      </c>
      <c r="JV119" t="s">
        <v>1096</v>
      </c>
      <c r="JW119">
        <v>121.14</v>
      </c>
      <c r="JZ119">
        <v>97.676100000000005</v>
      </c>
      <c r="KA119">
        <v>92.2012</v>
      </c>
      <c r="KC119">
        <v>123.86499999999999</v>
      </c>
      <c r="KD119">
        <f>AVERAGE(Supplementary_Fig7!KD110:KD118)</f>
        <v>90.835233333333335</v>
      </c>
      <c r="KE119">
        <v>96.374499999999998</v>
      </c>
      <c r="KF119">
        <f>AVERAGE(Supplementary_Fig7!KF110:KF118)</f>
        <v>118.03433333333334</v>
      </c>
      <c r="KG119">
        <v>118.75</v>
      </c>
      <c r="KH119">
        <v>102.223</v>
      </c>
      <c r="KJ119">
        <v>93.951400000000007</v>
      </c>
      <c r="KK119">
        <v>98.349000000000004</v>
      </c>
      <c r="KL119">
        <v>127.19</v>
      </c>
      <c r="KM119">
        <v>117.66800000000001</v>
      </c>
      <c r="KN119">
        <v>118.961</v>
      </c>
      <c r="KT119" t="s">
        <v>675</v>
      </c>
      <c r="KU119">
        <v>1.66</v>
      </c>
      <c r="KY119">
        <v>1.6619200000000001</v>
      </c>
      <c r="KZ119">
        <v>1.5831299999999999</v>
      </c>
      <c r="LA119">
        <v>2.1995399999999998</v>
      </c>
      <c r="LB119">
        <v>1.6535599999999999</v>
      </c>
      <c r="LC119">
        <v>1.7492399999999999</v>
      </c>
      <c r="LD119">
        <v>1.58002</v>
      </c>
      <c r="LE119">
        <v>1.9533100000000001</v>
      </c>
      <c r="LF119">
        <v>1.7855700000000001</v>
      </c>
      <c r="LG119">
        <v>1.5867599999999999</v>
      </c>
      <c r="LH119">
        <v>1.64198</v>
      </c>
      <c r="LW119" t="s">
        <v>668</v>
      </c>
      <c r="LX119">
        <v>1.68</v>
      </c>
      <c r="MB119">
        <v>1.8225800000000001</v>
      </c>
      <c r="MC119">
        <v>1.85788</v>
      </c>
      <c r="MD119">
        <v>1.7622500000000001</v>
      </c>
      <c r="ME119">
        <v>1.9076900000000001</v>
      </c>
      <c r="MF119">
        <v>1.7486900000000001</v>
      </c>
      <c r="MG119">
        <v>1.77217</v>
      </c>
      <c r="MH119">
        <v>1.7448399999999999</v>
      </c>
      <c r="MI119">
        <v>1.48065</v>
      </c>
      <c r="MJ119">
        <v>1.82507</v>
      </c>
      <c r="MK119">
        <v>1.65096</v>
      </c>
      <c r="ML119">
        <v>1.89706</v>
      </c>
      <c r="MM119">
        <v>1.65445</v>
      </c>
      <c r="MN119">
        <v>1.61225</v>
      </c>
      <c r="MZ119" t="s">
        <v>1096</v>
      </c>
      <c r="NA119">
        <v>1.32</v>
      </c>
      <c r="ND119">
        <v>1.43682</v>
      </c>
      <c r="NF119">
        <v>1.38473</v>
      </c>
      <c r="NG119">
        <v>1.6774</v>
      </c>
      <c r="NH119">
        <f>AVERAGE(Supplementary_Fig7!NH109:NH118)</f>
        <v>1.503868</v>
      </c>
      <c r="NI119">
        <v>1.3611899999999999</v>
      </c>
      <c r="NJ119">
        <v>1.6243700000000001</v>
      </c>
      <c r="NK119">
        <v>1.31037</v>
      </c>
      <c r="NN119">
        <v>1.3854500000000001</v>
      </c>
      <c r="NO119">
        <v>1.3683000000000001</v>
      </c>
      <c r="NP119">
        <v>2.0731600000000001</v>
      </c>
      <c r="NZ119" t="s">
        <v>683</v>
      </c>
      <c r="OA119">
        <v>207.99299999999999</v>
      </c>
      <c r="OC119" t="s">
        <v>668</v>
      </c>
      <c r="OD119">
        <v>322.34399999999999</v>
      </c>
      <c r="OF119" t="s">
        <v>1113</v>
      </c>
      <c r="OG119">
        <v>417.52100000000002</v>
      </c>
      <c r="QC119">
        <v>-98.81</v>
      </c>
      <c r="QD119">
        <v>2.62</v>
      </c>
      <c r="RA119">
        <v>-92.2</v>
      </c>
      <c r="RB119">
        <v>1.96</v>
      </c>
    </row>
    <row r="120" spans="171:470" x14ac:dyDescent="0.35">
      <c r="FO120" t="s">
        <v>679</v>
      </c>
      <c r="FQ120">
        <v>44.76</v>
      </c>
      <c r="FS120" t="s">
        <v>679</v>
      </c>
      <c r="FU120">
        <f t="shared" si="28"/>
        <v>28.198799999999995</v>
      </c>
      <c r="FW120" t="s">
        <v>669</v>
      </c>
      <c r="FX120" t="s">
        <v>671</v>
      </c>
      <c r="FY120" t="s">
        <v>673</v>
      </c>
      <c r="FZ120" t="s">
        <v>675</v>
      </c>
      <c r="GA120" t="s">
        <v>677</v>
      </c>
      <c r="GH120" t="s">
        <v>666</v>
      </c>
      <c r="GJ120">
        <v>60.57</v>
      </c>
      <c r="GL120" t="s">
        <v>666</v>
      </c>
      <c r="GN120">
        <f>63*GJ120/100</f>
        <v>38.159099999999995</v>
      </c>
      <c r="GQ120" t="s">
        <v>664</v>
      </c>
      <c r="GR120" t="s">
        <v>666</v>
      </c>
      <c r="GS120" t="s">
        <v>668</v>
      </c>
      <c r="GT120" t="s">
        <v>670</v>
      </c>
      <c r="GU120" t="s">
        <v>672</v>
      </c>
      <c r="GV120" t="s">
        <v>674</v>
      </c>
      <c r="GZ120" t="s">
        <v>1107</v>
      </c>
      <c r="HA120">
        <v>27.15</v>
      </c>
      <c r="HD120" t="s">
        <v>1107</v>
      </c>
      <c r="HE120">
        <f>63*Supplementary_Fig7!HA120/100</f>
        <v>17.104499999999998</v>
      </c>
      <c r="HJ120">
        <v>37.211399999999998</v>
      </c>
      <c r="HK120">
        <v>52.203000000000003</v>
      </c>
      <c r="HL120">
        <v>26.561699999999998</v>
      </c>
      <c r="HM120">
        <v>66.206500000000005</v>
      </c>
      <c r="HN120">
        <v>57.841000000000001</v>
      </c>
      <c r="HO120">
        <v>85.923299999999998</v>
      </c>
      <c r="HP120">
        <v>61.187399999999997</v>
      </c>
      <c r="HQ120">
        <v>40.6297</v>
      </c>
      <c r="HV120" t="s">
        <v>677</v>
      </c>
      <c r="HW120">
        <v>87.22</v>
      </c>
      <c r="HZ120">
        <v>87.579300000000003</v>
      </c>
      <c r="IA120">
        <v>90.261799999999994</v>
      </c>
      <c r="IB120">
        <v>84.995999999999995</v>
      </c>
      <c r="IC120">
        <v>102.426</v>
      </c>
      <c r="ID120">
        <v>89.456199999999995</v>
      </c>
      <c r="IE120">
        <v>82.208299999999994</v>
      </c>
      <c r="IF120">
        <v>86.807299999999998</v>
      </c>
      <c r="IG120">
        <v>86.868300000000005</v>
      </c>
      <c r="IH120">
        <v>59.936500000000002</v>
      </c>
      <c r="II120">
        <v>81.900000000000006</v>
      </c>
      <c r="IJ120">
        <v>77.070599999999999</v>
      </c>
      <c r="IK120">
        <v>92.829899999999995</v>
      </c>
      <c r="IL120">
        <v>70.335400000000007</v>
      </c>
      <c r="IM120">
        <v>77.272000000000006</v>
      </c>
      <c r="IN120">
        <v>86.108400000000003</v>
      </c>
      <c r="IO120">
        <v>74.490399999999994</v>
      </c>
      <c r="IX120" t="s">
        <v>670</v>
      </c>
      <c r="IY120">
        <v>93.58</v>
      </c>
      <c r="JB120">
        <v>85.762</v>
      </c>
      <c r="JC120">
        <v>100.94799999999999</v>
      </c>
      <c r="JD120">
        <v>85.626199999999997</v>
      </c>
      <c r="JE120">
        <v>82.066299999999998</v>
      </c>
      <c r="JF120">
        <v>90.943899999999999</v>
      </c>
      <c r="JG120">
        <v>85.084500000000006</v>
      </c>
      <c r="JH120">
        <v>88.459800000000001</v>
      </c>
      <c r="JI120">
        <v>98.062100000000001</v>
      </c>
      <c r="JJ120">
        <v>109.785</v>
      </c>
      <c r="JK120">
        <v>124.506</v>
      </c>
      <c r="JL120">
        <v>91.137699999999995</v>
      </c>
      <c r="JM120">
        <v>94.271900000000002</v>
      </c>
      <c r="JN120">
        <v>117.322</v>
      </c>
      <c r="JO120">
        <v>91.163600000000002</v>
      </c>
      <c r="JP120">
        <v>88.827500000000001</v>
      </c>
      <c r="JQ120">
        <v>101.845</v>
      </c>
      <c r="JR120">
        <v>110.027</v>
      </c>
      <c r="JS120">
        <v>87.060500000000005</v>
      </c>
      <c r="JV120" t="s">
        <v>1097</v>
      </c>
      <c r="JW120">
        <v>118.52</v>
      </c>
      <c r="JZ120">
        <v>97.993499999999997</v>
      </c>
      <c r="KA120">
        <v>101.053</v>
      </c>
      <c r="KC120">
        <v>124.788</v>
      </c>
      <c r="KE120">
        <v>94.751000000000005</v>
      </c>
      <c r="KG120">
        <v>119.11799999999999</v>
      </c>
      <c r="KH120">
        <v>100.577</v>
      </c>
      <c r="KJ120">
        <v>96.134900000000002</v>
      </c>
      <c r="KK120">
        <v>98.812899999999999</v>
      </c>
      <c r="KL120">
        <f>AVERAGE(Supplementary_Fig7!KL110:KL119)</f>
        <v>123.39590000000001</v>
      </c>
      <c r="KM120">
        <v>116.6</v>
      </c>
      <c r="KN120">
        <v>119.176</v>
      </c>
      <c r="KT120" t="s">
        <v>677</v>
      </c>
      <c r="KU120">
        <v>1.74</v>
      </c>
      <c r="KY120">
        <v>1.6915899999999999</v>
      </c>
      <c r="KZ120">
        <v>1.5588599999999999</v>
      </c>
      <c r="LA120">
        <v>2.15116</v>
      </c>
      <c r="LB120">
        <v>1.63188</v>
      </c>
      <c r="LC120">
        <v>1.71133</v>
      </c>
      <c r="LD120">
        <v>1.6068800000000001</v>
      </c>
      <c r="LE120">
        <v>2.0272199999999998</v>
      </c>
      <c r="LF120">
        <v>1.8142499999999999</v>
      </c>
      <c r="LG120">
        <v>1.6091500000000001</v>
      </c>
      <c r="LH120">
        <v>1.62473</v>
      </c>
      <c r="LW120" t="s">
        <v>670</v>
      </c>
      <c r="LX120">
        <v>1.87</v>
      </c>
      <c r="MB120">
        <v>1.84135</v>
      </c>
      <c r="MC120">
        <v>1.8877200000000001</v>
      </c>
      <c r="MD120">
        <v>1.7706299999999999</v>
      </c>
      <c r="ME120">
        <v>2.04521</v>
      </c>
      <c r="MF120">
        <v>1.7563500000000001</v>
      </c>
      <c r="MG120">
        <v>1.7288399999999999</v>
      </c>
      <c r="MH120">
        <v>1.7942400000000001</v>
      </c>
      <c r="MI120">
        <v>1.48027</v>
      </c>
      <c r="MJ120">
        <v>1.89195</v>
      </c>
      <c r="MK120">
        <v>1.68781</v>
      </c>
      <c r="ML120">
        <v>1.9402600000000001</v>
      </c>
      <c r="MM120">
        <v>1.66151</v>
      </c>
      <c r="MN120">
        <v>1.65873</v>
      </c>
      <c r="MZ120" t="s">
        <v>1097</v>
      </c>
      <c r="NA120">
        <v>1.99</v>
      </c>
      <c r="ND120">
        <v>1.43004</v>
      </c>
      <c r="NF120">
        <v>1.3818600000000001</v>
      </c>
      <c r="NG120">
        <v>1.6863900000000001</v>
      </c>
      <c r="NI120">
        <v>1.4161900000000001</v>
      </c>
      <c r="NJ120">
        <v>1.6366400000000001</v>
      </c>
      <c r="NK120">
        <v>1.3546</v>
      </c>
      <c r="NN120">
        <v>1.3623000000000001</v>
      </c>
      <c r="NO120">
        <v>1.33802</v>
      </c>
      <c r="NP120">
        <v>2.0998399999999999</v>
      </c>
      <c r="NZ120" t="s">
        <v>685</v>
      </c>
      <c r="OA120">
        <v>252.715</v>
      </c>
      <c r="OC120" t="s">
        <v>670</v>
      </c>
      <c r="OD120">
        <v>243.529</v>
      </c>
      <c r="OF120" t="s">
        <v>1114</v>
      </c>
      <c r="OG120">
        <v>298.47500000000002</v>
      </c>
      <c r="QC120">
        <v>-98.85</v>
      </c>
      <c r="QD120">
        <v>2.5</v>
      </c>
      <c r="RA120">
        <v>-92.43</v>
      </c>
      <c r="RB120">
        <v>5.85</v>
      </c>
    </row>
    <row r="121" spans="171:470" x14ac:dyDescent="0.35">
      <c r="FO121" t="s">
        <v>681</v>
      </c>
      <c r="FP121">
        <v>44.6</v>
      </c>
      <c r="FS121" t="s">
        <v>681</v>
      </c>
      <c r="FT121">
        <f>63*FP121/100</f>
        <v>28.098000000000003</v>
      </c>
      <c r="FW121">
        <v>72.461399999999998</v>
      </c>
      <c r="FX121">
        <v>96.677999999999997</v>
      </c>
      <c r="FY121">
        <v>41.546900000000001</v>
      </c>
      <c r="FZ121">
        <v>92.644000000000005</v>
      </c>
      <c r="GA121">
        <v>54.167999999999999</v>
      </c>
      <c r="GH121" t="s">
        <v>668</v>
      </c>
      <c r="GJ121">
        <v>66.849999999999994</v>
      </c>
      <c r="GL121" t="s">
        <v>668</v>
      </c>
      <c r="GN121">
        <f>63*GJ121/100</f>
        <v>42.11549999999999</v>
      </c>
      <c r="GQ121">
        <v>79.168300000000002</v>
      </c>
      <c r="GR121">
        <v>52.151200000000003</v>
      </c>
      <c r="GS121">
        <v>64.914900000000003</v>
      </c>
      <c r="GT121">
        <v>103.92400000000001</v>
      </c>
      <c r="GU121">
        <v>49.629399999999997</v>
      </c>
      <c r="GV121">
        <v>64.525000000000006</v>
      </c>
      <c r="GZ121" t="s">
        <v>1108</v>
      </c>
      <c r="HB121">
        <v>59</v>
      </c>
      <c r="HD121" t="s">
        <v>1108</v>
      </c>
      <c r="HF121">
        <f>63*Supplementary_Fig7!HB121/100</f>
        <v>37.17</v>
      </c>
      <c r="HJ121">
        <v>41.717599999999997</v>
      </c>
      <c r="HL121">
        <v>26.017499999999998</v>
      </c>
      <c r="HM121">
        <v>48.198799999999999</v>
      </c>
      <c r="HN121">
        <v>64.236699999999999</v>
      </c>
      <c r="HO121">
        <v>64.154600000000002</v>
      </c>
      <c r="HP121">
        <v>51.040300000000002</v>
      </c>
      <c r="HQ121">
        <v>61.705800000000004</v>
      </c>
      <c r="HV121" t="s">
        <v>679</v>
      </c>
      <c r="HW121">
        <v>88.62</v>
      </c>
      <c r="HZ121">
        <v>86.460899999999995</v>
      </c>
      <c r="IA121">
        <v>91.821299999999994</v>
      </c>
      <c r="IB121">
        <v>96.034199999999998</v>
      </c>
      <c r="IC121">
        <v>100.447</v>
      </c>
      <c r="ID121">
        <v>109.256</v>
      </c>
      <c r="IE121">
        <v>81.549099999999996</v>
      </c>
      <c r="IF121">
        <v>106.578</v>
      </c>
      <c r="IG121">
        <v>86.529499999999999</v>
      </c>
      <c r="IH121">
        <v>59.698500000000003</v>
      </c>
      <c r="II121">
        <v>79.992699999999999</v>
      </c>
      <c r="IJ121">
        <v>93.537899999999993</v>
      </c>
      <c r="IK121">
        <v>92.736800000000002</v>
      </c>
      <c r="IL121">
        <v>88.043199999999999</v>
      </c>
      <c r="IM121">
        <v>77.432299999999998</v>
      </c>
      <c r="IN121">
        <v>85.456800000000001</v>
      </c>
      <c r="IO121">
        <v>89.344800000000006</v>
      </c>
      <c r="IX121" t="s">
        <v>672</v>
      </c>
      <c r="IY121">
        <v>93.94</v>
      </c>
      <c r="JB121">
        <v>84.805300000000003</v>
      </c>
      <c r="JC121">
        <v>104.82899999999999</v>
      </c>
      <c r="JD121">
        <v>85.376000000000005</v>
      </c>
      <c r="JE121">
        <v>110.818</v>
      </c>
      <c r="JF121">
        <v>88.915999999999997</v>
      </c>
      <c r="JG121">
        <v>82.192999999999998</v>
      </c>
      <c r="JH121">
        <v>90.113799999999998</v>
      </c>
      <c r="JI121">
        <v>121.79</v>
      </c>
      <c r="JJ121">
        <v>115.286</v>
      </c>
      <c r="JK121">
        <v>125.151</v>
      </c>
      <c r="JL121">
        <v>90.994299999999996</v>
      </c>
      <c r="JM121">
        <v>92.549099999999996</v>
      </c>
      <c r="JN121">
        <v>114.169</v>
      </c>
      <c r="JO121">
        <v>92.230199999999996</v>
      </c>
      <c r="JP121">
        <v>89.190700000000007</v>
      </c>
      <c r="JQ121">
        <v>101.286</v>
      </c>
      <c r="JR121">
        <v>111.331</v>
      </c>
      <c r="JS121">
        <v>87.924199999999999</v>
      </c>
      <c r="JV121" t="s">
        <v>1115</v>
      </c>
      <c r="JW121">
        <v>92.91</v>
      </c>
      <c r="JZ121">
        <v>96.714799999999997</v>
      </c>
      <c r="KA121">
        <v>100.056</v>
      </c>
      <c r="KC121">
        <f>AVERAGE(Supplementary_Fig7!KC110:KC120)</f>
        <v>122.5599090909091</v>
      </c>
      <c r="KE121">
        <v>95.199600000000004</v>
      </c>
      <c r="KG121">
        <v>116.83</v>
      </c>
      <c r="KH121">
        <v>100.38800000000001</v>
      </c>
      <c r="KJ121">
        <v>97.373999999999995</v>
      </c>
      <c r="KK121">
        <v>97.328199999999995</v>
      </c>
      <c r="KM121">
        <v>117.032</v>
      </c>
      <c r="KN121">
        <v>119.27500000000001</v>
      </c>
      <c r="KT121" t="s">
        <v>679</v>
      </c>
      <c r="KU121">
        <v>1.71</v>
      </c>
      <c r="KY121">
        <v>1.6374500000000001</v>
      </c>
      <c r="KZ121">
        <v>1.5285599999999999</v>
      </c>
      <c r="LA121">
        <v>2.1278299999999999</v>
      </c>
      <c r="LB121">
        <v>1.60297</v>
      </c>
      <c r="LC121">
        <v>1.6823300000000001</v>
      </c>
      <c r="LD121">
        <v>2.1296400000000002</v>
      </c>
      <c r="LE121">
        <v>1.9986900000000001</v>
      </c>
      <c r="LF121">
        <v>1.7942400000000001</v>
      </c>
      <c r="LG121">
        <v>1.5541499999999999</v>
      </c>
      <c r="LH121">
        <v>1.6631</v>
      </c>
      <c r="LW121" t="s">
        <v>672</v>
      </c>
      <c r="LX121">
        <v>1.68</v>
      </c>
      <c r="MB121">
        <v>1.85625</v>
      </c>
      <c r="MC121">
        <v>1.9274199999999999</v>
      </c>
      <c r="MD121">
        <v>1.77725</v>
      </c>
      <c r="ME121">
        <v>2.0939299999999998</v>
      </c>
      <c r="MF121">
        <v>1.7932300000000001</v>
      </c>
      <c r="MG121">
        <v>1.7348399999999999</v>
      </c>
      <c r="MH121">
        <v>1.7910600000000001</v>
      </c>
      <c r="MI121">
        <v>1.4915</v>
      </c>
      <c r="MJ121">
        <v>1.8836200000000001</v>
      </c>
      <c r="MK121">
        <v>1.66398</v>
      </c>
      <c r="ML121">
        <v>1.8595999999999999</v>
      </c>
      <c r="MM121">
        <v>1.6586799999999999</v>
      </c>
      <c r="MN121">
        <v>1.6919200000000001</v>
      </c>
      <c r="MZ121" t="s">
        <v>1115</v>
      </c>
      <c r="NA121">
        <v>1.58</v>
      </c>
      <c r="ND121">
        <v>1.44509</v>
      </c>
      <c r="NF121">
        <f>AVERAGE(Supplementary_Fig7!NF109:NF120)</f>
        <v>1.42903</v>
      </c>
      <c r="NG121">
        <v>1.59796</v>
      </c>
      <c r="NI121">
        <f>AVERAGE(Supplementary_Fig7!NI109:NI120)</f>
        <v>1.3819383333333333</v>
      </c>
      <c r="NJ121">
        <v>1.60005</v>
      </c>
      <c r="NK121">
        <v>1.3188</v>
      </c>
      <c r="NN121">
        <v>1.3576299999999999</v>
      </c>
      <c r="NO121">
        <v>1.32209</v>
      </c>
      <c r="NP121">
        <f>AVERAGE(Supplementary_Fig7!NP109:NP120)</f>
        <v>1.9970641666666669</v>
      </c>
      <c r="NZ121" t="s">
        <v>687</v>
      </c>
      <c r="OA121">
        <v>192.613</v>
      </c>
      <c r="OC121" t="s">
        <v>672</v>
      </c>
      <c r="OD121">
        <v>318.86399999999998</v>
      </c>
      <c r="OF121" t="s">
        <v>1116</v>
      </c>
      <c r="OG121">
        <v>204.69800000000001</v>
      </c>
      <c r="QC121">
        <v>-98.87</v>
      </c>
      <c r="QD121">
        <v>4.6100000000000003</v>
      </c>
      <c r="RA121">
        <v>-92.67</v>
      </c>
      <c r="RB121">
        <v>5.07</v>
      </c>
    </row>
    <row r="122" spans="171:470" ht="13.15" x14ac:dyDescent="0.4">
      <c r="FO122" t="s">
        <v>683</v>
      </c>
      <c r="FP122">
        <v>67.87</v>
      </c>
      <c r="FS122" t="s">
        <v>683</v>
      </c>
      <c r="FT122">
        <f>63*FP122/100</f>
        <v>42.758100000000006</v>
      </c>
      <c r="FW122">
        <v>61.689</v>
      </c>
      <c r="FX122">
        <v>85.714200000000005</v>
      </c>
      <c r="FY122">
        <v>32.986499999999999</v>
      </c>
      <c r="FZ122">
        <v>93.772999999999996</v>
      </c>
      <c r="GA122">
        <v>32.197800000000001</v>
      </c>
      <c r="GH122" t="s">
        <v>670</v>
      </c>
      <c r="GJ122">
        <v>124.89</v>
      </c>
      <c r="GL122" t="s">
        <v>670</v>
      </c>
      <c r="GN122">
        <f>63*GJ122/100</f>
        <v>78.680700000000002</v>
      </c>
      <c r="GQ122">
        <v>67.8035</v>
      </c>
      <c r="GR122">
        <v>75.555700000000002</v>
      </c>
      <c r="GS122">
        <v>80.477500000000006</v>
      </c>
      <c r="GT122">
        <v>200.40899999999999</v>
      </c>
      <c r="GU122">
        <v>69.897400000000005</v>
      </c>
      <c r="GV122">
        <v>98.443700000000007</v>
      </c>
      <c r="GZ122" t="s">
        <v>1109</v>
      </c>
      <c r="HA122">
        <v>59.78</v>
      </c>
      <c r="HD122" t="s">
        <v>1109</v>
      </c>
      <c r="HE122">
        <f>63*Supplementary_Fig7!HA122/100</f>
        <v>37.6614</v>
      </c>
      <c r="HJ122">
        <v>32.2532</v>
      </c>
      <c r="HL122">
        <v>28.6907</v>
      </c>
      <c r="HM122">
        <v>65.481499999999997</v>
      </c>
      <c r="HN122">
        <v>54.654299999999999</v>
      </c>
      <c r="HO122">
        <v>79.695400000000006</v>
      </c>
      <c r="HP122">
        <v>53.090299999999999</v>
      </c>
      <c r="HQ122">
        <v>88.944100000000006</v>
      </c>
      <c r="HV122" t="s">
        <v>681</v>
      </c>
      <c r="HW122">
        <v>73.459999999999994</v>
      </c>
      <c r="HZ122">
        <v>88.131699999999995</v>
      </c>
      <c r="IA122">
        <v>91.108699999999999</v>
      </c>
      <c r="IB122">
        <v>95.201099999999997</v>
      </c>
      <c r="IC122">
        <v>101.131</v>
      </c>
      <c r="ID122">
        <v>111.435</v>
      </c>
      <c r="IE122">
        <v>80.987499999999997</v>
      </c>
      <c r="IF122">
        <v>104.128</v>
      </c>
      <c r="IG122">
        <v>86.331199999999995</v>
      </c>
      <c r="IH122">
        <v>56.266800000000003</v>
      </c>
      <c r="II122">
        <v>80.133099999999999</v>
      </c>
      <c r="IJ122">
        <v>92.726100000000002</v>
      </c>
      <c r="IK122">
        <v>93.554699999999997</v>
      </c>
      <c r="IL122">
        <v>88.392600000000002</v>
      </c>
      <c r="IM122">
        <v>75.882000000000005</v>
      </c>
      <c r="IN122">
        <v>105.301</v>
      </c>
      <c r="IO122">
        <v>86.987300000000005</v>
      </c>
      <c r="IX122" t="s">
        <v>674</v>
      </c>
      <c r="JB122">
        <v>87.022400000000005</v>
      </c>
      <c r="JC122">
        <v>106.461</v>
      </c>
      <c r="JD122">
        <v>83.837900000000005</v>
      </c>
      <c r="JE122">
        <v>115.443</v>
      </c>
      <c r="JF122">
        <v>89.839200000000005</v>
      </c>
      <c r="JG122">
        <v>81.497200000000007</v>
      </c>
      <c r="JH122">
        <v>90.267899999999997</v>
      </c>
      <c r="JI122">
        <v>123.215</v>
      </c>
      <c r="JJ122">
        <v>120.839</v>
      </c>
      <c r="JK122">
        <v>125.375</v>
      </c>
      <c r="JL122">
        <v>88.850399999999993</v>
      </c>
      <c r="JM122">
        <v>92.407200000000003</v>
      </c>
      <c r="JN122">
        <v>120.31399999999999</v>
      </c>
      <c r="JO122">
        <v>127.73</v>
      </c>
      <c r="JP122">
        <v>86.808800000000005</v>
      </c>
      <c r="JQ122">
        <v>103.313</v>
      </c>
      <c r="JR122">
        <v>105.898</v>
      </c>
      <c r="JS122">
        <v>85.852099999999993</v>
      </c>
      <c r="JV122" t="s">
        <v>1117</v>
      </c>
      <c r="JW122">
        <v>92.91</v>
      </c>
      <c r="JZ122">
        <v>98.4756</v>
      </c>
      <c r="KA122">
        <v>99.287400000000005</v>
      </c>
      <c r="KE122">
        <v>117.72799999999999</v>
      </c>
      <c r="KG122">
        <v>118.24299999999999</v>
      </c>
      <c r="KH122">
        <v>99.8322</v>
      </c>
      <c r="KJ122">
        <f>AVERAGE(Supplementary_Fig7!KJ110:KJ121)</f>
        <v>95.673883333333336</v>
      </c>
      <c r="KK122">
        <v>97.084000000000003</v>
      </c>
      <c r="KM122">
        <f>AVERAGE(Supplementary_Fig7!KM110:KM121)</f>
        <v>110.97841666666665</v>
      </c>
      <c r="KN122">
        <v>120.80800000000001</v>
      </c>
      <c r="KT122" t="s">
        <v>681</v>
      </c>
      <c r="KU122">
        <v>2.5499999999999998</v>
      </c>
      <c r="KY122">
        <v>1.67302</v>
      </c>
      <c r="KZ122">
        <v>1.5377099999999999</v>
      </c>
      <c r="LA122">
        <v>2.3358300000000001</v>
      </c>
      <c r="LB122">
        <v>1.5721499999999999</v>
      </c>
      <c r="LC122">
        <v>1.68096</v>
      </c>
      <c r="LD122">
        <v>1.6053599999999999</v>
      </c>
      <c r="LE122">
        <v>2.0267599999999999</v>
      </c>
      <c r="LF122">
        <v>1.84172</v>
      </c>
      <c r="LG122">
        <v>1.59395</v>
      </c>
      <c r="LH122">
        <v>1.66835</v>
      </c>
      <c r="LW122" t="s">
        <v>674</v>
      </c>
      <c r="LX122">
        <v>1.67</v>
      </c>
      <c r="MB122">
        <v>1.8788199999999999</v>
      </c>
      <c r="MC122">
        <v>1.9522900000000001</v>
      </c>
      <c r="MD122">
        <v>1.78179</v>
      </c>
      <c r="ME122">
        <v>2.11633</v>
      </c>
      <c r="MF122">
        <v>1.73044</v>
      </c>
      <c r="MG122">
        <v>1.7948500000000001</v>
      </c>
      <c r="MH122">
        <v>1.8178099999999999</v>
      </c>
      <c r="MI122">
        <v>1.5356099999999999</v>
      </c>
      <c r="MJ122">
        <v>1.8101</v>
      </c>
      <c r="MK122">
        <v>1.7139500000000001</v>
      </c>
      <c r="ML122">
        <v>1.8573900000000001</v>
      </c>
      <c r="MM122">
        <v>1.72861</v>
      </c>
      <c r="MN122">
        <v>1.7038</v>
      </c>
      <c r="MZ122" t="s">
        <v>1117</v>
      </c>
      <c r="NA122">
        <v>1.44</v>
      </c>
      <c r="ND122">
        <f>AVERAGE(Supplementary_Fig7!ND109:ND121)</f>
        <v>1.4283492307692307</v>
      </c>
      <c r="NG122">
        <v>1.6093299999999999</v>
      </c>
      <c r="NJ122">
        <v>1.67445</v>
      </c>
      <c r="NK122">
        <v>1.3223100000000001</v>
      </c>
      <c r="NN122">
        <v>1.3613999999999999</v>
      </c>
      <c r="NO122">
        <f>AVERAGE(Supplementary_Fig7!NO109:NO121)</f>
        <v>1.3281369230769233</v>
      </c>
      <c r="OA122" s="1">
        <f>AVERAGE(OA4:OB121)</f>
        <v>186.34771462711871</v>
      </c>
      <c r="OC122" t="s">
        <v>674</v>
      </c>
      <c r="OD122">
        <v>291.51900000000001</v>
      </c>
      <c r="OF122" t="s">
        <v>1118</v>
      </c>
      <c r="OG122">
        <v>260.07299999999998</v>
      </c>
      <c r="QC122">
        <v>-98.95</v>
      </c>
      <c r="QD122">
        <v>6.34</v>
      </c>
      <c r="RA122">
        <v>-93.02</v>
      </c>
      <c r="RB122">
        <v>6.53</v>
      </c>
    </row>
    <row r="123" spans="171:470" ht="13.15" x14ac:dyDescent="0.4">
      <c r="FO123" t="s">
        <v>685</v>
      </c>
      <c r="FP123">
        <v>85.44</v>
      </c>
      <c r="FS123" t="s">
        <v>685</v>
      </c>
      <c r="FT123">
        <f>63*FP123/100</f>
        <v>53.827200000000005</v>
      </c>
      <c r="FW123">
        <v>118.333</v>
      </c>
      <c r="FY123">
        <v>42.710299999999997</v>
      </c>
      <c r="GA123">
        <v>71.373699999999999</v>
      </c>
      <c r="GH123" t="s">
        <v>672</v>
      </c>
      <c r="GI123">
        <v>56.22</v>
      </c>
      <c r="GL123" t="s">
        <v>672</v>
      </c>
      <c r="GM123">
        <f>63*GI123/100</f>
        <v>35.418599999999998</v>
      </c>
      <c r="GR123">
        <v>52.635800000000003</v>
      </c>
      <c r="GS123">
        <v>59.008400000000002</v>
      </c>
      <c r="GT123">
        <v>88.195400000000006</v>
      </c>
      <c r="GU123">
        <v>50.2742</v>
      </c>
      <c r="GV123">
        <v>74.831999999999994</v>
      </c>
      <c r="GZ123" t="s">
        <v>1110</v>
      </c>
      <c r="HB123">
        <v>78.56</v>
      </c>
      <c r="HD123" t="s">
        <v>1110</v>
      </c>
      <c r="HF123">
        <f>63*Supplementary_Fig7!HB123/100</f>
        <v>49.492799999999995</v>
      </c>
      <c r="HJ123" s="1">
        <f>AVERAGE(Supplementary_Fig7!HJ119:HJ122)</f>
        <v>38.043599999999998</v>
      </c>
      <c r="HK123" s="1">
        <f>AVERAGE(Supplementary_Fig7!HK119:HK122)</f>
        <v>52.279849999999996</v>
      </c>
      <c r="HL123" s="1">
        <f>AVERAGE(Supplementary_Fig7!HL119:HL122)</f>
        <v>27.151199999999996</v>
      </c>
      <c r="HM123" s="1">
        <f>AVERAGE(Supplementary_Fig7!HM119:HM122)</f>
        <v>59.005300000000005</v>
      </c>
      <c r="HN123" s="1">
        <f>AVERAGE(Supplementary_Fig7!HN119:HN122)</f>
        <v>59.780025000000002</v>
      </c>
      <c r="HO123" s="1">
        <f>AVERAGE(Supplementary_Fig7!HO119:HO122)</f>
        <v>78.565399999999997</v>
      </c>
      <c r="HP123" s="1">
        <f>AVERAGE(Supplementary_Fig7!HP119:HP122)</f>
        <v>55.249300000000005</v>
      </c>
      <c r="HQ123" s="1">
        <f>AVERAGE(Supplementary_Fig7!HQ119:HQ122)</f>
        <v>65.539275000000004</v>
      </c>
      <c r="HV123" t="s">
        <v>683</v>
      </c>
      <c r="HW123">
        <v>76.77</v>
      </c>
      <c r="HZ123">
        <v>106.154</v>
      </c>
      <c r="IA123">
        <v>90.153499999999994</v>
      </c>
      <c r="IB123">
        <v>95.271299999999997</v>
      </c>
      <c r="IC123">
        <v>99.058499999999995</v>
      </c>
      <c r="ID123">
        <v>112.55500000000001</v>
      </c>
      <c r="IE123">
        <v>80.931100000000001</v>
      </c>
      <c r="IF123">
        <v>107.072</v>
      </c>
      <c r="IG123">
        <v>84.935000000000002</v>
      </c>
      <c r="IH123">
        <v>58.047499999999999</v>
      </c>
      <c r="II123">
        <v>78.875699999999995</v>
      </c>
      <c r="IJ123">
        <v>94.654799999999994</v>
      </c>
      <c r="IK123">
        <v>84.522999999999996</v>
      </c>
      <c r="IL123">
        <v>88.974000000000004</v>
      </c>
      <c r="IM123">
        <v>74.240099999999998</v>
      </c>
      <c r="IN123">
        <v>104.1</v>
      </c>
      <c r="IO123">
        <v>80.296300000000002</v>
      </c>
      <c r="IX123" t="s">
        <v>676</v>
      </c>
      <c r="IY123">
        <v>106.29</v>
      </c>
      <c r="JB123">
        <v>84.111000000000004</v>
      </c>
      <c r="JC123">
        <v>109.88</v>
      </c>
      <c r="JD123">
        <v>83.964500000000001</v>
      </c>
      <c r="JE123">
        <v>118.19</v>
      </c>
      <c r="JF123">
        <v>88.397199999999998</v>
      </c>
      <c r="JG123">
        <v>81.855800000000002</v>
      </c>
      <c r="JH123">
        <v>89.388999999999996</v>
      </c>
      <c r="JI123">
        <v>121.916</v>
      </c>
      <c r="JJ123">
        <v>120.86</v>
      </c>
      <c r="JK123">
        <v>124.76</v>
      </c>
      <c r="JL123">
        <v>108.218</v>
      </c>
      <c r="JM123">
        <v>94.619799999999998</v>
      </c>
      <c r="JN123">
        <v>119.226</v>
      </c>
      <c r="JO123">
        <v>125.027</v>
      </c>
      <c r="JP123">
        <v>91.827399999999997</v>
      </c>
      <c r="JQ123">
        <v>103.673</v>
      </c>
      <c r="JR123">
        <v>107.556</v>
      </c>
      <c r="JS123">
        <v>88.780199999999994</v>
      </c>
      <c r="JV123" t="s">
        <v>1119</v>
      </c>
      <c r="JW123">
        <v>121.4</v>
      </c>
      <c r="JZ123">
        <f>AVERAGE(Supplementary_Fig7!JZ110:JZ122)</f>
        <v>97.713915384615376</v>
      </c>
      <c r="KA123">
        <v>90.640299999999996</v>
      </c>
      <c r="KE123">
        <f>AVERAGE(Supplementary_Fig7!KE110:KE122)</f>
        <v>99.200638461538475</v>
      </c>
      <c r="KG123">
        <v>87.25</v>
      </c>
      <c r="KH123">
        <f>AVERAGE(Supplementary_Fig7!KH110:KH122)</f>
        <v>101.48087692307692</v>
      </c>
      <c r="KK123">
        <v>98.414599999999993</v>
      </c>
      <c r="KN123">
        <v>87.658699999999996</v>
      </c>
      <c r="KT123" t="s">
        <v>683</v>
      </c>
      <c r="KU123">
        <v>1.82</v>
      </c>
      <c r="KY123">
        <v>1.65673</v>
      </c>
      <c r="KZ123">
        <v>1.55569</v>
      </c>
      <c r="LA123">
        <v>2.3023500000000001</v>
      </c>
      <c r="LB123">
        <v>1.5904499999999999</v>
      </c>
      <c r="LC123">
        <v>1.6345499999999999</v>
      </c>
      <c r="LD123">
        <v>1.7996300000000001</v>
      </c>
      <c r="LE123">
        <v>2.0291999999999999</v>
      </c>
      <c r="LF123">
        <v>1.8326899999999999</v>
      </c>
      <c r="LG123">
        <v>1.5464899999999999</v>
      </c>
      <c r="LH123">
        <v>1.6617299999999999</v>
      </c>
      <c r="LW123" t="s">
        <v>676</v>
      </c>
      <c r="LX123">
        <v>1.57</v>
      </c>
      <c r="MB123">
        <v>1.9288799999999999</v>
      </c>
      <c r="MC123">
        <v>1.97485</v>
      </c>
      <c r="ME123">
        <v>2.1993200000000002</v>
      </c>
      <c r="MF123">
        <v>1.85459</v>
      </c>
      <c r="MG123">
        <v>1.8603400000000001</v>
      </c>
      <c r="MH123">
        <v>1.7941100000000001</v>
      </c>
      <c r="MI123">
        <v>1.5329999999999999</v>
      </c>
      <c r="MJ123">
        <v>1.88944</v>
      </c>
      <c r="MK123">
        <v>1.6915</v>
      </c>
      <c r="ML123">
        <v>1.8578300000000001</v>
      </c>
      <c r="MM123">
        <v>1.7154700000000001</v>
      </c>
      <c r="MN123">
        <v>1.7093400000000001</v>
      </c>
      <c r="MZ123" t="s">
        <v>1119</v>
      </c>
      <c r="NA123">
        <v>1.41</v>
      </c>
      <c r="NG123">
        <f>AVERAGE(Supplementary_Fig7!NG109:NG122)</f>
        <v>1.6479364285714284</v>
      </c>
      <c r="NJ123">
        <f>AVERAGE(Supplementary_Fig7!NJ109:NJ122)</f>
        <v>1.6697092857142855</v>
      </c>
      <c r="NK123">
        <f>AVERAGE(Supplementary_Fig7!NK109:NK122)</f>
        <v>1.3276485714285715</v>
      </c>
      <c r="NN123">
        <f>AVERAGE(Supplementary_Fig7!NN109:NN122)</f>
        <v>1.3667950000000002</v>
      </c>
      <c r="OC123" t="s">
        <v>676</v>
      </c>
      <c r="OD123">
        <v>306.28800000000001</v>
      </c>
      <c r="OF123" t="s">
        <v>1120</v>
      </c>
      <c r="OG123">
        <v>345.60399999999998</v>
      </c>
      <c r="QC123">
        <v>-99.1</v>
      </c>
      <c r="QD123">
        <v>2.8</v>
      </c>
      <c r="RA123">
        <v>-93.09</v>
      </c>
      <c r="RB123">
        <v>5.93</v>
      </c>
    </row>
    <row r="124" spans="171:470" x14ac:dyDescent="0.35">
      <c r="FO124" t="s">
        <v>687</v>
      </c>
      <c r="FP124">
        <v>60.75</v>
      </c>
      <c r="FS124" t="s">
        <v>687</v>
      </c>
      <c r="FT124">
        <f>63*FP124/100</f>
        <v>38.272500000000001</v>
      </c>
      <c r="FY124">
        <v>41.808100000000003</v>
      </c>
      <c r="GA124">
        <v>72.761499999999998</v>
      </c>
      <c r="GH124" t="s">
        <v>674</v>
      </c>
      <c r="GJ124">
        <v>79.260000000000005</v>
      </c>
      <c r="GL124" t="s">
        <v>674</v>
      </c>
      <c r="GN124">
        <f t="shared" ref="GN124:GN131" si="30">63*GJ124/100</f>
        <v>49.933799999999998</v>
      </c>
      <c r="GR124">
        <v>61.962299999999999</v>
      </c>
      <c r="GS124">
        <v>63.020200000000003</v>
      </c>
      <c r="GT124">
        <v>107.03700000000001</v>
      </c>
      <c r="GU124">
        <v>55.113500000000002</v>
      </c>
      <c r="GZ124" t="s">
        <v>1111</v>
      </c>
      <c r="HB124">
        <v>55.24</v>
      </c>
      <c r="HD124" t="s">
        <v>1111</v>
      </c>
      <c r="HF124">
        <f>63*Supplementary_Fig7!HB124/100</f>
        <v>34.801200000000001</v>
      </c>
      <c r="HV124" t="s">
        <v>685</v>
      </c>
      <c r="HW124">
        <v>95.23731875</v>
      </c>
      <c r="HZ124">
        <v>105.84</v>
      </c>
      <c r="IA124">
        <v>91.163600000000002</v>
      </c>
      <c r="IB124">
        <v>96.7697</v>
      </c>
      <c r="IC124">
        <v>85.456800000000001</v>
      </c>
      <c r="ID124">
        <v>111.63500000000001</v>
      </c>
      <c r="IE124">
        <v>109.41200000000001</v>
      </c>
      <c r="IF124">
        <v>103.345</v>
      </c>
      <c r="IG124">
        <v>83.667000000000002</v>
      </c>
      <c r="IH124">
        <v>59.761000000000003</v>
      </c>
      <c r="II124">
        <v>79.513499999999993</v>
      </c>
      <c r="IJ124">
        <v>93.568399999999997</v>
      </c>
      <c r="IK124">
        <v>86.393699999999995</v>
      </c>
      <c r="IL124">
        <v>90.152000000000001</v>
      </c>
      <c r="IM124">
        <v>73.709100000000007</v>
      </c>
      <c r="IN124">
        <v>107.10899999999999</v>
      </c>
      <c r="IO124">
        <v>88.304100000000005</v>
      </c>
      <c r="IX124" t="s">
        <v>678</v>
      </c>
      <c r="IY124">
        <v>88.67</v>
      </c>
      <c r="JB124">
        <v>85.472099999999998</v>
      </c>
      <c r="JC124">
        <v>111.607</v>
      </c>
      <c r="JD124">
        <v>83.425899999999999</v>
      </c>
      <c r="JE124">
        <v>120.92700000000001</v>
      </c>
      <c r="JF124">
        <v>86.447100000000006</v>
      </c>
      <c r="JG124">
        <v>83.593800000000002</v>
      </c>
      <c r="JH124">
        <v>90.193200000000004</v>
      </c>
      <c r="JI124">
        <v>100.40600000000001</v>
      </c>
      <c r="JJ124">
        <v>90.737899999999996</v>
      </c>
      <c r="JK124">
        <v>97.441100000000006</v>
      </c>
      <c r="JL124">
        <v>88.940399999999997</v>
      </c>
      <c r="JM124">
        <v>96.048000000000002</v>
      </c>
      <c r="JN124">
        <v>92.547600000000003</v>
      </c>
      <c r="JO124">
        <v>124.68600000000001</v>
      </c>
      <c r="JP124">
        <v>88.194299999999998</v>
      </c>
      <c r="JQ124">
        <v>104.471</v>
      </c>
      <c r="JR124">
        <v>109.20399999999999</v>
      </c>
      <c r="JS124">
        <v>88.8245</v>
      </c>
      <c r="JV124" t="s">
        <v>1121</v>
      </c>
      <c r="JW124">
        <v>113.22</v>
      </c>
      <c r="KA124">
        <v>92.1143</v>
      </c>
      <c r="KG124">
        <f>AVERAGE(Supplementary_Fig7!KG110:KG123)</f>
        <v>112.60686428571428</v>
      </c>
      <c r="KK124">
        <f>AVERAGE(Supplementary_Fig7!KK110:KK123)</f>
        <v>98.272257142857143</v>
      </c>
      <c r="KN124">
        <f>AVERAGE(Supplementary_Fig7!KN110:KN123)</f>
        <v>114.34010714285714</v>
      </c>
      <c r="KT124" t="s">
        <v>685</v>
      </c>
      <c r="KU124">
        <v>1.6</v>
      </c>
      <c r="KY124">
        <v>1.6696</v>
      </c>
      <c r="KZ124">
        <v>1.51709</v>
      </c>
      <c r="LA124">
        <v>2.1938800000000001</v>
      </c>
      <c r="LB124">
        <v>1.5760099999999999</v>
      </c>
      <c r="LC124">
        <v>1.68981</v>
      </c>
      <c r="LD124">
        <v>1.7901199999999999</v>
      </c>
      <c r="LE124">
        <v>3.0738300000000001</v>
      </c>
      <c r="LF124">
        <v>1.89225</v>
      </c>
      <c r="LG124">
        <v>1.6693</v>
      </c>
      <c r="LH124">
        <v>1.6942999999999999</v>
      </c>
      <c r="LW124" t="s">
        <v>678</v>
      </c>
      <c r="LX124">
        <v>1.76</v>
      </c>
      <c r="MB124">
        <v>1.86067</v>
      </c>
      <c r="MC124">
        <v>1.98143</v>
      </c>
      <c r="MD124">
        <v>1.86846</v>
      </c>
      <c r="ME124">
        <v>2.1970200000000002</v>
      </c>
      <c r="MF124">
        <v>1.9172400000000001</v>
      </c>
      <c r="MG124">
        <v>1.8286500000000001</v>
      </c>
      <c r="MH124">
        <v>1.7382200000000001</v>
      </c>
      <c r="MI124">
        <v>1.50193</v>
      </c>
      <c r="MJ124">
        <v>1.87154</v>
      </c>
      <c r="MK124">
        <v>1.6536500000000001</v>
      </c>
      <c r="ML124">
        <v>1.85619</v>
      </c>
      <c r="MM124">
        <v>1.69486</v>
      </c>
      <c r="MN124">
        <v>1.6750700000000001</v>
      </c>
      <c r="MZ124" t="s">
        <v>1121</v>
      </c>
      <c r="NA124">
        <v>2.0299999999999998</v>
      </c>
      <c r="OC124" t="s">
        <v>678</v>
      </c>
      <c r="OD124">
        <v>352.01499999999999</v>
      </c>
      <c r="OF124" t="s">
        <v>1122</v>
      </c>
      <c r="OG124">
        <v>408.298</v>
      </c>
      <c r="QC124">
        <v>-99.13</v>
      </c>
      <c r="QD124">
        <v>4.13</v>
      </c>
      <c r="RA124">
        <v>-93.43</v>
      </c>
      <c r="RB124">
        <v>2.77</v>
      </c>
    </row>
    <row r="125" spans="171:470" ht="13.15" x14ac:dyDescent="0.4">
      <c r="FO125" t="s">
        <v>1123</v>
      </c>
      <c r="FP125">
        <v>80.33</v>
      </c>
      <c r="FS125" t="s">
        <v>1123</v>
      </c>
      <c r="FT125">
        <f>63*FP125/100</f>
        <v>50.607900000000001</v>
      </c>
      <c r="FW125" s="1">
        <f>AVERAGE(Supplementary_Fig7!FW121:FW124)</f>
        <v>84.161133333333325</v>
      </c>
      <c r="FX125" s="1">
        <f>AVERAGE(Supplementary_Fig7!FX121:FX124)</f>
        <v>91.196100000000001</v>
      </c>
      <c r="FY125" s="1">
        <f>AVERAGE(Supplementary_Fig7!FY121:FY124)</f>
        <v>39.762949999999996</v>
      </c>
      <c r="FZ125" s="1">
        <f>AVERAGE(Supplementary_Fig7!FZ121:FZ124)</f>
        <v>93.208500000000001</v>
      </c>
      <c r="GA125" s="1">
        <f>AVERAGE(Supplementary_Fig7!GA121:GA124)</f>
        <v>57.625250000000008</v>
      </c>
      <c r="GH125" t="s">
        <v>676</v>
      </c>
      <c r="GJ125">
        <v>113.09</v>
      </c>
      <c r="GL125" t="s">
        <v>676</v>
      </c>
      <c r="GN125">
        <f t="shared" si="30"/>
        <v>71.246700000000004</v>
      </c>
      <c r="GQ125" s="1">
        <f t="shared" ref="GQ125:GV125" si="31">AVERAGE(GQ121:GQ124)</f>
        <v>73.485900000000001</v>
      </c>
      <c r="GR125" s="1">
        <f t="shared" si="31"/>
        <v>60.576250000000002</v>
      </c>
      <c r="GS125" s="1">
        <f t="shared" si="31"/>
        <v>66.855249999999998</v>
      </c>
      <c r="GT125" s="1">
        <f t="shared" si="31"/>
        <v>124.89134999999999</v>
      </c>
      <c r="GU125" s="1">
        <f t="shared" si="31"/>
        <v>56.228625000000008</v>
      </c>
      <c r="GV125" s="1">
        <f t="shared" si="31"/>
        <v>79.266900000000007</v>
      </c>
      <c r="GZ125" t="s">
        <v>1112</v>
      </c>
      <c r="HB125">
        <v>65.53</v>
      </c>
      <c r="HD125" t="s">
        <v>1112</v>
      </c>
      <c r="HF125">
        <f>63*Supplementary_Fig7!HB125/100</f>
        <v>41.283900000000003</v>
      </c>
      <c r="HJ125" t="s">
        <v>1113</v>
      </c>
      <c r="HK125" t="s">
        <v>1114</v>
      </c>
      <c r="HL125" t="s">
        <v>1116</v>
      </c>
      <c r="HM125" t="s">
        <v>1118</v>
      </c>
      <c r="HN125" t="s">
        <v>1120</v>
      </c>
      <c r="HO125" t="s">
        <v>1122</v>
      </c>
      <c r="HP125" t="s">
        <v>1124</v>
      </c>
      <c r="HV125" t="s">
        <v>687</v>
      </c>
      <c r="HW125">
        <v>81.387143750000007</v>
      </c>
      <c r="HZ125">
        <v>81.0608</v>
      </c>
      <c r="IA125">
        <v>91.387900000000002</v>
      </c>
      <c r="IB125">
        <v>83.558700000000002</v>
      </c>
      <c r="IC125">
        <v>84.368899999999996</v>
      </c>
      <c r="ID125">
        <v>90.144300000000001</v>
      </c>
      <c r="IE125">
        <v>79.176299999999998</v>
      </c>
      <c r="IF125">
        <v>87.637299999999996</v>
      </c>
      <c r="IG125">
        <v>89.454700000000003</v>
      </c>
      <c r="IH125">
        <v>58.0276</v>
      </c>
      <c r="II125">
        <v>83.183300000000003</v>
      </c>
      <c r="IJ125">
        <v>83.108500000000006</v>
      </c>
      <c r="IK125">
        <v>75.627099999999999</v>
      </c>
      <c r="IL125">
        <v>56.1325</v>
      </c>
      <c r="IM125">
        <v>78.845200000000006</v>
      </c>
      <c r="IN125">
        <v>86.689800000000005</v>
      </c>
      <c r="IO125">
        <v>73.376499999999993</v>
      </c>
      <c r="IX125" t="s">
        <v>680</v>
      </c>
      <c r="IY125">
        <v>100.52</v>
      </c>
      <c r="JB125">
        <v>112.831</v>
      </c>
      <c r="JC125">
        <v>113.214</v>
      </c>
      <c r="JD125">
        <v>86.293000000000006</v>
      </c>
      <c r="JE125">
        <v>77.584800000000001</v>
      </c>
      <c r="JF125">
        <v>89.881900000000002</v>
      </c>
      <c r="JG125">
        <v>112.526</v>
      </c>
      <c r="JH125">
        <v>91.067499999999995</v>
      </c>
      <c r="JI125">
        <v>99.246200000000002</v>
      </c>
      <c r="JJ125">
        <v>113.51600000000001</v>
      </c>
      <c r="JK125">
        <v>95.222499999999997</v>
      </c>
      <c r="JL125">
        <v>89.688100000000006</v>
      </c>
      <c r="JM125">
        <v>92.515600000000006</v>
      </c>
      <c r="JN125">
        <v>119.571</v>
      </c>
      <c r="JO125">
        <f>AVERAGE(JO118:JO124)</f>
        <v>106.29338571428572</v>
      </c>
      <c r="JP125">
        <v>89.382900000000006</v>
      </c>
      <c r="JQ125">
        <v>100.009</v>
      </c>
      <c r="JR125">
        <v>98.098799999999997</v>
      </c>
      <c r="JS125">
        <v>89.552300000000002</v>
      </c>
      <c r="JV125" t="s">
        <v>1125</v>
      </c>
      <c r="JW125">
        <v>125.68</v>
      </c>
      <c r="KA125">
        <v>93.168599999999998</v>
      </c>
      <c r="KT125" t="s">
        <v>687</v>
      </c>
      <c r="KU125">
        <v>1.65</v>
      </c>
      <c r="KY125">
        <v>1.8204800000000001</v>
      </c>
      <c r="KZ125">
        <v>1.84562</v>
      </c>
      <c r="LA125">
        <v>2.1917599999999999</v>
      </c>
      <c r="LB125">
        <v>1.8452599999999999</v>
      </c>
      <c r="LC125">
        <v>1.79633</v>
      </c>
      <c r="LD125">
        <v>1.6577900000000001</v>
      </c>
      <c r="LE125">
        <v>3.1070799999999998</v>
      </c>
      <c r="LF125">
        <v>1.8404499999999999</v>
      </c>
      <c r="LG125">
        <v>1.6090100000000001</v>
      </c>
      <c r="LH125">
        <v>1.62442</v>
      </c>
      <c r="LW125" t="s">
        <v>680</v>
      </c>
      <c r="LX125">
        <v>1.74</v>
      </c>
      <c r="MB125">
        <v>1.7807599999999999</v>
      </c>
      <c r="MC125">
        <v>1.8491</v>
      </c>
      <c r="MD125">
        <v>1.8995899999999999</v>
      </c>
      <c r="ME125">
        <v>2.1958700000000002</v>
      </c>
      <c r="MF125">
        <v>1.83111</v>
      </c>
      <c r="MG125">
        <v>1.80366</v>
      </c>
      <c r="MH125">
        <v>1.7677</v>
      </c>
      <c r="MI125">
        <v>1.4635899999999999</v>
      </c>
      <c r="MJ125">
        <v>1.8734</v>
      </c>
      <c r="MK125">
        <v>1.6677999999999999</v>
      </c>
      <c r="ML125">
        <v>1.9303399999999999</v>
      </c>
      <c r="MM125">
        <v>1.6885300000000001</v>
      </c>
      <c r="MN125">
        <v>1.7096800000000001</v>
      </c>
      <c r="MZ125" t="s">
        <v>1125</v>
      </c>
      <c r="NA125">
        <v>1.59</v>
      </c>
      <c r="ND125" t="s">
        <v>1115</v>
      </c>
      <c r="NE125" t="s">
        <v>1117</v>
      </c>
      <c r="NF125" t="s">
        <v>1119</v>
      </c>
      <c r="NG125" t="s">
        <v>1121</v>
      </c>
      <c r="NH125" t="s">
        <v>1125</v>
      </c>
      <c r="NI125" t="s">
        <v>1126</v>
      </c>
      <c r="OC125" t="s">
        <v>680</v>
      </c>
      <c r="OD125">
        <v>325.93</v>
      </c>
      <c r="OF125" t="s">
        <v>1124</v>
      </c>
      <c r="OG125">
        <v>327.65600000000001</v>
      </c>
      <c r="QC125">
        <v>-99.17</v>
      </c>
      <c r="QD125">
        <v>1.84</v>
      </c>
      <c r="RA125">
        <v>-93.74</v>
      </c>
      <c r="RB125">
        <v>4.2300000000000004</v>
      </c>
    </row>
    <row r="126" spans="171:470" ht="13.15" x14ac:dyDescent="0.4">
      <c r="FO126" t="s">
        <v>161</v>
      </c>
      <c r="FQ126">
        <v>72.790000000000006</v>
      </c>
      <c r="FS126" t="s">
        <v>161</v>
      </c>
      <c r="FU126">
        <f>63*FQ126/100</f>
        <v>45.857700000000001</v>
      </c>
      <c r="GH126" t="s">
        <v>678</v>
      </c>
      <c r="GJ126">
        <v>85.65</v>
      </c>
      <c r="GL126" t="s">
        <v>678</v>
      </c>
      <c r="GN126">
        <f t="shared" si="30"/>
        <v>53.959500000000006</v>
      </c>
      <c r="GZ126" t="s">
        <v>1113</v>
      </c>
      <c r="HB126">
        <v>53.46</v>
      </c>
      <c r="HD126" t="s">
        <v>1113</v>
      </c>
      <c r="HF126">
        <f>63*Supplementary_Fig7!HB126/100</f>
        <v>33.6798</v>
      </c>
      <c r="HJ126">
        <v>53.414999999999999</v>
      </c>
      <c r="HK126">
        <v>53.723599999999998</v>
      </c>
      <c r="HL126">
        <v>22.321200000000001</v>
      </c>
      <c r="HM126">
        <v>53.587600000000002</v>
      </c>
      <c r="HN126">
        <v>63.901800000000001</v>
      </c>
      <c r="HO126">
        <v>59.044499999999999</v>
      </c>
      <c r="HP126">
        <v>59.942599999999999</v>
      </c>
      <c r="HW126" s="1">
        <f>AVERAGE(Supplementary_Fig7!HW4:HX125)</f>
        <v>84.822987397540942</v>
      </c>
      <c r="HZ126">
        <v>80.557299999999998</v>
      </c>
      <c r="IA126">
        <v>91.658000000000001</v>
      </c>
      <c r="IB126">
        <v>83.160399999999996</v>
      </c>
      <c r="IC126">
        <v>83.078000000000003</v>
      </c>
      <c r="ID126">
        <v>85.893199999999993</v>
      </c>
      <c r="IE126">
        <v>79.693600000000004</v>
      </c>
      <c r="IF126">
        <v>88.409400000000005</v>
      </c>
      <c r="IG126">
        <v>86.766099999999994</v>
      </c>
      <c r="IH126">
        <v>57.223500000000001</v>
      </c>
      <c r="II126">
        <v>81.962599999999995</v>
      </c>
      <c r="IJ126">
        <v>78.912400000000005</v>
      </c>
      <c r="IK126">
        <v>80.177300000000002</v>
      </c>
      <c r="IL126">
        <v>58.293199999999999</v>
      </c>
      <c r="IM126">
        <v>78.036500000000004</v>
      </c>
      <c r="IN126">
        <v>87.043800000000005</v>
      </c>
      <c r="IO126">
        <v>73.036199999999994</v>
      </c>
      <c r="IX126" t="s">
        <v>682</v>
      </c>
      <c r="IY126">
        <v>105.08</v>
      </c>
      <c r="JB126">
        <v>85.253900000000002</v>
      </c>
      <c r="JC126">
        <v>85.417199999999994</v>
      </c>
      <c r="JD126">
        <v>85.160799999999995</v>
      </c>
      <c r="JE126">
        <v>76.6464</v>
      </c>
      <c r="JF126">
        <v>90.512100000000004</v>
      </c>
      <c r="JG126">
        <v>84.869399999999999</v>
      </c>
      <c r="JH126">
        <v>89.285300000000007</v>
      </c>
      <c r="JI126">
        <v>98.414599999999993</v>
      </c>
      <c r="JJ126">
        <v>121.426</v>
      </c>
      <c r="JK126">
        <v>123.21599999999999</v>
      </c>
      <c r="JL126">
        <v>90.914900000000003</v>
      </c>
      <c r="JM126">
        <v>93.5852</v>
      </c>
      <c r="JN126">
        <v>118.94199999999999</v>
      </c>
      <c r="JP126">
        <v>89.677400000000006</v>
      </c>
      <c r="JQ126">
        <v>99.514799999999994</v>
      </c>
      <c r="JR126">
        <v>98.101799999999997</v>
      </c>
      <c r="JS126">
        <v>88.108800000000002</v>
      </c>
      <c r="JV126" t="s">
        <v>1126</v>
      </c>
      <c r="JW126">
        <v>100.68</v>
      </c>
      <c r="KA126">
        <f>AVERAGE(Supplementary_Fig7!KA110:KA125)</f>
        <v>95.401449999999983</v>
      </c>
      <c r="KU126">
        <f>AVERAGE(Supplementary_Fig7!KU4:KU125)</f>
        <v>2.1090491803278688</v>
      </c>
      <c r="KY126">
        <v>1.74953</v>
      </c>
      <c r="KZ126">
        <v>1.71021</v>
      </c>
      <c r="LA126">
        <v>2.1695799999999998</v>
      </c>
      <c r="LB126">
        <v>1.6916599999999999</v>
      </c>
      <c r="LC126">
        <v>1.7291399999999999</v>
      </c>
      <c r="LD126">
        <v>1.7174</v>
      </c>
      <c r="LE126">
        <v>3.5151400000000002</v>
      </c>
      <c r="LF126">
        <v>1.8071299999999999</v>
      </c>
      <c r="LG126">
        <v>1.6385000000000001</v>
      </c>
      <c r="LH126">
        <v>1.63486</v>
      </c>
      <c r="LW126" t="s">
        <v>682</v>
      </c>
      <c r="LX126">
        <v>1.62</v>
      </c>
      <c r="MB126">
        <v>1.81989</v>
      </c>
      <c r="MC126">
        <v>1.87497</v>
      </c>
      <c r="MD126">
        <v>1.9132499999999999</v>
      </c>
      <c r="ME126">
        <v>2.1127099999999999</v>
      </c>
      <c r="MF126">
        <v>1.92872</v>
      </c>
      <c r="MG126">
        <v>1.80552</v>
      </c>
      <c r="MH126">
        <v>1.7808999999999999</v>
      </c>
      <c r="MI126">
        <v>1.49953</v>
      </c>
      <c r="MJ126">
        <v>1.9009199999999999</v>
      </c>
      <c r="MK126">
        <v>1.6678200000000001</v>
      </c>
      <c r="ML126">
        <v>1.99129</v>
      </c>
      <c r="MM126">
        <v>1.6416200000000001</v>
      </c>
      <c r="MN126">
        <v>1.7040200000000001</v>
      </c>
      <c r="MZ126" t="s">
        <v>1126</v>
      </c>
      <c r="NA126">
        <v>1.4</v>
      </c>
      <c r="ND126">
        <v>1.5648</v>
      </c>
      <c r="NE126">
        <v>1.4280999999999999</v>
      </c>
      <c r="NF126">
        <v>1.40577</v>
      </c>
      <c r="NG126">
        <v>2.0137299999999998</v>
      </c>
      <c r="NH126">
        <v>1.5742100000000001</v>
      </c>
      <c r="NI126">
        <v>1.3531899999999999</v>
      </c>
      <c r="OC126" t="s">
        <v>682</v>
      </c>
      <c r="OD126">
        <v>338.52300000000002</v>
      </c>
      <c r="OG126" s="1">
        <f>AVERAGE(Supplementary_Fig7!OG4:OH125)</f>
        <v>304.07517310924368</v>
      </c>
      <c r="QC126">
        <v>-99.25</v>
      </c>
      <c r="QD126">
        <v>4.17</v>
      </c>
      <c r="RA126">
        <v>-94.06</v>
      </c>
      <c r="RB126">
        <v>2.2599999999999998</v>
      </c>
    </row>
    <row r="127" spans="171:470" ht="13.15" x14ac:dyDescent="0.4">
      <c r="FO127" t="s">
        <v>158</v>
      </c>
      <c r="FP127">
        <v>60.57</v>
      </c>
      <c r="FS127" t="s">
        <v>158</v>
      </c>
      <c r="FT127">
        <f>63*FP127/100</f>
        <v>38.159099999999995</v>
      </c>
      <c r="FW127" t="s">
        <v>679</v>
      </c>
      <c r="FX127" t="s">
        <v>681</v>
      </c>
      <c r="FY127" t="s">
        <v>683</v>
      </c>
      <c r="FZ127" t="s">
        <v>685</v>
      </c>
      <c r="GA127" t="s">
        <v>687</v>
      </c>
      <c r="GH127" t="s">
        <v>680</v>
      </c>
      <c r="GJ127">
        <v>91.47</v>
      </c>
      <c r="GL127" t="s">
        <v>680</v>
      </c>
      <c r="GN127">
        <f t="shared" si="30"/>
        <v>57.626099999999994</v>
      </c>
      <c r="GQ127" t="s">
        <v>676</v>
      </c>
      <c r="GR127" t="s">
        <v>678</v>
      </c>
      <c r="GS127" t="s">
        <v>680</v>
      </c>
      <c r="GT127" t="s">
        <v>682</v>
      </c>
      <c r="GU127" t="s">
        <v>684</v>
      </c>
      <c r="GV127" t="s">
        <v>686</v>
      </c>
      <c r="GW127" t="s">
        <v>688</v>
      </c>
      <c r="GZ127" t="s">
        <v>1114</v>
      </c>
      <c r="HB127">
        <v>52.91</v>
      </c>
      <c r="HD127" t="s">
        <v>1114</v>
      </c>
      <c r="HF127">
        <f>63*Supplementary_Fig7!HB127/100</f>
        <v>33.333300000000001</v>
      </c>
      <c r="HJ127">
        <v>59.038499999999999</v>
      </c>
      <c r="HK127">
        <v>62.516500000000001</v>
      </c>
      <c r="HL127">
        <v>23.4038</v>
      </c>
      <c r="HM127">
        <v>65.870099999999994</v>
      </c>
      <c r="HN127">
        <v>82.280299999999997</v>
      </c>
      <c r="HO127">
        <v>53.716000000000001</v>
      </c>
      <c r="HP127">
        <v>65.737300000000005</v>
      </c>
      <c r="HZ127">
        <v>78.869600000000005</v>
      </c>
      <c r="IA127">
        <v>90.7166</v>
      </c>
      <c r="IB127">
        <v>83.846999999999994</v>
      </c>
      <c r="IC127">
        <v>100.053</v>
      </c>
      <c r="ID127">
        <v>85.713200000000001</v>
      </c>
      <c r="IE127">
        <v>79.829400000000007</v>
      </c>
      <c r="IF127">
        <v>87.4405</v>
      </c>
      <c r="IG127">
        <v>84.733599999999996</v>
      </c>
      <c r="IH127">
        <v>59.4681</v>
      </c>
      <c r="II127">
        <v>81.858800000000002</v>
      </c>
      <c r="IJ127">
        <v>79.4739</v>
      </c>
      <c r="IK127">
        <v>87.944000000000003</v>
      </c>
      <c r="IL127">
        <v>57.769799999999996</v>
      </c>
      <c r="IM127">
        <v>77.473399999999998</v>
      </c>
      <c r="IN127">
        <v>85.217299999999994</v>
      </c>
      <c r="IO127">
        <v>74.348399999999998</v>
      </c>
      <c r="IX127" t="s">
        <v>684</v>
      </c>
      <c r="IY127">
        <v>87.87</v>
      </c>
      <c r="JB127">
        <v>85.478200000000001</v>
      </c>
      <c r="JC127">
        <v>85.478200000000001</v>
      </c>
      <c r="JD127">
        <v>84.298699999999997</v>
      </c>
      <c r="JE127">
        <v>109.431</v>
      </c>
      <c r="JF127">
        <v>90.4358</v>
      </c>
      <c r="JG127">
        <v>85.456800000000001</v>
      </c>
      <c r="JH127">
        <v>87.796000000000006</v>
      </c>
      <c r="JI127">
        <v>122.101</v>
      </c>
      <c r="JJ127">
        <v>122.568</v>
      </c>
      <c r="JK127">
        <v>126.46899999999999</v>
      </c>
      <c r="JL127">
        <v>90.724199999999996</v>
      </c>
      <c r="JM127">
        <v>92.062399999999997</v>
      </c>
      <c r="JN127">
        <v>120.468</v>
      </c>
      <c r="JP127">
        <v>92.729200000000006</v>
      </c>
      <c r="JQ127">
        <v>96.693399999999997</v>
      </c>
      <c r="JR127">
        <v>112.914</v>
      </c>
      <c r="JS127">
        <v>86.744699999999995</v>
      </c>
      <c r="JW127" s="1">
        <f>AVERAGE(Supplementary_Fig7!JW4:JX126)</f>
        <v>104.3994705882353</v>
      </c>
      <c r="KY127">
        <v>1.71898</v>
      </c>
      <c r="KZ127">
        <v>1.5884</v>
      </c>
      <c r="LA127">
        <v>2.1125099999999999</v>
      </c>
      <c r="LB127">
        <v>1.64008</v>
      </c>
      <c r="LC127">
        <v>1.7115499999999999</v>
      </c>
      <c r="LD127">
        <v>2.00271</v>
      </c>
      <c r="LE127">
        <v>3.1200100000000002</v>
      </c>
      <c r="LF127">
        <v>1.8260799999999999</v>
      </c>
      <c r="LG127">
        <v>1.5902799999999999</v>
      </c>
      <c r="LH127">
        <v>1.60873</v>
      </c>
      <c r="LW127" t="s">
        <v>684</v>
      </c>
      <c r="LX127">
        <v>1.89</v>
      </c>
      <c r="MB127">
        <v>1.82047</v>
      </c>
      <c r="MC127">
        <v>1.8887799999999999</v>
      </c>
      <c r="MD127">
        <v>1.95502</v>
      </c>
      <c r="ME127">
        <v>2.1859899999999999</v>
      </c>
      <c r="MF127">
        <v>1.8004199999999999</v>
      </c>
      <c r="MG127">
        <v>1.75159</v>
      </c>
      <c r="MH127">
        <v>1.8261400000000001</v>
      </c>
      <c r="MI127">
        <f>AVERAGE(MI116:MI126)</f>
        <v>1.4989199999999998</v>
      </c>
      <c r="MJ127">
        <v>1.78254</v>
      </c>
      <c r="MK127">
        <v>1.73776</v>
      </c>
      <c r="ML127">
        <v>1.8794</v>
      </c>
      <c r="MM127">
        <v>1.75057</v>
      </c>
      <c r="MN127">
        <v>1.7331300000000001</v>
      </c>
      <c r="NA127" s="1">
        <f>AVERAGE(Supplementary_Fig7!NA4:NB126)</f>
        <v>1.4582605042016805</v>
      </c>
      <c r="ND127">
        <v>1.57212</v>
      </c>
      <c r="NE127">
        <v>1.4367399999999999</v>
      </c>
      <c r="NF127">
        <v>1.4133</v>
      </c>
      <c r="NG127">
        <v>2.0881799999999999</v>
      </c>
      <c r="NH127">
        <v>1.59273</v>
      </c>
      <c r="NI127">
        <v>1.3882099999999999</v>
      </c>
      <c r="OC127" t="s">
        <v>684</v>
      </c>
      <c r="OD127">
        <v>243.89500000000001</v>
      </c>
      <c r="QC127">
        <v>-99.42</v>
      </c>
      <c r="QD127">
        <v>4.37</v>
      </c>
      <c r="RA127">
        <v>-94.08</v>
      </c>
      <c r="RB127">
        <v>5.32</v>
      </c>
    </row>
    <row r="128" spans="171:470" x14ac:dyDescent="0.35">
      <c r="FO128" t="s">
        <v>1127</v>
      </c>
      <c r="FP128">
        <v>89.38</v>
      </c>
      <c r="FS128" t="s">
        <v>1127</v>
      </c>
      <c r="FT128">
        <f>63*FP128/100</f>
        <v>56.309399999999997</v>
      </c>
      <c r="FW128">
        <v>41.332299999999996</v>
      </c>
      <c r="FX128">
        <v>46.494599999999998</v>
      </c>
      <c r="FY128">
        <v>57.5015</v>
      </c>
      <c r="FZ128">
        <v>94.475999999999999</v>
      </c>
      <c r="GA128">
        <v>53.302599999999998</v>
      </c>
      <c r="GH128" t="s">
        <v>682</v>
      </c>
      <c r="GJ128">
        <v>86.72</v>
      </c>
      <c r="GL128" t="s">
        <v>682</v>
      </c>
      <c r="GN128">
        <f t="shared" si="30"/>
        <v>54.633599999999994</v>
      </c>
      <c r="GQ128">
        <v>143.839</v>
      </c>
      <c r="GR128">
        <v>69.516400000000004</v>
      </c>
      <c r="GS128">
        <v>102.738</v>
      </c>
      <c r="GT128">
        <v>93.762200000000007</v>
      </c>
      <c r="GU128">
        <v>113.117</v>
      </c>
      <c r="GV128">
        <v>89.886499999999998</v>
      </c>
      <c r="GW128">
        <v>56.807299999999998</v>
      </c>
      <c r="GZ128" t="s">
        <v>1116</v>
      </c>
      <c r="HB128">
        <v>21.86</v>
      </c>
      <c r="HD128" t="s">
        <v>1116</v>
      </c>
      <c r="HF128">
        <f>63*Supplementary_Fig7!HB128/100</f>
        <v>13.771800000000001</v>
      </c>
      <c r="HJ128">
        <v>54.742400000000004</v>
      </c>
      <c r="HK128">
        <v>39.671399999999998</v>
      </c>
      <c r="HL128">
        <v>23.5684</v>
      </c>
      <c r="HM128">
        <v>55.180599999999998</v>
      </c>
      <c r="HN128">
        <v>62.638199999999998</v>
      </c>
      <c r="HO128">
        <v>82.8553</v>
      </c>
      <c r="HP128">
        <v>44.151000000000003</v>
      </c>
      <c r="HZ128">
        <v>81.162999999999997</v>
      </c>
      <c r="IA128">
        <v>90.138199999999998</v>
      </c>
      <c r="IB128">
        <v>98.446700000000007</v>
      </c>
      <c r="IC128">
        <v>100.003</v>
      </c>
      <c r="ID128">
        <v>114.25</v>
      </c>
      <c r="IE128">
        <v>79.805000000000007</v>
      </c>
      <c r="IF128">
        <v>86.985799999999998</v>
      </c>
      <c r="IG128">
        <v>85.543800000000005</v>
      </c>
      <c r="IH128">
        <v>58.572400000000002</v>
      </c>
      <c r="II128">
        <v>80.886799999999994</v>
      </c>
      <c r="IJ128">
        <v>95.075999999999993</v>
      </c>
      <c r="IK128">
        <v>90.831000000000003</v>
      </c>
      <c r="IL128">
        <v>60.636899999999997</v>
      </c>
      <c r="IM128">
        <v>76.469399999999993</v>
      </c>
      <c r="IN128">
        <v>84.770200000000003</v>
      </c>
      <c r="IO128">
        <v>73.725899999999996</v>
      </c>
      <c r="IX128" t="s">
        <v>686</v>
      </c>
      <c r="IY128">
        <v>106.77</v>
      </c>
      <c r="JB128">
        <v>84.170500000000004</v>
      </c>
      <c r="JC128">
        <v>102.087</v>
      </c>
      <c r="JD128">
        <v>82.159400000000005</v>
      </c>
      <c r="JE128">
        <v>113.63200000000001</v>
      </c>
      <c r="JF128">
        <v>88.652000000000001</v>
      </c>
      <c r="JG128">
        <v>84.133899999999997</v>
      </c>
      <c r="JH128">
        <v>88.505600000000001</v>
      </c>
      <c r="JI128">
        <v>123.578</v>
      </c>
      <c r="JJ128">
        <v>112.354</v>
      </c>
      <c r="JK128">
        <v>124.81100000000001</v>
      </c>
      <c r="JL128">
        <v>91.041600000000003</v>
      </c>
      <c r="JM128">
        <v>92.713899999999995</v>
      </c>
      <c r="JN128">
        <v>120.88</v>
      </c>
      <c r="JP128">
        <v>88.603200000000001</v>
      </c>
      <c r="JQ128">
        <v>94.641099999999994</v>
      </c>
      <c r="JR128">
        <v>94.751000000000005</v>
      </c>
      <c r="JS128">
        <v>88.792400000000001</v>
      </c>
      <c r="JZ128" t="s">
        <v>1092</v>
      </c>
      <c r="KA128" t="s">
        <v>1093</v>
      </c>
      <c r="KB128" t="s">
        <v>1094</v>
      </c>
      <c r="KC128" t="s">
        <v>1095</v>
      </c>
      <c r="KD128" t="s">
        <v>1096</v>
      </c>
      <c r="KE128" t="s">
        <v>1097</v>
      </c>
      <c r="KF128" t="s">
        <v>1115</v>
      </c>
      <c r="KG128" t="s">
        <v>1117</v>
      </c>
      <c r="KH128" t="s">
        <v>1119</v>
      </c>
      <c r="KI128" t="s">
        <v>1121</v>
      </c>
      <c r="KJ128" t="s">
        <v>1125</v>
      </c>
      <c r="KK128" t="s">
        <v>1126</v>
      </c>
      <c r="KY128">
        <v>1.6625399999999999</v>
      </c>
      <c r="KZ128">
        <v>1.5921099999999999</v>
      </c>
      <c r="LA128">
        <v>2.1386599999999998</v>
      </c>
      <c r="LB128">
        <v>1.63422</v>
      </c>
      <c r="LC128">
        <v>1.71313</v>
      </c>
      <c r="LD128">
        <v>1.66506</v>
      </c>
      <c r="LE128">
        <v>3.36355</v>
      </c>
      <c r="LF128">
        <v>1.8363799999999999</v>
      </c>
      <c r="LG128">
        <v>1.5905199999999999</v>
      </c>
      <c r="LH128">
        <v>1.62124</v>
      </c>
      <c r="LW128" t="s">
        <v>686</v>
      </c>
      <c r="LX128">
        <v>1.7</v>
      </c>
      <c r="MB128">
        <v>1.85029</v>
      </c>
      <c r="MC128">
        <v>1.9253899999999999</v>
      </c>
      <c r="MD128">
        <v>1.7755399999999999</v>
      </c>
      <c r="ME128">
        <f>AVERAGE(ME116:ME127)</f>
        <v>2.0414758333333336</v>
      </c>
      <c r="MF128">
        <v>1.8391500000000001</v>
      </c>
      <c r="MG128">
        <f>AVERAGE(MG116:MG127)</f>
        <v>1.7764766666666667</v>
      </c>
      <c r="MH128">
        <v>1.8245199999999999</v>
      </c>
      <c r="MJ128">
        <v>1.87209</v>
      </c>
      <c r="MK128">
        <f>AVERAGE(MK116:MK127)</f>
        <v>1.6842500000000002</v>
      </c>
      <c r="ML128">
        <v>1.8470899999999999</v>
      </c>
      <c r="MM128">
        <f>AVERAGE(MM116:MM127)</f>
        <v>1.6889575000000001</v>
      </c>
      <c r="MN128">
        <v>1.63792</v>
      </c>
      <c r="NB128" s="8"/>
      <c r="ND128">
        <v>1.5706</v>
      </c>
      <c r="NE128">
        <v>1.43014</v>
      </c>
      <c r="NF128">
        <v>1.40568</v>
      </c>
      <c r="NG128">
        <v>2.1458200000000001</v>
      </c>
      <c r="NH128">
        <v>1.60917</v>
      </c>
      <c r="NI128">
        <v>1.4264699999999999</v>
      </c>
      <c r="OC128" t="s">
        <v>686</v>
      </c>
      <c r="OD128">
        <v>302.38099999999997</v>
      </c>
      <c r="QC128">
        <v>-99.47</v>
      </c>
      <c r="QD128">
        <v>4.87</v>
      </c>
      <c r="RA128">
        <v>-94.11</v>
      </c>
      <c r="RB128">
        <v>10.1</v>
      </c>
    </row>
    <row r="129" spans="171:470" ht="13.15" x14ac:dyDescent="0.4">
      <c r="FO129" t="s">
        <v>168</v>
      </c>
      <c r="FQ129">
        <v>92.56</v>
      </c>
      <c r="FS129" t="s">
        <v>168</v>
      </c>
      <c r="FU129">
        <f>63*FQ129/100</f>
        <v>58.312799999999996</v>
      </c>
      <c r="FW129">
        <v>30.312799999999999</v>
      </c>
      <c r="FX129">
        <v>44.781500000000001</v>
      </c>
      <c r="FY129">
        <v>98.537099999999995</v>
      </c>
      <c r="FZ129">
        <v>76.422499999999999</v>
      </c>
      <c r="GA129">
        <v>52.317999999999998</v>
      </c>
      <c r="GH129" t="s">
        <v>684</v>
      </c>
      <c r="GJ129">
        <v>99.14</v>
      </c>
      <c r="GL129" t="s">
        <v>684</v>
      </c>
      <c r="GN129">
        <f t="shared" si="30"/>
        <v>62.458199999999998</v>
      </c>
      <c r="GQ129">
        <v>82.3523</v>
      </c>
      <c r="GR129">
        <v>101.797</v>
      </c>
      <c r="GS129">
        <v>80.203999999999994</v>
      </c>
      <c r="GT129">
        <v>79.687299999999993</v>
      </c>
      <c r="GU129">
        <v>85.169899999999998</v>
      </c>
      <c r="GV129">
        <v>84.7881</v>
      </c>
      <c r="GW129">
        <v>92.601600000000005</v>
      </c>
      <c r="GZ129" t="s">
        <v>1118</v>
      </c>
      <c r="HB129">
        <v>59.42</v>
      </c>
      <c r="HD129" t="s">
        <v>1118</v>
      </c>
      <c r="HF129">
        <f>63*Supplementary_Fig7!HB129/100</f>
        <v>37.434600000000003</v>
      </c>
      <c r="HJ129">
        <v>46.682600000000001</v>
      </c>
      <c r="HK129">
        <v>55.729300000000002</v>
      </c>
      <c r="HL129">
        <v>18.148900000000001</v>
      </c>
      <c r="HM129">
        <v>63.073999999999998</v>
      </c>
      <c r="HN129">
        <v>72.434399999999997</v>
      </c>
      <c r="HO129">
        <v>95.668800000000005</v>
      </c>
      <c r="HP129">
        <v>46.433500000000002</v>
      </c>
      <c r="HX129" s="1" t="s">
        <v>1128</v>
      </c>
      <c r="HZ129">
        <v>106.357</v>
      </c>
      <c r="IA129">
        <v>90.739400000000003</v>
      </c>
      <c r="IB129">
        <v>98.918199999999999</v>
      </c>
      <c r="IC129">
        <v>98.806799999999996</v>
      </c>
      <c r="ID129">
        <v>113.45099999999999</v>
      </c>
      <c r="IE129">
        <v>79.441800000000001</v>
      </c>
      <c r="IF129">
        <v>103.836</v>
      </c>
      <c r="IG129">
        <v>84.168999999999997</v>
      </c>
      <c r="IH129">
        <v>58.549500000000002</v>
      </c>
      <c r="II129">
        <v>80.151399999999995</v>
      </c>
      <c r="IJ129">
        <v>94.950900000000004</v>
      </c>
      <c r="IK129">
        <v>90.852400000000003</v>
      </c>
      <c r="IL129">
        <v>70.779399999999995</v>
      </c>
      <c r="IM129">
        <v>76.065100000000001</v>
      </c>
      <c r="IN129">
        <v>106.557</v>
      </c>
      <c r="IO129">
        <v>91.407799999999995</v>
      </c>
      <c r="IX129" t="s">
        <v>688</v>
      </c>
      <c r="IY129">
        <v>101.6</v>
      </c>
      <c r="JB129">
        <v>85.446200000000005</v>
      </c>
      <c r="JC129">
        <v>103.923</v>
      </c>
      <c r="JD129">
        <v>84.783900000000003</v>
      </c>
      <c r="JE129">
        <v>117.056</v>
      </c>
      <c r="JF129">
        <v>87.027000000000001</v>
      </c>
      <c r="JG129">
        <v>82.867400000000004</v>
      </c>
      <c r="JH129">
        <v>89.207499999999996</v>
      </c>
      <c r="JI129">
        <v>123.20099999999999</v>
      </c>
      <c r="JJ129">
        <v>125.009</v>
      </c>
      <c r="JK129">
        <v>125.18899999999999</v>
      </c>
      <c r="JL129">
        <v>120.7</v>
      </c>
      <c r="JM129">
        <v>95.001199999999997</v>
      </c>
      <c r="JN129">
        <v>120.78100000000001</v>
      </c>
      <c r="JP129">
        <v>85.423299999999998</v>
      </c>
      <c r="JQ129">
        <v>96.415700000000001</v>
      </c>
      <c r="JR129">
        <v>111.52200000000001</v>
      </c>
      <c r="JS129">
        <v>86.759900000000002</v>
      </c>
      <c r="JZ129">
        <v>85.160799999999995</v>
      </c>
      <c r="KA129">
        <v>97.857699999999994</v>
      </c>
      <c r="KB129">
        <v>125.42700000000001</v>
      </c>
      <c r="KC129">
        <v>95.246899999999997</v>
      </c>
      <c r="KD129">
        <v>110.00700000000001</v>
      </c>
      <c r="KE129">
        <v>86.169399999999996</v>
      </c>
      <c r="KF129">
        <v>85.070800000000006</v>
      </c>
      <c r="KG129">
        <v>93.305999999999997</v>
      </c>
      <c r="KH129">
        <v>122.47</v>
      </c>
      <c r="KI129">
        <v>74.658199999999994</v>
      </c>
      <c r="KJ129">
        <v>125.471</v>
      </c>
      <c r="KK129">
        <v>101.006</v>
      </c>
      <c r="KY129">
        <v>1.67049</v>
      </c>
      <c r="KZ129">
        <v>1.5908199999999999</v>
      </c>
      <c r="LA129">
        <v>2.09809</v>
      </c>
      <c r="LB129">
        <v>1.61802</v>
      </c>
      <c r="LC129">
        <v>1.74379</v>
      </c>
      <c r="LD129">
        <v>1.6189199999999999</v>
      </c>
      <c r="LE129">
        <v>3.1112899999999999</v>
      </c>
      <c r="LF129">
        <v>1.8249200000000001</v>
      </c>
      <c r="LG129">
        <v>1.60419</v>
      </c>
      <c r="LH129">
        <v>1.6403099999999999</v>
      </c>
      <c r="LW129" t="s">
        <v>688</v>
      </c>
      <c r="LX129">
        <v>1.72</v>
      </c>
      <c r="MB129">
        <v>1.8499099999999999</v>
      </c>
      <c r="MC129">
        <v>1.96452</v>
      </c>
      <c r="MD129">
        <v>1.8018799999999999</v>
      </c>
      <c r="MF129">
        <f>AVERAGE(MF116:MF128)</f>
        <v>1.8036592307692305</v>
      </c>
      <c r="MH129">
        <v>1.6790499999999999</v>
      </c>
      <c r="MJ129">
        <v>1.93706</v>
      </c>
      <c r="ML129">
        <v>1.8839300000000001</v>
      </c>
      <c r="MN129">
        <f>AVERAGE(MN116:MN128)</f>
        <v>1.6788561538461537</v>
      </c>
      <c r="ND129">
        <v>1.5904</v>
      </c>
      <c r="NE129">
        <v>1.42947</v>
      </c>
      <c r="NF129">
        <v>1.4199600000000001</v>
      </c>
      <c r="NG129">
        <v>2.1020799999999999</v>
      </c>
      <c r="NH129">
        <v>1.59724</v>
      </c>
      <c r="NI129">
        <v>1.4331499999999999</v>
      </c>
      <c r="OC129" t="s">
        <v>688</v>
      </c>
      <c r="OD129">
        <v>283.83199999999999</v>
      </c>
      <c r="QC129">
        <v>-99.59</v>
      </c>
      <c r="QD129">
        <v>5.4</v>
      </c>
      <c r="RA129">
        <v>-94.17</v>
      </c>
      <c r="RB129">
        <v>5.3</v>
      </c>
    </row>
    <row r="130" spans="171:470" ht="13.15" x14ac:dyDescent="0.4">
      <c r="FO130" t="s">
        <v>172</v>
      </c>
      <c r="FP130">
        <v>75.13</v>
      </c>
      <c r="FS130" t="s">
        <v>172</v>
      </c>
      <c r="FT130">
        <f>63*FP130/100</f>
        <v>47.331899999999997</v>
      </c>
      <c r="FW130">
        <v>52.132899999999999</v>
      </c>
      <c r="FX130">
        <v>42.654000000000003</v>
      </c>
      <c r="FY130">
        <v>43.993699999999997</v>
      </c>
      <c r="GA130">
        <v>55.068300000000001</v>
      </c>
      <c r="GH130" t="s">
        <v>686</v>
      </c>
      <c r="GJ130">
        <v>87.33</v>
      </c>
      <c r="GL130" t="s">
        <v>686</v>
      </c>
      <c r="GN130">
        <f t="shared" si="30"/>
        <v>55.017899999999997</v>
      </c>
      <c r="GZ130" t="s">
        <v>1120</v>
      </c>
      <c r="HA130">
        <v>70.31</v>
      </c>
      <c r="HD130" t="s">
        <v>1120</v>
      </c>
      <c r="HE130">
        <f>63*Supplementary_Fig7!HA130/100</f>
        <v>44.295299999999997</v>
      </c>
      <c r="HJ130" s="1">
        <f>AVERAGE(Supplementary_Fig7!HJ126:HJ129)</f>
        <v>53.469625000000001</v>
      </c>
      <c r="HK130" s="1">
        <f>AVERAGE(Supplementary_Fig7!HK126:HK129)</f>
        <v>52.910199999999996</v>
      </c>
      <c r="HL130" s="1">
        <f>AVERAGE(Supplementary_Fig7!HL126:HL129)</f>
        <v>21.860575000000001</v>
      </c>
      <c r="HM130" s="1">
        <f>AVERAGE(Supplementary_Fig7!HM126:HM129)</f>
        <v>59.428074999999993</v>
      </c>
      <c r="HN130" s="1">
        <f>AVERAGE(Supplementary_Fig7!HN126:HN129)</f>
        <v>70.313674999999989</v>
      </c>
      <c r="HO130" s="1">
        <f>AVERAGE(Supplementary_Fig7!HO126:HO129)</f>
        <v>72.821150000000003</v>
      </c>
      <c r="HP130" s="1">
        <f>AVERAGE(Supplementary_Fig7!HP126:HP129)</f>
        <v>54.066100000000006</v>
      </c>
      <c r="HX130">
        <v>108.28</v>
      </c>
      <c r="HZ130">
        <v>105.872</v>
      </c>
      <c r="IA130">
        <v>90.271000000000001</v>
      </c>
      <c r="IB130">
        <v>97.654700000000005</v>
      </c>
      <c r="IC130">
        <v>99.159199999999998</v>
      </c>
      <c r="ID130">
        <v>113.593</v>
      </c>
      <c r="IE130">
        <v>79.405199999999994</v>
      </c>
      <c r="IF130">
        <v>107.69199999999999</v>
      </c>
      <c r="IG130">
        <v>83.425899999999999</v>
      </c>
      <c r="IH130">
        <v>57.284500000000001</v>
      </c>
      <c r="II130">
        <v>80.073499999999996</v>
      </c>
      <c r="IJ130">
        <v>91.572599999999994</v>
      </c>
      <c r="IK130">
        <v>93.264799999999994</v>
      </c>
      <c r="IL130">
        <v>71.925399999999996</v>
      </c>
      <c r="IM130">
        <v>73.971599999999995</v>
      </c>
      <c r="IN130">
        <v>107.20399999999999</v>
      </c>
      <c r="IO130">
        <v>90.896600000000007</v>
      </c>
      <c r="IX130" t="s">
        <v>689</v>
      </c>
      <c r="IY130">
        <v>85.36</v>
      </c>
      <c r="JB130">
        <v>84.655799999999999</v>
      </c>
      <c r="JC130">
        <v>107.611</v>
      </c>
      <c r="JD130">
        <v>84.031700000000001</v>
      </c>
      <c r="JE130">
        <v>118.602</v>
      </c>
      <c r="JF130">
        <v>86.035200000000003</v>
      </c>
      <c r="JG130">
        <v>81.851200000000006</v>
      </c>
      <c r="JH130">
        <v>88.856499999999997</v>
      </c>
      <c r="JI130">
        <f>AVERAGE(JI118:JI129)</f>
        <v>110.680725</v>
      </c>
      <c r="JJ130">
        <v>91.000399999999999</v>
      </c>
      <c r="JK130">
        <f>AVERAGE(JK118:JK129)</f>
        <v>115.34592500000001</v>
      </c>
      <c r="JL130">
        <v>91.326899999999995</v>
      </c>
      <c r="JM130">
        <f>AVERAGE(JM118:JM129)</f>
        <v>93.946849999999984</v>
      </c>
      <c r="JN130">
        <v>95.678700000000006</v>
      </c>
      <c r="JP130">
        <v>84.188800000000001</v>
      </c>
      <c r="JQ130">
        <f>AVERAGE(JQ118:JQ129)</f>
        <v>100.52725</v>
      </c>
      <c r="JR130">
        <v>108.447</v>
      </c>
      <c r="JS130">
        <v>85.653700000000001</v>
      </c>
      <c r="JX130" s="1" t="s">
        <v>1128</v>
      </c>
      <c r="JZ130">
        <v>85.670500000000004</v>
      </c>
      <c r="KA130">
        <v>119.928</v>
      </c>
      <c r="KB130">
        <v>126.544</v>
      </c>
      <c r="KC130">
        <v>94.866900000000001</v>
      </c>
      <c r="KD130">
        <v>108.904</v>
      </c>
      <c r="KE130">
        <v>120.883</v>
      </c>
      <c r="KF130">
        <v>83.549499999999995</v>
      </c>
      <c r="KG130">
        <v>93.429599999999994</v>
      </c>
      <c r="KH130">
        <v>121.992</v>
      </c>
      <c r="KI130">
        <v>74.902299999999997</v>
      </c>
      <c r="KJ130">
        <v>125.30200000000001</v>
      </c>
      <c r="KK130">
        <v>101.55800000000001</v>
      </c>
      <c r="KV130" s="1" t="s">
        <v>1128</v>
      </c>
      <c r="KY130">
        <v>1.6683399999999999</v>
      </c>
      <c r="KZ130">
        <v>1.5769200000000001</v>
      </c>
      <c r="LA130">
        <v>2.0989599999999999</v>
      </c>
      <c r="LB130">
        <v>1.60592</v>
      </c>
      <c r="LC130">
        <v>1.70564</v>
      </c>
      <c r="LD130">
        <v>1.7078199999999999</v>
      </c>
      <c r="LE130">
        <v>2.28294</v>
      </c>
      <c r="LF130">
        <v>1.8382400000000001</v>
      </c>
      <c r="LG130">
        <v>1.6343700000000001</v>
      </c>
      <c r="LH130">
        <v>1.64177</v>
      </c>
      <c r="LW130" t="s">
        <v>689</v>
      </c>
      <c r="LX130">
        <v>1.63</v>
      </c>
      <c r="MB130">
        <v>1.85094</v>
      </c>
      <c r="MC130">
        <v>2.0216599999999998</v>
      </c>
      <c r="MD130">
        <v>1.8200099999999999</v>
      </c>
      <c r="MH130">
        <v>1.8464</v>
      </c>
      <c r="MJ130">
        <f>AVERAGE(MJ116:MJ129)</f>
        <v>1.8579835714285715</v>
      </c>
      <c r="ML130">
        <v>1.81437</v>
      </c>
      <c r="NB130" s="1" t="s">
        <v>1128</v>
      </c>
      <c r="ND130">
        <v>1.5697700000000001</v>
      </c>
      <c r="NE130">
        <v>1.4196899999999999</v>
      </c>
      <c r="NF130">
        <v>1.42824</v>
      </c>
      <c r="NG130">
        <v>2.1363400000000001</v>
      </c>
      <c r="NH130">
        <f>AVERAGE(Supplementary_Fig7!NH126:NH129)</f>
        <v>1.5933375000000001</v>
      </c>
      <c r="NI130">
        <f>AVERAGE(Supplementary_Fig7!NI126:NI129)</f>
        <v>1.400255</v>
      </c>
      <c r="OC130" t="s">
        <v>689</v>
      </c>
      <c r="OD130">
        <v>241.453</v>
      </c>
      <c r="QC130">
        <v>-99.65</v>
      </c>
      <c r="QD130">
        <v>3.6</v>
      </c>
      <c r="RA130">
        <v>-94.28</v>
      </c>
      <c r="RB130">
        <v>5.53</v>
      </c>
    </row>
    <row r="131" spans="171:470" x14ac:dyDescent="0.35">
      <c r="FO131" t="s">
        <v>1129</v>
      </c>
      <c r="FP131">
        <v>84.78</v>
      </c>
      <c r="FS131" t="s">
        <v>1129</v>
      </c>
      <c r="FT131">
        <f>63*FP131/100</f>
        <v>53.4114</v>
      </c>
      <c r="FW131">
        <v>55.2697</v>
      </c>
      <c r="FX131">
        <v>44.488700000000001</v>
      </c>
      <c r="FY131">
        <v>71.457099999999997</v>
      </c>
      <c r="GA131" s="8">
        <v>82.330100000000002</v>
      </c>
      <c r="GH131" t="s">
        <v>688</v>
      </c>
      <c r="GJ131">
        <v>74.7</v>
      </c>
      <c r="GL131" t="s">
        <v>688</v>
      </c>
      <c r="GN131">
        <f t="shared" si="30"/>
        <v>47.061000000000007</v>
      </c>
      <c r="GZ131" t="s">
        <v>1122</v>
      </c>
      <c r="HA131">
        <v>72.819999999999993</v>
      </c>
      <c r="HD131" t="s">
        <v>1122</v>
      </c>
      <c r="HE131">
        <f>63*Supplementary_Fig7!HA131/100</f>
        <v>45.876599999999996</v>
      </c>
      <c r="HX131">
        <v>107.99</v>
      </c>
      <c r="HZ131">
        <v>102.098</v>
      </c>
      <c r="IA131">
        <v>90.797399999999996</v>
      </c>
      <c r="IB131">
        <v>100.06699999999999</v>
      </c>
      <c r="IC131">
        <f>AVERAGE(Supplementary_Fig7!IC117:IC130)</f>
        <v>93.783971428571448</v>
      </c>
      <c r="ID131">
        <v>111.244</v>
      </c>
      <c r="IE131">
        <v>78.291300000000007</v>
      </c>
      <c r="IF131">
        <v>105.988</v>
      </c>
      <c r="IG131">
        <v>84.768699999999995</v>
      </c>
      <c r="IH131">
        <v>56.756599999999999</v>
      </c>
      <c r="II131">
        <v>78.842200000000005</v>
      </c>
      <c r="IJ131">
        <v>95.620699999999999</v>
      </c>
      <c r="IK131">
        <v>91.035499999999999</v>
      </c>
      <c r="IL131">
        <v>73.2376</v>
      </c>
      <c r="IM131">
        <v>73.715199999999996</v>
      </c>
      <c r="IN131">
        <v>107.81100000000001</v>
      </c>
      <c r="IO131">
        <v>90.989699999999999</v>
      </c>
      <c r="IX131" t="s">
        <v>690</v>
      </c>
      <c r="IY131">
        <v>98.28</v>
      </c>
      <c r="JB131">
        <v>84.613</v>
      </c>
      <c r="JC131">
        <v>109.721</v>
      </c>
      <c r="JD131">
        <v>84.930400000000006</v>
      </c>
      <c r="JE131">
        <v>121.96</v>
      </c>
      <c r="JF131">
        <v>86.084000000000003</v>
      </c>
      <c r="JG131">
        <v>82.322699999999998</v>
      </c>
      <c r="JH131">
        <v>89.799499999999995</v>
      </c>
      <c r="JJ131">
        <v>91.586299999999994</v>
      </c>
      <c r="JL131">
        <v>89.74</v>
      </c>
      <c r="JN131">
        <v>97.027600000000007</v>
      </c>
      <c r="JP131">
        <f>AVERAGE(JP118:JP130)</f>
        <v>88.672807692307671</v>
      </c>
      <c r="JR131">
        <v>100.85599999999999</v>
      </c>
      <c r="JS131">
        <v>89.854399999999998</v>
      </c>
      <c r="JX131">
        <v>130.94</v>
      </c>
      <c r="JZ131">
        <v>86.898799999999994</v>
      </c>
      <c r="KA131">
        <v>119.717</v>
      </c>
      <c r="KB131">
        <v>126.251</v>
      </c>
      <c r="KC131">
        <v>95.565799999999996</v>
      </c>
      <c r="KD131">
        <v>126.13800000000001</v>
      </c>
      <c r="KE131">
        <v>124.524</v>
      </c>
      <c r="KF131">
        <v>84.594700000000003</v>
      </c>
      <c r="KG131">
        <v>91.760300000000001</v>
      </c>
      <c r="KH131">
        <v>121.983</v>
      </c>
      <c r="KI131">
        <v>118.095</v>
      </c>
      <c r="KJ131">
        <v>126.288</v>
      </c>
      <c r="KK131">
        <v>99.696399999999997</v>
      </c>
      <c r="KV131">
        <v>4.42</v>
      </c>
      <c r="KY131">
        <v>1.6686399999999999</v>
      </c>
      <c r="KZ131">
        <v>1.57037</v>
      </c>
      <c r="LA131">
        <v>2.1011099999999998</v>
      </c>
      <c r="LB131">
        <v>1.6001099999999999</v>
      </c>
      <c r="LC131">
        <v>1.7013100000000001</v>
      </c>
      <c r="LD131">
        <v>1.63819</v>
      </c>
      <c r="LE131">
        <f>AVERAGE(Supplementary_Fig7!LE117:LE130)</f>
        <v>2.5520407142857136</v>
      </c>
      <c r="LF131">
        <v>1.79722</v>
      </c>
      <c r="LG131">
        <v>1.5772200000000001</v>
      </c>
      <c r="LH131">
        <v>1.7779</v>
      </c>
      <c r="LW131" t="s">
        <v>690</v>
      </c>
      <c r="LX131">
        <v>1.28</v>
      </c>
      <c r="MB131">
        <v>1.9094599999999999</v>
      </c>
      <c r="MC131">
        <v>2.01437</v>
      </c>
      <c r="MD131">
        <f>AVERAGE(MD116:MD130)</f>
        <v>1.8180242857142861</v>
      </c>
      <c r="MH131">
        <f>AVERAGE(MH116:MH130)</f>
        <v>1.7614886666666663</v>
      </c>
      <c r="ML131">
        <f>AVERAGE(ML116:ML130)</f>
        <v>1.8788853333333335</v>
      </c>
      <c r="NB131">
        <v>2.0299999999999998</v>
      </c>
      <c r="ND131">
        <v>1.6135200000000001</v>
      </c>
      <c r="NE131">
        <v>1.4490400000000001</v>
      </c>
      <c r="NF131">
        <f>AVERAGE(Supplementary_Fig7!NF126:NF130)</f>
        <v>1.41459</v>
      </c>
      <c r="NG131">
        <v>1.95861</v>
      </c>
      <c r="OC131" t="s">
        <v>690</v>
      </c>
      <c r="OD131">
        <v>474.54199999999997</v>
      </c>
      <c r="QC131">
        <v>-99.67</v>
      </c>
      <c r="QD131">
        <v>6.16</v>
      </c>
      <c r="RA131">
        <v>-95.41</v>
      </c>
      <c r="RB131">
        <v>4.45</v>
      </c>
    </row>
    <row r="132" spans="171:470" ht="13.15" x14ac:dyDescent="0.4">
      <c r="FO132" t="s">
        <v>177</v>
      </c>
      <c r="FQ132">
        <v>55.84</v>
      </c>
      <c r="FS132" t="s">
        <v>177</v>
      </c>
      <c r="FU132">
        <f>63*FQ132/100</f>
        <v>35.179200000000002</v>
      </c>
      <c r="FW132" s="1">
        <f>AVERAGE(Supplementary_Fig7!FW128:FW131)</f>
        <v>44.761924999999998</v>
      </c>
      <c r="FX132" s="1">
        <f>AVERAGE(Supplementary_Fig7!FX128:FX131)</f>
        <v>44.604700000000001</v>
      </c>
      <c r="FY132" s="1">
        <f>AVERAGE(Supplementary_Fig7!FY128:FY131)</f>
        <v>67.872349999999997</v>
      </c>
      <c r="FZ132" s="1">
        <f>AVERAGE(Supplementary_Fig7!FZ128:FZ131)</f>
        <v>85.449250000000006</v>
      </c>
      <c r="GA132" s="1">
        <f>AVERAGE(GA128:GA131)</f>
        <v>60.754750000000001</v>
      </c>
      <c r="GH132" t="s">
        <v>689</v>
      </c>
      <c r="GI132">
        <v>97.34</v>
      </c>
      <c r="GL132" t="s">
        <v>689</v>
      </c>
      <c r="GM132">
        <f>63*GI132/100</f>
        <v>61.324199999999998</v>
      </c>
      <c r="GQ132" s="1">
        <f t="shared" ref="GQ132:GW132" si="32">AVERAGE(GQ128:GQ131)</f>
        <v>113.09565000000001</v>
      </c>
      <c r="GR132" s="1">
        <f t="shared" si="32"/>
        <v>85.656700000000001</v>
      </c>
      <c r="GS132" s="1">
        <f t="shared" si="32"/>
        <v>91.471000000000004</v>
      </c>
      <c r="GT132" s="1">
        <f t="shared" si="32"/>
        <v>86.72475</v>
      </c>
      <c r="GU132" s="1">
        <f t="shared" si="32"/>
        <v>99.143450000000001</v>
      </c>
      <c r="GV132" s="1">
        <f t="shared" si="32"/>
        <v>87.337299999999999</v>
      </c>
      <c r="GW132" s="1">
        <f t="shared" si="32"/>
        <v>74.704450000000008</v>
      </c>
      <c r="GZ132" t="s">
        <v>1124</v>
      </c>
      <c r="HB132">
        <v>54.06</v>
      </c>
      <c r="HD132" t="s">
        <v>1124</v>
      </c>
      <c r="HF132">
        <f>63*Supplementary_Fig7!HB132/100</f>
        <v>34.0578</v>
      </c>
      <c r="HX132">
        <v>105.69</v>
      </c>
      <c r="HZ132">
        <v>104.869</v>
      </c>
      <c r="IA132">
        <v>90.374799999999993</v>
      </c>
      <c r="IB132">
        <v>98.030100000000004</v>
      </c>
      <c r="ID132">
        <f>AVERAGE(Supplementary_Fig7!ID117:ID131)</f>
        <v>100.94792666666667</v>
      </c>
      <c r="IE132">
        <v>110.069</v>
      </c>
      <c r="IF132">
        <v>107.214</v>
      </c>
      <c r="IG132">
        <v>82.818600000000004</v>
      </c>
      <c r="IH132">
        <v>57.513399999999997</v>
      </c>
      <c r="II132">
        <v>79.997299999999996</v>
      </c>
      <c r="IJ132">
        <v>94.328299999999999</v>
      </c>
      <c r="IK132">
        <v>94.114699999999999</v>
      </c>
      <c r="IL132">
        <v>89.0518</v>
      </c>
      <c r="IM132">
        <v>74.240099999999998</v>
      </c>
      <c r="IN132">
        <v>106.078</v>
      </c>
      <c r="IO132">
        <v>92.716999999999999</v>
      </c>
      <c r="IX132" t="s">
        <v>691</v>
      </c>
      <c r="IY132">
        <v>119.98</v>
      </c>
      <c r="JB132">
        <v>84.886200000000002</v>
      </c>
      <c r="JC132">
        <v>112.747</v>
      </c>
      <c r="JD132">
        <f>AVERAGE(JD118:JD131)</f>
        <v>84.828064285714277</v>
      </c>
      <c r="JE132">
        <f>AVERAGE(JE118:JE131)</f>
        <v>103.54256428571429</v>
      </c>
      <c r="JF132">
        <v>89.833100000000002</v>
      </c>
      <c r="JG132">
        <v>84.271199999999993</v>
      </c>
      <c r="JH132">
        <v>90.477000000000004</v>
      </c>
      <c r="JJ132">
        <f>AVERAGE(JJ118:JJ131)</f>
        <v>110.00765</v>
      </c>
      <c r="JL132">
        <v>91.111800000000002</v>
      </c>
      <c r="JN132">
        <f>AVERAGE(JN118:JN131)</f>
        <v>110.5315714285714</v>
      </c>
      <c r="JR132">
        <v>98.240700000000004</v>
      </c>
      <c r="JS132">
        <v>89.209000000000003</v>
      </c>
      <c r="JX132">
        <v>129.14099999999999</v>
      </c>
      <c r="JZ132">
        <v>86.213700000000003</v>
      </c>
      <c r="KA132">
        <v>120.63</v>
      </c>
      <c r="KB132">
        <v>124.72499999999999</v>
      </c>
      <c r="KC132">
        <v>95.121799999999993</v>
      </c>
      <c r="KD132">
        <v>126.01900000000001</v>
      </c>
      <c r="KE132">
        <v>124.96599999999999</v>
      </c>
      <c r="KF132">
        <v>97.685199999999995</v>
      </c>
      <c r="KG132">
        <v>91.337599999999995</v>
      </c>
      <c r="KH132">
        <v>120.645</v>
      </c>
      <c r="KI132">
        <v>119.629</v>
      </c>
      <c r="KJ132">
        <v>125.667</v>
      </c>
      <c r="KK132">
        <v>100.49</v>
      </c>
      <c r="KV132">
        <v>4.4000000000000004</v>
      </c>
      <c r="KY132">
        <v>1.64988</v>
      </c>
      <c r="KZ132">
        <f>AVERAGE(Supplementary_Fig7!KZ117:KZ131)</f>
        <v>1.5988193333333336</v>
      </c>
      <c r="LA132">
        <f>AVERAGE(Supplementary_Fig7!LA117:LA131)</f>
        <v>2.171405333333333</v>
      </c>
      <c r="LB132">
        <v>1.9832799999999999</v>
      </c>
      <c r="LC132">
        <v>1.81382</v>
      </c>
      <c r="LD132">
        <f>AVERAGE(Supplementary_Fig7!LD117:LD131)</f>
        <v>1.7114893333333336</v>
      </c>
      <c r="LF132">
        <v>1.8050299999999999</v>
      </c>
      <c r="LG132">
        <v>1.6190199999999999</v>
      </c>
      <c r="LH132">
        <v>1.6375999999999999</v>
      </c>
      <c r="LW132" t="s">
        <v>691</v>
      </c>
      <c r="LX132">
        <v>1.32</v>
      </c>
      <c r="MB132">
        <f>AVERAGE(MB116:MB131)</f>
        <v>1.8387150000000001</v>
      </c>
      <c r="MC132">
        <f>AVERAGE(MC116:MC131)</f>
        <v>1.9085493750000002</v>
      </c>
      <c r="NB132">
        <v>2.0099999999999998</v>
      </c>
      <c r="ND132">
        <v>1.5752600000000001</v>
      </c>
      <c r="NE132">
        <v>1.4787600000000001</v>
      </c>
      <c r="NG132">
        <v>1.91279</v>
      </c>
      <c r="OC132" t="s">
        <v>691</v>
      </c>
      <c r="OD132">
        <v>371.44600000000003</v>
      </c>
      <c r="QC132">
        <v>-99.71</v>
      </c>
      <c r="QD132">
        <v>5.18</v>
      </c>
      <c r="RA132">
        <v>-95.47</v>
      </c>
      <c r="RB132">
        <v>10.35</v>
      </c>
    </row>
    <row r="133" spans="171:470" ht="13.15" x14ac:dyDescent="0.4">
      <c r="FO133" t="s">
        <v>201</v>
      </c>
      <c r="FQ133">
        <v>50.69</v>
      </c>
      <c r="FS133" t="s">
        <v>201</v>
      </c>
      <c r="FU133">
        <f>63*FQ133/100</f>
        <v>31.934699999999999</v>
      </c>
      <c r="GH133" t="s">
        <v>690</v>
      </c>
      <c r="GI133">
        <v>101.55</v>
      </c>
      <c r="GL133" t="s">
        <v>690</v>
      </c>
      <c r="GM133">
        <f>63*GI133/100</f>
        <v>63.976499999999994</v>
      </c>
      <c r="HB133" s="1">
        <f>AVERAGE(Supplementary_Fig7!HA4:HB132)</f>
        <v>52.296311475409858</v>
      </c>
      <c r="HF133" s="1">
        <f>AVERAGE(Supplementary_Fig7!HE4:HF132)</f>
        <v>32.946676229508185</v>
      </c>
      <c r="HX133">
        <v>105.27</v>
      </c>
      <c r="HZ133">
        <f>AVERAGE(Supplementary_Fig7!HZ117:HZ132)</f>
        <v>92.170968749999986</v>
      </c>
      <c r="IA133">
        <f>AVERAGE(Supplementary_Fig7!IA117:IA132)</f>
        <v>91.093812499999984</v>
      </c>
      <c r="IB133">
        <f>AVERAGE(Supplementary_Fig7!IB117:IB132)</f>
        <v>91.225993750000001</v>
      </c>
      <c r="IE133">
        <f>AVERAGE(Supplementary_Fig7!IE117:IE132)</f>
        <v>84.419443749999999</v>
      </c>
      <c r="IF133">
        <f>AVERAGE(Supplementary_Fig7!IF117:IF132)</f>
        <v>97.116968749999998</v>
      </c>
      <c r="IG133">
        <f>AVERAGE(Supplementary_Fig7!IG117:IG132)</f>
        <v>86.24439375</v>
      </c>
      <c r="IH133">
        <f>AVERAGE(Supplementary_Fig7!IH117:IH132)</f>
        <v>58.323468750000004</v>
      </c>
      <c r="II133">
        <f>AVERAGE(Supplementary_Fig7!II117:II132)</f>
        <v>81.554037499999993</v>
      </c>
      <c r="IJ133">
        <f>AVERAGE(Supplementary_Fig7!IJ117:IJ132)</f>
        <v>87.225056249999994</v>
      </c>
      <c r="IK133">
        <f>AVERAGE(Supplementary_Fig7!IK117:IK132)</f>
        <v>88.628868749999995</v>
      </c>
      <c r="IL133">
        <f>AVERAGE(Supplementary_Fig7!IL117:IL132)</f>
        <v>73.460106249999995</v>
      </c>
      <c r="IM133">
        <f>AVERAGE(Supplementary_Fig7!IM117:IM132)</f>
        <v>76.776700000000005</v>
      </c>
      <c r="IN133">
        <f>AVERAGE(Supplementary_Fig7!IN117:IN132)</f>
        <v>95.23731875</v>
      </c>
      <c r="IO133">
        <f>AVERAGE(Supplementary_Fig7!IO117:IO132)</f>
        <v>81.387143750000021</v>
      </c>
      <c r="IX133" t="s">
        <v>692</v>
      </c>
      <c r="IY133">
        <v>104.37</v>
      </c>
      <c r="JB133">
        <v>114.262</v>
      </c>
      <c r="JC133">
        <v>112.13500000000001</v>
      </c>
      <c r="JF133">
        <f>AVERAGE(JF118:JF132)</f>
        <v>89.263406666666668</v>
      </c>
      <c r="JG133">
        <f>AVERAGE(JG118:JG132)</f>
        <v>85.686646666666675</v>
      </c>
      <c r="JH133">
        <v>89.350899999999996</v>
      </c>
      <c r="JL133">
        <f>AVERAGE(JL118:JL132)</f>
        <v>93.589653333333317</v>
      </c>
      <c r="JR133">
        <v>93.336500000000001</v>
      </c>
      <c r="JS133">
        <f>AVERAGE(JS118:JS132)</f>
        <v>87.878413333333341</v>
      </c>
      <c r="JX133">
        <v>127.02</v>
      </c>
      <c r="JZ133">
        <v>87.109399999999994</v>
      </c>
      <c r="KA133">
        <v>97.184799999999996</v>
      </c>
      <c r="KB133">
        <v>126.831</v>
      </c>
      <c r="KC133">
        <v>103.815</v>
      </c>
      <c r="KD133">
        <v>124.79900000000001</v>
      </c>
      <c r="KE133">
        <v>126.34099999999999</v>
      </c>
      <c r="KF133">
        <v>97.430400000000006</v>
      </c>
      <c r="KG133">
        <v>94.137600000000006</v>
      </c>
      <c r="KH133">
        <v>119.94799999999999</v>
      </c>
      <c r="KI133">
        <v>122.14400000000001</v>
      </c>
      <c r="KJ133">
        <f>AVERAGE(Supplementary_Fig7!KJ129:KJ132)</f>
        <v>125.68200000000002</v>
      </c>
      <c r="KK133">
        <f>AVERAGE(Supplementary_Fig7!KK129:KK132)</f>
        <v>100.6876</v>
      </c>
      <c r="KV133">
        <v>4.1399999999999997</v>
      </c>
      <c r="KY133">
        <f>AVERAGE(Supplementary_Fig7!KY117:KY132)</f>
        <v>1.6900443749999998</v>
      </c>
      <c r="LB133">
        <f>AVERAGE(Supplementary_Fig7!LB117:LB132)</f>
        <v>1.6632918750000003</v>
      </c>
      <c r="LC133">
        <f>AVERAGE(Supplementary_Fig7!LC117:LC132)</f>
        <v>1.7404887499999999</v>
      </c>
      <c r="LF133">
        <f>AVERAGE(Supplementary_Fig7!LF117:LF132)</f>
        <v>1.8243581249999998</v>
      </c>
      <c r="LG133">
        <f>AVERAGE(Supplementary_Fig7!LG117:LG132)</f>
        <v>1.6054599999999999</v>
      </c>
      <c r="LH133">
        <f>AVERAGE(Supplementary_Fig7!LH117:LH132)</f>
        <v>1.6581762500000001</v>
      </c>
      <c r="LW133" t="s">
        <v>692</v>
      </c>
      <c r="LX133">
        <v>1.25</v>
      </c>
      <c r="NB133">
        <v>1.99</v>
      </c>
      <c r="ND133">
        <v>1.5845499999999999</v>
      </c>
      <c r="NE133">
        <v>1.4517899999999999</v>
      </c>
      <c r="NG133">
        <v>1.9695199999999999</v>
      </c>
      <c r="OC133" t="s">
        <v>692</v>
      </c>
      <c r="OD133">
        <v>374.31400000000002</v>
      </c>
      <c r="QC133">
        <v>-99.73</v>
      </c>
      <c r="QD133">
        <v>3.45</v>
      </c>
      <c r="RA133">
        <v>-95.59</v>
      </c>
      <c r="RB133">
        <v>6.47</v>
      </c>
    </row>
    <row r="134" spans="171:470" x14ac:dyDescent="0.35">
      <c r="FO134" t="s">
        <v>1130</v>
      </c>
      <c r="FQ134">
        <v>39.19</v>
      </c>
      <c r="FS134" t="s">
        <v>1130</v>
      </c>
      <c r="FU134">
        <f>63*FQ134/100</f>
        <v>24.689699999999998</v>
      </c>
      <c r="FW134" t="s">
        <v>1123</v>
      </c>
      <c r="FX134" t="s">
        <v>161</v>
      </c>
      <c r="FY134" t="s">
        <v>158</v>
      </c>
      <c r="FZ134" t="s">
        <v>1127</v>
      </c>
      <c r="GA134" t="s">
        <v>168</v>
      </c>
      <c r="GB134" t="s">
        <v>172</v>
      </c>
      <c r="GC134" t="s">
        <v>1129</v>
      </c>
      <c r="GD134" t="s">
        <v>177</v>
      </c>
      <c r="GH134" t="s">
        <v>691</v>
      </c>
      <c r="GJ134">
        <v>88.66</v>
      </c>
      <c r="GL134" t="s">
        <v>691</v>
      </c>
      <c r="GN134">
        <f>63*GJ134/100</f>
        <v>55.855800000000002</v>
      </c>
      <c r="GQ134" t="s">
        <v>689</v>
      </c>
      <c r="GR134" t="s">
        <v>690</v>
      </c>
      <c r="GS134" t="s">
        <v>691</v>
      </c>
      <c r="GT134" t="s">
        <v>692</v>
      </c>
      <c r="GU134" t="s">
        <v>693</v>
      </c>
      <c r="GV134" t="s">
        <v>694</v>
      </c>
      <c r="GW134" t="s">
        <v>695</v>
      </c>
      <c r="HX134">
        <v>102.21</v>
      </c>
      <c r="IX134" t="s">
        <v>693</v>
      </c>
      <c r="IY134">
        <v>99.6</v>
      </c>
      <c r="JB134">
        <f>AVERAGE(JB118:JB133)</f>
        <v>89.04796875000001</v>
      </c>
      <c r="JC134">
        <f>AVERAGE(JC118:JC133)</f>
        <v>102.44636875000002</v>
      </c>
      <c r="JH134">
        <f>AVERAGE(JH118:JH133)</f>
        <v>89.718725000000006</v>
      </c>
      <c r="JR134">
        <f>AVERAGE(JR118:JR133)</f>
        <v>105.08223749999999</v>
      </c>
      <c r="JX134">
        <v>126.19</v>
      </c>
      <c r="JZ134">
        <v>86.782799999999995</v>
      </c>
      <c r="KA134">
        <v>121.733</v>
      </c>
      <c r="KB134">
        <v>127.194</v>
      </c>
      <c r="KC134">
        <v>104.517</v>
      </c>
      <c r="KD134">
        <v>123.976</v>
      </c>
      <c r="KE134">
        <v>130.36500000000001</v>
      </c>
      <c r="KF134">
        <v>96.847499999999997</v>
      </c>
      <c r="KG134">
        <v>93.916300000000007</v>
      </c>
      <c r="KH134">
        <f>AVERAGE(Supplementary_Fig7!KH129:KH133)</f>
        <v>121.4076</v>
      </c>
      <c r="KI134">
        <v>124.214</v>
      </c>
      <c r="KV134">
        <v>3.68</v>
      </c>
      <c r="LW134" t="s">
        <v>693</v>
      </c>
      <c r="LX134">
        <v>1.48</v>
      </c>
      <c r="NB134">
        <v>1.95</v>
      </c>
      <c r="ND134">
        <v>1.5862799999999999</v>
      </c>
      <c r="NE134">
        <v>1.4580200000000001</v>
      </c>
      <c r="NG134">
        <v>2.05131</v>
      </c>
      <c r="OC134" t="s">
        <v>693</v>
      </c>
      <c r="OD134">
        <v>332.601</v>
      </c>
      <c r="QC134">
        <v>-99.75</v>
      </c>
      <c r="QD134">
        <v>3.86</v>
      </c>
      <c r="RA134">
        <v>-95.69</v>
      </c>
      <c r="RB134">
        <v>3.36</v>
      </c>
    </row>
    <row r="135" spans="171:470" x14ac:dyDescent="0.35">
      <c r="FO135" t="s">
        <v>1131</v>
      </c>
      <c r="FP135">
        <v>71.17</v>
      </c>
      <c r="FS135" t="s">
        <v>1131</v>
      </c>
      <c r="FT135">
        <f>63*FP135/100</f>
        <v>44.8371</v>
      </c>
      <c r="FW135">
        <v>87.664000000000001</v>
      </c>
      <c r="FX135">
        <v>74.488200000000006</v>
      </c>
      <c r="FY135">
        <v>66.961799999999997</v>
      </c>
      <c r="FZ135">
        <v>97.789000000000001</v>
      </c>
      <c r="GA135">
        <v>92.565700000000007</v>
      </c>
      <c r="GB135">
        <v>80.616799999999998</v>
      </c>
      <c r="GC135">
        <v>82.162400000000005</v>
      </c>
      <c r="GD135">
        <v>55.848399999999998</v>
      </c>
      <c r="GH135" t="s">
        <v>692</v>
      </c>
      <c r="GI135">
        <v>75.36</v>
      </c>
      <c r="GL135" t="s">
        <v>692</v>
      </c>
      <c r="GM135">
        <f>63*GI135/100</f>
        <v>47.476800000000004</v>
      </c>
      <c r="GQ135">
        <v>80.690600000000003</v>
      </c>
      <c r="GR135">
        <v>97.926900000000003</v>
      </c>
      <c r="GS135">
        <v>83.340199999999996</v>
      </c>
      <c r="GT135">
        <v>84.962800000000001</v>
      </c>
      <c r="GU135">
        <v>115.53100000000001</v>
      </c>
      <c r="GV135">
        <v>90.695999999999998</v>
      </c>
      <c r="GW135">
        <v>67.085099999999997</v>
      </c>
      <c r="HX135">
        <v>102.09</v>
      </c>
      <c r="IX135" t="s">
        <v>694</v>
      </c>
      <c r="IY135">
        <v>85.43</v>
      </c>
      <c r="JX135">
        <v>125.99</v>
      </c>
      <c r="JZ135">
        <v>85.884100000000004</v>
      </c>
      <c r="KA135">
        <v>120.801</v>
      </c>
      <c r="KB135">
        <v>126.372</v>
      </c>
      <c r="KC135">
        <v>103.175</v>
      </c>
      <c r="KD135">
        <v>124.11799999999999</v>
      </c>
      <c r="KE135">
        <v>82.409700000000001</v>
      </c>
      <c r="KF135">
        <v>97.482299999999995</v>
      </c>
      <c r="KG135">
        <v>93.713399999999993</v>
      </c>
      <c r="KI135">
        <v>125.816</v>
      </c>
      <c r="KV135">
        <v>3.61</v>
      </c>
      <c r="LW135" t="s">
        <v>694</v>
      </c>
      <c r="LX135">
        <v>1.62</v>
      </c>
      <c r="MB135" t="s">
        <v>676</v>
      </c>
      <c r="MC135" t="s">
        <v>678</v>
      </c>
      <c r="MD135" t="s">
        <v>680</v>
      </c>
      <c r="ME135" t="s">
        <v>682</v>
      </c>
      <c r="MF135" t="s">
        <v>684</v>
      </c>
      <c r="MG135" t="s">
        <v>686</v>
      </c>
      <c r="MH135" t="s">
        <v>688</v>
      </c>
      <c r="MI135" t="s">
        <v>689</v>
      </c>
      <c r="MJ135" t="s">
        <v>690</v>
      </c>
      <c r="MK135" t="s">
        <v>691</v>
      </c>
      <c r="ML135" t="s">
        <v>692</v>
      </c>
      <c r="MM135" t="s">
        <v>693</v>
      </c>
      <c r="MN135" t="s">
        <v>694</v>
      </c>
      <c r="MO135" t="s">
        <v>695</v>
      </c>
      <c r="NB135">
        <v>1.91</v>
      </c>
      <c r="ND135">
        <v>1.5925</v>
      </c>
      <c r="NE135">
        <f>AVERAGE(Supplementary_Fig7!NE126:NE134)</f>
        <v>1.4424166666666667</v>
      </c>
      <c r="NG135">
        <v>1.95048</v>
      </c>
      <c r="OC135" t="s">
        <v>694</v>
      </c>
      <c r="OD135">
        <v>296.52</v>
      </c>
      <c r="QC135">
        <v>-99.76</v>
      </c>
      <c r="QD135">
        <v>7.05</v>
      </c>
      <c r="RA135">
        <v>-95.84</v>
      </c>
      <c r="RB135">
        <v>3.1</v>
      </c>
    </row>
    <row r="136" spans="171:470" x14ac:dyDescent="0.35">
      <c r="FO136" t="s">
        <v>1132</v>
      </c>
      <c r="FQ136">
        <v>48.43</v>
      </c>
      <c r="FS136" t="s">
        <v>1132</v>
      </c>
      <c r="FU136">
        <f>63*FQ136/100</f>
        <v>30.510900000000003</v>
      </c>
      <c r="FW136">
        <v>73.013800000000003</v>
      </c>
      <c r="FX136">
        <v>71.111699999999999</v>
      </c>
      <c r="FY136">
        <v>54.192500000000003</v>
      </c>
      <c r="FZ136">
        <v>80.990700000000004</v>
      </c>
      <c r="GB136">
        <v>69.650400000000005</v>
      </c>
      <c r="GC136">
        <v>87.402699999999996</v>
      </c>
      <c r="GH136" t="s">
        <v>693</v>
      </c>
      <c r="GJ136">
        <v>98.36</v>
      </c>
      <c r="GL136" t="s">
        <v>693</v>
      </c>
      <c r="GN136">
        <f>63*GJ136/100</f>
        <v>61.966800000000006</v>
      </c>
      <c r="GQ136">
        <v>131.52199999999999</v>
      </c>
      <c r="GR136">
        <v>137.22499999999999</v>
      </c>
      <c r="GS136">
        <v>116.955</v>
      </c>
      <c r="GT136">
        <v>70.113900000000001</v>
      </c>
      <c r="GU136">
        <v>81.207300000000004</v>
      </c>
      <c r="GV136">
        <v>67.378100000000003</v>
      </c>
      <c r="GW136">
        <v>66.797300000000007</v>
      </c>
      <c r="HX136">
        <v>101.35</v>
      </c>
      <c r="IX136" t="s">
        <v>695</v>
      </c>
      <c r="IY136">
        <v>91.04</v>
      </c>
      <c r="JB136" t="s">
        <v>689</v>
      </c>
      <c r="JC136" t="s">
        <v>690</v>
      </c>
      <c r="JD136" t="s">
        <v>691</v>
      </c>
      <c r="JE136" t="s">
        <v>692</v>
      </c>
      <c r="JF136" t="s">
        <v>693</v>
      </c>
      <c r="JG136" t="s">
        <v>694</v>
      </c>
      <c r="JH136" t="s">
        <v>695</v>
      </c>
      <c r="JX136">
        <v>125.68</v>
      </c>
      <c r="JZ136">
        <v>84.197999999999993</v>
      </c>
      <c r="KA136">
        <v>121.538</v>
      </c>
      <c r="KB136">
        <f>AVERAGE(Supplementary_Fig7!KB129:KB135)</f>
        <v>126.19199999999999</v>
      </c>
      <c r="KC136">
        <v>92.993200000000002</v>
      </c>
      <c r="KD136">
        <v>109.45099999999999</v>
      </c>
      <c r="KE136">
        <v>123.497</v>
      </c>
      <c r="KF136">
        <v>86.291499999999999</v>
      </c>
      <c r="KG136">
        <v>92.419399999999996</v>
      </c>
      <c r="KI136">
        <v>115.437</v>
      </c>
      <c r="KV136">
        <v>3.21</v>
      </c>
      <c r="LW136" t="s">
        <v>695</v>
      </c>
      <c r="LX136">
        <v>1.32</v>
      </c>
      <c r="MB136">
        <v>1.6039099999999999</v>
      </c>
      <c r="MC136">
        <v>1.7305600000000001</v>
      </c>
      <c r="MD136">
        <v>1.6995100000000001</v>
      </c>
      <c r="ME136">
        <v>1.6203700000000001</v>
      </c>
      <c r="MF136">
        <v>1.7793399999999999</v>
      </c>
      <c r="MG136">
        <v>1.6529100000000001</v>
      </c>
      <c r="MH136">
        <v>1.6968399999999999</v>
      </c>
      <c r="MI136">
        <v>1.6055299999999999</v>
      </c>
      <c r="MJ136">
        <v>1.29416</v>
      </c>
      <c r="MK136">
        <v>1.3131900000000001</v>
      </c>
      <c r="ML136">
        <v>1.25257</v>
      </c>
      <c r="MM136">
        <v>1.4699199999999999</v>
      </c>
      <c r="MN136">
        <v>1.5099899999999999</v>
      </c>
      <c r="MO136">
        <v>1.3490899999999999</v>
      </c>
      <c r="NB136">
        <v>1.8</v>
      </c>
      <c r="ND136">
        <v>1.6054999999999999</v>
      </c>
      <c r="NG136">
        <v>2.0019</v>
      </c>
      <c r="OC136" t="s">
        <v>695</v>
      </c>
      <c r="OD136">
        <v>312.27100000000002</v>
      </c>
      <c r="QB136">
        <v>7</v>
      </c>
      <c r="QC136">
        <v>-99.83</v>
      </c>
      <c r="QD136">
        <v>5.32</v>
      </c>
      <c r="RA136">
        <v>-96.66</v>
      </c>
      <c r="RB136">
        <v>8.15</v>
      </c>
    </row>
    <row r="137" spans="171:470" ht="13.15" x14ac:dyDescent="0.4">
      <c r="FO137" t="s">
        <v>1133</v>
      </c>
      <c r="FQ137">
        <v>39.729999999999997</v>
      </c>
      <c r="FS137" t="s">
        <v>1133</v>
      </c>
      <c r="FU137">
        <f>63*FQ137/100</f>
        <v>25.029899999999998</v>
      </c>
      <c r="GH137" t="s">
        <v>694</v>
      </c>
      <c r="GJ137">
        <v>79.03</v>
      </c>
      <c r="GL137" t="s">
        <v>694</v>
      </c>
      <c r="GN137">
        <f>63*GJ137/100</f>
        <v>49.788900000000005</v>
      </c>
      <c r="GQ137">
        <v>79.8279</v>
      </c>
      <c r="GR137">
        <v>81.869699999999995</v>
      </c>
      <c r="GS137">
        <v>70.358500000000006</v>
      </c>
      <c r="GT137">
        <v>78.332400000000007</v>
      </c>
      <c r="GW137">
        <v>57.8842</v>
      </c>
      <c r="HX137">
        <v>101.34</v>
      </c>
      <c r="IY137" s="1">
        <f>AVERAGE(IY4:IZ136)</f>
        <v>101.8330708661418</v>
      </c>
      <c r="JB137">
        <v>85.420199999999994</v>
      </c>
      <c r="JC137">
        <v>103.035</v>
      </c>
      <c r="JD137">
        <v>120.32599999999999</v>
      </c>
      <c r="JE137">
        <v>102.354</v>
      </c>
      <c r="JF137">
        <v>94.686899999999994</v>
      </c>
      <c r="JG137">
        <v>83.096299999999999</v>
      </c>
      <c r="JH137">
        <v>92.704800000000006</v>
      </c>
      <c r="JX137">
        <v>125.29</v>
      </c>
      <c r="JZ137">
        <v>83.912700000000001</v>
      </c>
      <c r="KA137">
        <f>AVERAGE(Supplementary_Fig7!KA129:KA136)</f>
        <v>114.92368750000001</v>
      </c>
      <c r="KC137">
        <v>93.112200000000001</v>
      </c>
      <c r="KD137">
        <v>124.736</v>
      </c>
      <c r="KE137">
        <v>122.711</v>
      </c>
      <c r="KF137">
        <v>96.7346</v>
      </c>
      <c r="KG137">
        <v>92.245500000000007</v>
      </c>
      <c r="KI137">
        <v>117.52800000000001</v>
      </c>
      <c r="KV137">
        <v>3.16</v>
      </c>
      <c r="LX137" s="1">
        <f>AVERAGE(LX4:LY136)</f>
        <v>1.6641230769230775</v>
      </c>
      <c r="MB137">
        <v>1.57342</v>
      </c>
      <c r="MC137">
        <v>1.70645</v>
      </c>
      <c r="MD137">
        <v>1.7119599999999999</v>
      </c>
      <c r="ME137">
        <v>1.6409499999999999</v>
      </c>
      <c r="MF137">
        <v>1.8602300000000001</v>
      </c>
      <c r="MG137">
        <v>1.66608</v>
      </c>
      <c r="MH137">
        <v>1.73861</v>
      </c>
      <c r="MI137">
        <v>1.61954</v>
      </c>
      <c r="MJ137">
        <v>1.2943199999999999</v>
      </c>
      <c r="MK137">
        <v>1.3204</v>
      </c>
      <c r="ML137">
        <v>1.2570300000000001</v>
      </c>
      <c r="MM137">
        <v>1.4426699999999999</v>
      </c>
      <c r="MN137">
        <v>1.4812799999999999</v>
      </c>
      <c r="MO137">
        <v>1.30223</v>
      </c>
      <c r="NB137">
        <v>1.72</v>
      </c>
      <c r="ND137">
        <v>1.60487</v>
      </c>
      <c r="NG137">
        <v>2.05396</v>
      </c>
      <c r="OD137" s="1">
        <f>AVERAGE(OD4:OE136)</f>
        <v>302.70670542635679</v>
      </c>
      <c r="QC137">
        <v>-99.88</v>
      </c>
      <c r="QD137">
        <v>6.52</v>
      </c>
      <c r="RA137">
        <v>-97.51</v>
      </c>
      <c r="RB137">
        <v>5.0199999999999996</v>
      </c>
    </row>
    <row r="138" spans="171:470" ht="13.15" x14ac:dyDescent="0.4">
      <c r="FO138" t="s">
        <v>1134</v>
      </c>
      <c r="FP138">
        <v>46.19</v>
      </c>
      <c r="FS138" t="s">
        <v>1134</v>
      </c>
      <c r="FT138">
        <f>63*FP138/100</f>
        <v>29.099699999999999</v>
      </c>
      <c r="FW138" s="1">
        <f t="shared" ref="FW138:GD138" si="33">AVERAGE(FW135:FW137)</f>
        <v>80.338899999999995</v>
      </c>
      <c r="FX138" s="1">
        <f t="shared" si="33"/>
        <v>72.799949999999995</v>
      </c>
      <c r="FY138" s="1">
        <f t="shared" si="33"/>
        <v>60.577150000000003</v>
      </c>
      <c r="FZ138" s="1">
        <f t="shared" si="33"/>
        <v>89.389849999999996</v>
      </c>
      <c r="GA138" s="1">
        <f t="shared" si="33"/>
        <v>92.565700000000007</v>
      </c>
      <c r="GB138" s="1">
        <f t="shared" si="33"/>
        <v>75.133600000000001</v>
      </c>
      <c r="GC138" s="1">
        <f t="shared" si="33"/>
        <v>84.782550000000001</v>
      </c>
      <c r="GD138" s="1">
        <f t="shared" si="33"/>
        <v>55.848399999999998</v>
      </c>
      <c r="GH138" t="s">
        <v>695</v>
      </c>
      <c r="GI138">
        <v>63.8</v>
      </c>
      <c r="GL138" t="s">
        <v>695</v>
      </c>
      <c r="GM138">
        <f>63*GI138/100</f>
        <v>40.193999999999996</v>
      </c>
      <c r="GR138">
        <v>89.191299999999998</v>
      </c>
      <c r="GS138">
        <v>83.992599999999996</v>
      </c>
      <c r="GT138">
        <v>68.031099999999995</v>
      </c>
      <c r="GU138" s="1">
        <f>AVERAGE(GU135:GU137)</f>
        <v>98.369150000000005</v>
      </c>
      <c r="GW138">
        <v>63.4649</v>
      </c>
      <c r="HX138">
        <v>100.94</v>
      </c>
      <c r="JB138">
        <v>84.069800000000001</v>
      </c>
      <c r="JC138">
        <v>100.8</v>
      </c>
      <c r="JD138">
        <v>120.114</v>
      </c>
      <c r="JE138">
        <v>102.28</v>
      </c>
      <c r="JF138">
        <v>92.709400000000002</v>
      </c>
      <c r="JG138">
        <v>82.226600000000005</v>
      </c>
      <c r="JH138">
        <v>90.350300000000004</v>
      </c>
      <c r="JX138">
        <v>123.39</v>
      </c>
      <c r="JZ138">
        <v>83.284000000000006</v>
      </c>
      <c r="KC138">
        <v>94.935599999999994</v>
      </c>
      <c r="KD138">
        <v>125.52200000000001</v>
      </c>
      <c r="KE138">
        <v>124.901</v>
      </c>
      <c r="KF138">
        <v>96.870400000000004</v>
      </c>
      <c r="KG138">
        <f>AVERAGE(Supplementary_Fig7!KG129:KG137)</f>
        <v>92.918411111111112</v>
      </c>
      <c r="KI138">
        <v>119.77200000000001</v>
      </c>
      <c r="KV138">
        <v>3.16</v>
      </c>
      <c r="MB138">
        <v>1.5500799999999999</v>
      </c>
      <c r="MC138">
        <v>1.69861</v>
      </c>
      <c r="MD138">
        <v>1.7782500000000001</v>
      </c>
      <c r="ME138">
        <v>1.6338600000000001</v>
      </c>
      <c r="MF138">
        <v>1.9234599999999999</v>
      </c>
      <c r="MG138">
        <v>1.63168</v>
      </c>
      <c r="MH138">
        <v>1.73001</v>
      </c>
      <c r="MI138">
        <v>1.68893</v>
      </c>
      <c r="MJ138">
        <v>1.27155</v>
      </c>
      <c r="MK138">
        <v>1.32107</v>
      </c>
      <c r="ML138">
        <v>1.26054</v>
      </c>
      <c r="MM138">
        <v>1.43432</v>
      </c>
      <c r="MN138">
        <v>1.5506500000000001</v>
      </c>
      <c r="MO138">
        <v>1.3193900000000001</v>
      </c>
      <c r="NB138">
        <v>1.72</v>
      </c>
      <c r="ND138">
        <f>AVERAGE(Supplementary_Fig7!ND126:ND137)</f>
        <v>1.5858474999999999</v>
      </c>
      <c r="NG138">
        <f>AVERAGE(Supplementary_Fig7!NG126:NG137)</f>
        <v>2.03206</v>
      </c>
      <c r="QC138">
        <v>-99.93</v>
      </c>
      <c r="QD138">
        <v>8.07</v>
      </c>
      <c r="RA138">
        <v>-97.59</v>
      </c>
      <c r="RB138">
        <v>3.23</v>
      </c>
    </row>
    <row r="139" spans="171:470" ht="13.15" x14ac:dyDescent="0.4">
      <c r="FO139" t="s">
        <v>1135</v>
      </c>
      <c r="FP139">
        <v>77.790000000000006</v>
      </c>
      <c r="FS139" t="s">
        <v>1135</v>
      </c>
      <c r="FT139">
        <f>63*FP139/100</f>
        <v>49.007700000000007</v>
      </c>
      <c r="GH139" t="s">
        <v>228</v>
      </c>
      <c r="GJ139">
        <v>75.47</v>
      </c>
      <c r="GL139" t="s">
        <v>228</v>
      </c>
      <c r="GN139">
        <f>63*GJ139/100</f>
        <v>47.546099999999996</v>
      </c>
      <c r="GQ139" s="1">
        <f>AVERAGE(GQ135:GQ138)</f>
        <v>97.346833333333336</v>
      </c>
      <c r="GR139" s="1">
        <f>AVERAGE(GR135:GR138)</f>
        <v>101.55322500000001</v>
      </c>
      <c r="GS139" s="1">
        <f>AVERAGE(GS135:GS138)</f>
        <v>88.661574999999999</v>
      </c>
      <c r="GT139" s="1">
        <f>AVERAGE(GT135:GT138)</f>
        <v>75.360050000000001</v>
      </c>
      <c r="GV139" s="1">
        <f>AVERAGE(GV135:GV138)</f>
        <v>79.037049999999994</v>
      </c>
      <c r="GW139" s="1">
        <f>AVERAGE(GW135:GW138)</f>
        <v>63.807875000000003</v>
      </c>
      <c r="HX139">
        <v>100.57</v>
      </c>
      <c r="JB139">
        <v>84.433000000000007</v>
      </c>
      <c r="JC139">
        <v>100.35599999999999</v>
      </c>
      <c r="JD139">
        <v>117.97499999999999</v>
      </c>
      <c r="JE139">
        <v>105.066</v>
      </c>
      <c r="JF139">
        <v>91.834999999999994</v>
      </c>
      <c r="JG139">
        <v>81.213399999999993</v>
      </c>
      <c r="JH139">
        <v>90.855400000000003</v>
      </c>
      <c r="JX139">
        <v>122.97</v>
      </c>
      <c r="JZ139">
        <v>84.227000000000004</v>
      </c>
      <c r="KC139">
        <v>94.747900000000001</v>
      </c>
      <c r="KD139">
        <v>125.038</v>
      </c>
      <c r="KE139">
        <v>127.72799999999999</v>
      </c>
      <c r="KF139">
        <v>96.057100000000005</v>
      </c>
      <c r="KI139">
        <v>122.499</v>
      </c>
      <c r="KV139">
        <v>3.05</v>
      </c>
      <c r="LY139" s="1" t="s">
        <v>1128</v>
      </c>
      <c r="MB139">
        <v>1.5393600000000001</v>
      </c>
      <c r="MC139">
        <v>1.70519</v>
      </c>
      <c r="MD139">
        <v>1.7690300000000001</v>
      </c>
      <c r="ME139">
        <v>1.6283300000000001</v>
      </c>
      <c r="MF139">
        <v>1.9097299999999999</v>
      </c>
      <c r="MG139">
        <v>1.70042</v>
      </c>
      <c r="MH139">
        <v>1.74881</v>
      </c>
      <c r="MI139">
        <v>1.6333200000000001</v>
      </c>
      <c r="MJ139">
        <v>1.23946</v>
      </c>
      <c r="MK139">
        <v>1.3491500000000001</v>
      </c>
      <c r="ML139">
        <v>1.2690600000000001</v>
      </c>
      <c r="MM139">
        <v>1.44502</v>
      </c>
      <c r="MN139">
        <v>1.5031099999999999</v>
      </c>
      <c r="MO139">
        <v>1.3186500000000001</v>
      </c>
      <c r="NB139">
        <v>1.7</v>
      </c>
      <c r="QC139">
        <v>-99.96</v>
      </c>
      <c r="QD139">
        <v>7.83</v>
      </c>
      <c r="RA139">
        <v>-97.81</v>
      </c>
      <c r="RB139">
        <v>6.83</v>
      </c>
    </row>
    <row r="140" spans="171:470" x14ac:dyDescent="0.35">
      <c r="FO140" t="s">
        <v>1136</v>
      </c>
      <c r="FQ140">
        <v>73</v>
      </c>
      <c r="FS140" t="s">
        <v>1136</v>
      </c>
      <c r="FU140">
        <f>63*FQ140/100</f>
        <v>45.99</v>
      </c>
      <c r="FW140" t="s">
        <v>201</v>
      </c>
      <c r="FX140" t="s">
        <v>1130</v>
      </c>
      <c r="FY140" t="s">
        <v>1131</v>
      </c>
      <c r="FZ140" t="s">
        <v>1132</v>
      </c>
      <c r="GA140" t="s">
        <v>1133</v>
      </c>
      <c r="GB140" t="s">
        <v>1134</v>
      </c>
      <c r="GC140" t="s">
        <v>1135</v>
      </c>
      <c r="GD140" t="s">
        <v>1136</v>
      </c>
      <c r="GE140" t="s">
        <v>1137</v>
      </c>
      <c r="GH140" t="s">
        <v>1138</v>
      </c>
      <c r="GJ140">
        <v>61.28</v>
      </c>
      <c r="GL140" t="s">
        <v>1138</v>
      </c>
      <c r="GN140">
        <f>63*GJ140/100</f>
        <v>38.606400000000001</v>
      </c>
      <c r="HX140">
        <v>98.97</v>
      </c>
      <c r="JB140">
        <v>82.864400000000003</v>
      </c>
      <c r="JC140">
        <v>97.876000000000005</v>
      </c>
      <c r="JD140">
        <v>119.246</v>
      </c>
      <c r="JE140">
        <v>106.52</v>
      </c>
      <c r="JF140">
        <v>93.800399999999996</v>
      </c>
      <c r="JG140">
        <v>78.948999999999998</v>
      </c>
      <c r="JH140">
        <v>90.290800000000004</v>
      </c>
      <c r="JX140">
        <v>122.55</v>
      </c>
      <c r="JZ140">
        <v>85.739099999999993</v>
      </c>
      <c r="KC140">
        <v>105.35299999999999</v>
      </c>
      <c r="KD140">
        <v>122.295</v>
      </c>
      <c r="KE140">
        <v>127.791</v>
      </c>
      <c r="KF140">
        <v>96.357699999999994</v>
      </c>
      <c r="KI140">
        <v>124.01300000000001</v>
      </c>
      <c r="KV140">
        <v>3.01</v>
      </c>
      <c r="LY140">
        <v>2.66</v>
      </c>
      <c r="MB140">
        <v>1.6088100000000001</v>
      </c>
      <c r="MC140">
        <v>1.8039700000000001</v>
      </c>
      <c r="MD140">
        <v>1.6691800000000001</v>
      </c>
      <c r="ME140">
        <v>1.6355</v>
      </c>
      <c r="MF140">
        <v>1.9040299999999999</v>
      </c>
      <c r="MG140">
        <v>1.7081200000000001</v>
      </c>
      <c r="MH140">
        <v>1.7469699999999999</v>
      </c>
      <c r="MI140">
        <v>1.64472</v>
      </c>
      <c r="MJ140">
        <v>1.28684</v>
      </c>
      <c r="MK140">
        <v>1.3051900000000001</v>
      </c>
      <c r="ML140">
        <v>1.2602599999999999</v>
      </c>
      <c r="MM140">
        <v>1.44055</v>
      </c>
      <c r="MN140">
        <v>1.7173400000000001</v>
      </c>
      <c r="MO140">
        <v>1.31355</v>
      </c>
      <c r="NB140">
        <v>1.7</v>
      </c>
      <c r="QC140">
        <v>-100</v>
      </c>
      <c r="QD140">
        <v>4.2699999999999996</v>
      </c>
      <c r="RA140">
        <v>-99.14</v>
      </c>
      <c r="RB140">
        <v>7.63</v>
      </c>
    </row>
    <row r="141" spans="171:470" ht="13.15" x14ac:dyDescent="0.4">
      <c r="FQ141" s="1">
        <f>AVERAGE(FP4:FQ140)</f>
        <v>61.554609374999998</v>
      </c>
      <c r="FU141" s="1">
        <f>AVERAGE(FT4:FU140)</f>
        <v>38.779403906249989</v>
      </c>
      <c r="FW141">
        <v>58.697899999999997</v>
      </c>
      <c r="FX141">
        <v>39.874200000000002</v>
      </c>
      <c r="FY141">
        <v>63.4251</v>
      </c>
      <c r="FZ141">
        <v>51.826300000000003</v>
      </c>
      <c r="GA141">
        <v>45.236400000000003</v>
      </c>
      <c r="GB141">
        <v>46.760800000000003</v>
      </c>
      <c r="GC141">
        <v>82.923699999999997</v>
      </c>
      <c r="GD141">
        <v>63.685699999999997</v>
      </c>
      <c r="GH141" t="s">
        <v>1139</v>
      </c>
      <c r="GI141">
        <v>44.87</v>
      </c>
      <c r="GL141" t="s">
        <v>1139</v>
      </c>
      <c r="GM141">
        <f>63*GI141/100</f>
        <v>28.2681</v>
      </c>
      <c r="GQ141" t="s">
        <v>228</v>
      </c>
      <c r="GR141" t="s">
        <v>1138</v>
      </c>
      <c r="GS141" t="s">
        <v>1139</v>
      </c>
      <c r="GT141" t="s">
        <v>1140</v>
      </c>
      <c r="GU141" t="s">
        <v>1141</v>
      </c>
      <c r="GV141" t="s">
        <v>1142</v>
      </c>
      <c r="GW141" t="s">
        <v>942</v>
      </c>
      <c r="HX141">
        <v>97.79</v>
      </c>
      <c r="IZ141" s="1" t="s">
        <v>1128</v>
      </c>
      <c r="JB141">
        <v>81.533799999999999</v>
      </c>
      <c r="JC141">
        <v>96.611000000000004</v>
      </c>
      <c r="JD141">
        <v>119.28700000000001</v>
      </c>
      <c r="JE141">
        <v>103.334</v>
      </c>
      <c r="JF141">
        <v>93.006900000000002</v>
      </c>
      <c r="JG141">
        <v>80.961600000000004</v>
      </c>
      <c r="JH141">
        <v>89.826999999999998</v>
      </c>
      <c r="JX141">
        <v>122.09</v>
      </c>
      <c r="JZ141">
        <v>86.439499999999995</v>
      </c>
      <c r="KC141">
        <v>104.78400000000001</v>
      </c>
      <c r="KD141">
        <v>123.93300000000001</v>
      </c>
      <c r="KE141">
        <f>AVERAGE(Supplementary_Fig7!KE129:KE140)</f>
        <v>118.52384166666667</v>
      </c>
      <c r="KF141">
        <f>AVERAGE(Supplementary_Fig7!KF129:KF140)</f>
        <v>92.914308333333338</v>
      </c>
      <c r="KI141">
        <f>AVERAGE(Supplementary_Fig7!KI129:KI140)</f>
        <v>113.22562499999999</v>
      </c>
      <c r="KV141">
        <v>2.93</v>
      </c>
      <c r="LY141">
        <v>2.25</v>
      </c>
      <c r="MB141">
        <v>1.58297</v>
      </c>
      <c r="MC141">
        <v>1.7130300000000001</v>
      </c>
      <c r="MD141">
        <v>1.7250399999999999</v>
      </c>
      <c r="ME141">
        <v>1.62466</v>
      </c>
      <c r="MF141">
        <v>1.91814</v>
      </c>
      <c r="MG141">
        <v>1.7008000000000001</v>
      </c>
      <c r="MH141">
        <v>1.6885600000000001</v>
      </c>
      <c r="MI141">
        <v>1.66327</v>
      </c>
      <c r="MJ141">
        <v>1.2721</v>
      </c>
      <c r="MK141">
        <v>1.2632399999999999</v>
      </c>
      <c r="ML141">
        <v>1.2444500000000001</v>
      </c>
      <c r="MM141">
        <v>1.44218</v>
      </c>
      <c r="MN141">
        <v>1.77738</v>
      </c>
      <c r="MO141">
        <v>1.3019099999999999</v>
      </c>
      <c r="NB141">
        <v>1.66</v>
      </c>
      <c r="QC141">
        <v>-100</v>
      </c>
      <c r="QD141">
        <v>2.4900000000000002</v>
      </c>
      <c r="RA141">
        <v>-99.37</v>
      </c>
      <c r="RB141">
        <v>2.38</v>
      </c>
    </row>
    <row r="142" spans="171:470" x14ac:dyDescent="0.35">
      <c r="FW142">
        <v>47.539499999999997</v>
      </c>
      <c r="FX142">
        <v>39.029000000000003</v>
      </c>
      <c r="FY142">
        <v>78.915199999999999</v>
      </c>
      <c r="FZ142">
        <v>58.834800000000001</v>
      </c>
      <c r="GA142">
        <v>32.012</v>
      </c>
      <c r="GB142">
        <v>57.432299999999998</v>
      </c>
      <c r="GC142">
        <v>72.665400000000005</v>
      </c>
      <c r="GD142">
        <v>82.318600000000004</v>
      </c>
      <c r="GH142" t="s">
        <v>1140</v>
      </c>
      <c r="GJ142">
        <v>85.07</v>
      </c>
      <c r="GL142" t="s">
        <v>1140</v>
      </c>
      <c r="GN142">
        <f>63*GJ142/100</f>
        <v>53.594099999999997</v>
      </c>
      <c r="GQ142">
        <v>86.900400000000005</v>
      </c>
      <c r="GR142">
        <v>59.093200000000003</v>
      </c>
      <c r="GS142">
        <v>29.422000000000001</v>
      </c>
      <c r="GT142">
        <v>65.144199999999998</v>
      </c>
      <c r="GU142">
        <v>50.040999999999997</v>
      </c>
      <c r="GV142">
        <v>98.369699999999995</v>
      </c>
      <c r="GW142">
        <v>70.126300000000001</v>
      </c>
      <c r="HX142">
        <v>97.28</v>
      </c>
      <c r="IZ142">
        <v>126.47</v>
      </c>
      <c r="JB142">
        <v>78.521699999999996</v>
      </c>
      <c r="JC142">
        <v>95.977800000000002</v>
      </c>
      <c r="JD142">
        <v>120.312</v>
      </c>
      <c r="JE142">
        <v>107.32599999999999</v>
      </c>
      <c r="JF142">
        <v>92.825299999999999</v>
      </c>
      <c r="JG142">
        <v>79.188500000000005</v>
      </c>
      <c r="JH142">
        <v>90.258799999999994</v>
      </c>
      <c r="JX142">
        <v>121.4</v>
      </c>
      <c r="JZ142">
        <v>84.089699999999993</v>
      </c>
      <c r="KC142">
        <v>103.395</v>
      </c>
      <c r="KD142">
        <f>AVERAGE(Supplementary_Fig7!KD129:KD141)</f>
        <v>121.14892307692308</v>
      </c>
      <c r="KV142">
        <v>2.81</v>
      </c>
      <c r="LY142">
        <v>2.14</v>
      </c>
      <c r="MB142">
        <v>1.5517099999999999</v>
      </c>
      <c r="MC142">
        <v>1.6666799999999999</v>
      </c>
      <c r="MD142">
        <v>1.70295</v>
      </c>
      <c r="ME142">
        <v>1.6033299999999999</v>
      </c>
      <c r="MF142">
        <v>1.9612400000000001</v>
      </c>
      <c r="MG142">
        <v>1.70442</v>
      </c>
      <c r="MH142">
        <v>1.7547600000000001</v>
      </c>
      <c r="MI142">
        <v>1.6482600000000001</v>
      </c>
      <c r="MJ142">
        <v>1.2751699999999999</v>
      </c>
      <c r="MK142">
        <v>1.36151</v>
      </c>
      <c r="ML142">
        <v>1.26145</v>
      </c>
      <c r="MM142">
        <v>1.4573400000000001</v>
      </c>
      <c r="MN142">
        <v>1.8633999999999999</v>
      </c>
      <c r="MO142">
        <v>1.3341400000000001</v>
      </c>
      <c r="NB142">
        <v>1.66</v>
      </c>
      <c r="QC142">
        <v>-100</v>
      </c>
      <c r="QD142">
        <v>5</v>
      </c>
      <c r="RA142">
        <v>-99.56</v>
      </c>
      <c r="RB142">
        <v>3.9</v>
      </c>
    </row>
    <row r="143" spans="171:470" ht="13.15" x14ac:dyDescent="0.4">
      <c r="FW143">
        <v>45.794899999999998</v>
      </c>
      <c r="FX143">
        <v>44.102400000000003</v>
      </c>
      <c r="FY143" s="1">
        <f>AVERAGE(FY141:FY142)</f>
        <v>71.170150000000007</v>
      </c>
      <c r="FZ143">
        <v>41.725099999999998</v>
      </c>
      <c r="GA143">
        <v>42.820300000000003</v>
      </c>
      <c r="GB143">
        <v>37.143300000000004</v>
      </c>
      <c r="GC143" s="1">
        <f>AVERAGE(GC141:GC142)</f>
        <v>77.794550000000001</v>
      </c>
      <c r="GD143" s="1">
        <f>AVERAGE(GD141:GD142)</f>
        <v>73.00215</v>
      </c>
      <c r="GH143" t="s">
        <v>1141</v>
      </c>
      <c r="GJ143">
        <v>57.55</v>
      </c>
      <c r="GL143" t="s">
        <v>1141</v>
      </c>
      <c r="GN143">
        <f>63*GJ143/100</f>
        <v>36.256499999999996</v>
      </c>
      <c r="GQ143">
        <v>64.0411</v>
      </c>
      <c r="GR143">
        <v>67.432900000000004</v>
      </c>
      <c r="GS143">
        <v>42.630400000000002</v>
      </c>
      <c r="GT143">
        <v>121.52</v>
      </c>
      <c r="GU143">
        <v>65.071700000000007</v>
      </c>
      <c r="GW143">
        <v>84.441500000000005</v>
      </c>
      <c r="HX143">
        <v>97.11</v>
      </c>
      <c r="IZ143">
        <v>126.29</v>
      </c>
      <c r="JB143">
        <v>81.890900000000002</v>
      </c>
      <c r="JC143">
        <v>95.823700000000002</v>
      </c>
      <c r="JD143">
        <v>121.509</v>
      </c>
      <c r="JE143">
        <v>105.298</v>
      </c>
      <c r="JF143">
        <v>120.77</v>
      </c>
      <c r="JG143">
        <v>116.367</v>
      </c>
      <c r="JH143">
        <v>91.943399999999997</v>
      </c>
      <c r="JX143">
        <v>121.2</v>
      </c>
      <c r="JZ143">
        <f>AVERAGE(Supplementary_Fig7!JZ129:JZ142)</f>
        <v>85.400721428571416</v>
      </c>
      <c r="KC143">
        <f>AVERAGE(Supplementary_Fig7!KC129:KC142)</f>
        <v>98.687807142857153</v>
      </c>
      <c r="KV143">
        <v>2.74</v>
      </c>
      <c r="LY143">
        <v>2.04</v>
      </c>
      <c r="MB143">
        <f>AVERAGE(MB136:MB142)</f>
        <v>1.5728942857142858</v>
      </c>
      <c r="MC143">
        <v>1.7821899999999999</v>
      </c>
      <c r="MD143">
        <v>1.7618100000000001</v>
      </c>
      <c r="ME143">
        <v>1.5901400000000001</v>
      </c>
      <c r="MF143">
        <v>1.8337699999999999</v>
      </c>
      <c r="MG143">
        <v>1.7262</v>
      </c>
      <c r="MH143">
        <v>1.70458</v>
      </c>
      <c r="MI143">
        <v>1.62757</v>
      </c>
      <c r="MJ143">
        <v>1.3339399999999999</v>
      </c>
      <c r="MK143">
        <v>1.3513299999999999</v>
      </c>
      <c r="ML143">
        <v>1.25932</v>
      </c>
      <c r="MM143">
        <v>1.4820599999999999</v>
      </c>
      <c r="MN143">
        <v>1.5487299999999999</v>
      </c>
      <c r="MO143">
        <v>1.34246</v>
      </c>
      <c r="NB143">
        <v>1.65</v>
      </c>
      <c r="QC143">
        <v>-100</v>
      </c>
      <c r="QD143">
        <v>1.94</v>
      </c>
      <c r="RA143">
        <v>-100</v>
      </c>
      <c r="RB143">
        <v>1.89</v>
      </c>
    </row>
    <row r="144" spans="171:470" x14ac:dyDescent="0.35">
      <c r="FW144">
        <v>50.757199999999997</v>
      </c>
      <c r="FX144">
        <v>33.7639</v>
      </c>
      <c r="FZ144">
        <v>41.340899999999998</v>
      </c>
      <c r="GA144">
        <v>38.887999999999998</v>
      </c>
      <c r="GB144">
        <v>43.451599999999999</v>
      </c>
      <c r="GH144" t="s">
        <v>1142</v>
      </c>
      <c r="GJ144">
        <v>98.36</v>
      </c>
      <c r="GL144" t="s">
        <v>1142</v>
      </c>
      <c r="GN144">
        <f>63*GJ144/100</f>
        <v>61.966800000000006</v>
      </c>
      <c r="GR144">
        <v>54.925800000000002</v>
      </c>
      <c r="GS144">
        <v>51.667299999999997</v>
      </c>
      <c r="GT144">
        <v>68.568399999999997</v>
      </c>
      <c r="GW144">
        <v>51.783099999999997</v>
      </c>
      <c r="HX144">
        <v>96.98</v>
      </c>
      <c r="IZ144">
        <v>125.92</v>
      </c>
      <c r="JB144">
        <v>84.960899999999995</v>
      </c>
      <c r="JC144">
        <v>101.848</v>
      </c>
      <c r="JD144">
        <v>120.839</v>
      </c>
      <c r="JE144">
        <v>101.672</v>
      </c>
      <c r="JF144">
        <v>93.212900000000005</v>
      </c>
      <c r="JG144">
        <v>82.998699999999999</v>
      </c>
      <c r="JH144">
        <v>92.480500000000006</v>
      </c>
      <c r="JX144">
        <v>121.16</v>
      </c>
      <c r="KV144">
        <v>2.74</v>
      </c>
      <c r="LY144">
        <v>1.99</v>
      </c>
      <c r="MC144">
        <v>1.76637</v>
      </c>
      <c r="MD144">
        <v>1.72546</v>
      </c>
      <c r="ME144">
        <v>1.5908100000000001</v>
      </c>
      <c r="MF144">
        <v>1.8103199999999999</v>
      </c>
      <c r="MG144">
        <v>1.7457</v>
      </c>
      <c r="MH144">
        <v>1.7001500000000001</v>
      </c>
      <c r="MI144">
        <v>1.5939300000000001</v>
      </c>
      <c r="MJ144">
        <v>1.3234300000000001</v>
      </c>
      <c r="MK144">
        <v>1.3486899999999999</v>
      </c>
      <c r="ML144">
        <v>1.24661</v>
      </c>
      <c r="MM144">
        <v>1.5595300000000001</v>
      </c>
      <c r="MN144">
        <v>1.5361899999999999</v>
      </c>
      <c r="MO144">
        <v>1.32955</v>
      </c>
      <c r="NB144">
        <v>1.65</v>
      </c>
      <c r="QC144">
        <v>-100</v>
      </c>
      <c r="QD144">
        <v>4.49</v>
      </c>
      <c r="RA144">
        <v>-100</v>
      </c>
      <c r="RB144">
        <v>3.08</v>
      </c>
    </row>
    <row r="145" spans="179:470" ht="13.15" x14ac:dyDescent="0.4">
      <c r="FW145" s="1">
        <f>AVERAGE(FW141:FW144)</f>
        <v>50.697374999999994</v>
      </c>
      <c r="FX145" s="1">
        <f>AVERAGE(FX141:FX144)</f>
        <v>39.192374999999998</v>
      </c>
      <c r="FZ145" s="1">
        <f>AVERAGE(FZ141:FZ144)</f>
        <v>48.431775000000002</v>
      </c>
      <c r="GA145" s="1">
        <f>AVERAGE(GA141:GA144)</f>
        <v>39.739175000000003</v>
      </c>
      <c r="GB145" s="1">
        <f>AVERAGE(GB141:GB144)</f>
        <v>46.197000000000003</v>
      </c>
      <c r="GH145" t="s">
        <v>942</v>
      </c>
      <c r="GI145">
        <v>66.61</v>
      </c>
      <c r="GL145" t="s">
        <v>942</v>
      </c>
      <c r="GM145">
        <f>63*GI145/100</f>
        <v>41.964300000000001</v>
      </c>
      <c r="GR145">
        <v>63.700899999999997</v>
      </c>
      <c r="GS145">
        <v>55.799799999999998</v>
      </c>
      <c r="GW145">
        <v>60.0944</v>
      </c>
      <c r="HX145">
        <v>96.91</v>
      </c>
      <c r="IZ145">
        <v>125.78</v>
      </c>
      <c r="JB145">
        <v>84.855699999999999</v>
      </c>
      <c r="JC145">
        <v>100.05500000000001</v>
      </c>
      <c r="JD145">
        <v>119.91</v>
      </c>
      <c r="JE145">
        <v>105.563</v>
      </c>
      <c r="JF145">
        <v>90.5197</v>
      </c>
      <c r="JG145">
        <v>79.161100000000005</v>
      </c>
      <c r="JH145">
        <v>90.8035</v>
      </c>
      <c r="JX145">
        <v>121.14</v>
      </c>
      <c r="KV145">
        <v>2.74</v>
      </c>
      <c r="LY145">
        <v>1.93</v>
      </c>
      <c r="MC145">
        <v>1.73997</v>
      </c>
      <c r="MD145">
        <v>1.8257099999999999</v>
      </c>
      <c r="ME145">
        <v>1.58958</v>
      </c>
      <c r="MF145">
        <v>1.8019099999999999</v>
      </c>
      <c r="MG145">
        <v>1.6782699999999999</v>
      </c>
      <c r="MH145">
        <v>1.7260899999999999</v>
      </c>
      <c r="MI145">
        <v>1.61561</v>
      </c>
      <c r="MJ145">
        <v>1.29833</v>
      </c>
      <c r="MK145">
        <v>1.3412900000000001</v>
      </c>
      <c r="ML145">
        <v>1.2775700000000001</v>
      </c>
      <c r="MM145">
        <v>1.50214</v>
      </c>
      <c r="MN145">
        <v>1.5979000000000001</v>
      </c>
      <c r="MO145">
        <v>1.3071900000000001</v>
      </c>
      <c r="NB145">
        <v>1.64</v>
      </c>
      <c r="QC145">
        <v>-100</v>
      </c>
      <c r="QD145">
        <v>2.0299999999999998</v>
      </c>
      <c r="RA145">
        <v>-100</v>
      </c>
      <c r="RB145">
        <v>4.79</v>
      </c>
    </row>
    <row r="146" spans="179:470" ht="13.15" x14ac:dyDescent="0.4">
      <c r="GH146" t="s">
        <v>933</v>
      </c>
      <c r="GJ146">
        <v>98.53</v>
      </c>
      <c r="GL146" t="s">
        <v>933</v>
      </c>
      <c r="GN146">
        <f>63*GJ146/100</f>
        <v>62.073900000000002</v>
      </c>
      <c r="GQ146" s="1">
        <f t="shared" ref="GQ146:GW146" si="34">AVERAGE(GQ142:GQ145)</f>
        <v>75.47075000000001</v>
      </c>
      <c r="GR146" s="1">
        <f t="shared" si="34"/>
        <v>61.288200000000003</v>
      </c>
      <c r="GS146" s="1">
        <f t="shared" si="34"/>
        <v>44.879874999999998</v>
      </c>
      <c r="GT146" s="1">
        <f t="shared" si="34"/>
        <v>85.077533333333335</v>
      </c>
      <c r="GU146" s="1">
        <f t="shared" si="34"/>
        <v>57.556350000000002</v>
      </c>
      <c r="GV146" s="1">
        <f t="shared" si="34"/>
        <v>98.369699999999995</v>
      </c>
      <c r="GW146" s="1">
        <f t="shared" si="34"/>
        <v>66.611324999999994</v>
      </c>
      <c r="HX146">
        <v>96.79</v>
      </c>
      <c r="IZ146">
        <v>123.35</v>
      </c>
      <c r="JB146">
        <v>82.6965</v>
      </c>
      <c r="JC146">
        <v>99.700900000000004</v>
      </c>
      <c r="JD146">
        <v>118.633</v>
      </c>
      <c r="JE146">
        <v>106.63</v>
      </c>
      <c r="JF146">
        <v>90.060400000000001</v>
      </c>
      <c r="JG146">
        <v>80.400099999999995</v>
      </c>
      <c r="JH146">
        <v>90.290800000000004</v>
      </c>
      <c r="JX146">
        <v>120.01</v>
      </c>
      <c r="KV146">
        <v>2.72</v>
      </c>
      <c r="LY146">
        <v>1.93</v>
      </c>
      <c r="MC146">
        <v>1.8971</v>
      </c>
      <c r="MD146">
        <v>1.83819</v>
      </c>
      <c r="ME146">
        <v>1.6001099999999999</v>
      </c>
      <c r="MF146">
        <v>1.9797</v>
      </c>
      <c r="MG146">
        <v>1.72743</v>
      </c>
      <c r="MH146">
        <v>1.7384599999999999</v>
      </c>
      <c r="MI146">
        <v>1.60433</v>
      </c>
      <c r="MJ146">
        <v>1.29617</v>
      </c>
      <c r="MK146">
        <v>1.3832599999999999</v>
      </c>
      <c r="ML146">
        <v>1.2715099999999999</v>
      </c>
      <c r="MM146">
        <v>1.4825900000000001</v>
      </c>
      <c r="MN146">
        <v>1.67218</v>
      </c>
      <c r="MO146">
        <v>1.30966</v>
      </c>
      <c r="NB146">
        <v>1.64</v>
      </c>
      <c r="QC146">
        <v>-100</v>
      </c>
      <c r="QD146">
        <v>3.31</v>
      </c>
      <c r="RA146">
        <v>-100</v>
      </c>
      <c r="RB146">
        <v>2.2200000000000002</v>
      </c>
    </row>
    <row r="147" spans="179:470" x14ac:dyDescent="0.35">
      <c r="GH147" t="s">
        <v>934</v>
      </c>
      <c r="GI147">
        <v>77.45</v>
      </c>
      <c r="GL147" t="s">
        <v>934</v>
      </c>
      <c r="GM147">
        <f>63*GI147/100</f>
        <v>48.793500000000002</v>
      </c>
      <c r="HX147">
        <v>96.4</v>
      </c>
      <c r="IZ147">
        <v>123.07</v>
      </c>
      <c r="JB147">
        <v>82.310500000000005</v>
      </c>
      <c r="JC147">
        <v>95.893900000000002</v>
      </c>
      <c r="JD147">
        <v>120.622</v>
      </c>
      <c r="JE147">
        <v>105.46899999999999</v>
      </c>
      <c r="JF147">
        <v>118.837</v>
      </c>
      <c r="JG147">
        <v>78.416399999999996</v>
      </c>
      <c r="JH147">
        <v>90.301500000000004</v>
      </c>
      <c r="JX147">
        <v>119.46</v>
      </c>
      <c r="KV147">
        <v>2.72</v>
      </c>
      <c r="LY147">
        <v>1.93</v>
      </c>
      <c r="MC147">
        <v>1.84812</v>
      </c>
      <c r="MD147">
        <v>1.73566</v>
      </c>
      <c r="ME147">
        <v>1.59389</v>
      </c>
      <c r="MF147">
        <v>2.03905</v>
      </c>
      <c r="MG147">
        <v>1.7382599999999999</v>
      </c>
      <c r="MH147">
        <v>1.7288300000000001</v>
      </c>
      <c r="MI147">
        <v>1.6573599999999999</v>
      </c>
      <c r="MJ147">
        <v>1.31978</v>
      </c>
      <c r="MK147">
        <v>1.2978400000000001</v>
      </c>
      <c r="ML147">
        <v>1.2329300000000001</v>
      </c>
      <c r="MM147">
        <v>1.49977</v>
      </c>
      <c r="MN147">
        <v>1.7553300000000001</v>
      </c>
      <c r="MO147">
        <v>1.3220099999999999</v>
      </c>
      <c r="NB147">
        <v>1.63</v>
      </c>
      <c r="QC147">
        <v>-100</v>
      </c>
      <c r="QD147">
        <v>7.74</v>
      </c>
    </row>
    <row r="148" spans="179:470" x14ac:dyDescent="0.35">
      <c r="GH148" t="s">
        <v>935</v>
      </c>
      <c r="GJ148">
        <v>69.540000000000006</v>
      </c>
      <c r="GL148" t="s">
        <v>935</v>
      </c>
      <c r="GN148">
        <f>63*GJ148/100</f>
        <v>43.810200000000002</v>
      </c>
      <c r="GQ148" t="s">
        <v>933</v>
      </c>
      <c r="GR148" t="s">
        <v>934</v>
      </c>
      <c r="GS148" t="s">
        <v>935</v>
      </c>
      <c r="GT148" t="s">
        <v>936</v>
      </c>
      <c r="GU148" t="s">
        <v>937</v>
      </c>
      <c r="GV148" t="s">
        <v>938</v>
      </c>
      <c r="GW148" t="s">
        <v>939</v>
      </c>
      <c r="GX148" t="s">
        <v>940</v>
      </c>
      <c r="HX148">
        <v>95.23731875</v>
      </c>
      <c r="IZ148">
        <v>122.85</v>
      </c>
      <c r="JB148">
        <v>81.771900000000002</v>
      </c>
      <c r="JC148">
        <v>94.622799999999998</v>
      </c>
      <c r="JD148">
        <v>121.063</v>
      </c>
      <c r="JE148">
        <v>104.93899999999999</v>
      </c>
      <c r="JF148">
        <v>120.074</v>
      </c>
      <c r="JG148">
        <v>76.434299999999993</v>
      </c>
      <c r="JH148">
        <v>91.148399999999995</v>
      </c>
      <c r="JX148">
        <v>119.28</v>
      </c>
      <c r="KV148">
        <v>2.67</v>
      </c>
      <c r="LY148">
        <v>1.93</v>
      </c>
      <c r="MC148">
        <v>1.8365199999999999</v>
      </c>
      <c r="MD148">
        <f>AVERAGE(MD136:MD147)</f>
        <v>1.7452291666666666</v>
      </c>
      <c r="ME148">
        <v>1.6217999999999999</v>
      </c>
      <c r="MF148">
        <v>1.9698500000000001</v>
      </c>
      <c r="MG148">
        <v>1.7148099999999999</v>
      </c>
      <c r="MH148">
        <v>1.7204699999999999</v>
      </c>
      <c r="MI148">
        <v>1.6757299999999999</v>
      </c>
      <c r="MJ148">
        <v>1.2575000000000001</v>
      </c>
      <c r="MK148">
        <f>AVERAGE(MK136:MK147)</f>
        <v>1.3296800000000002</v>
      </c>
      <c r="ML148">
        <v>1.2583200000000001</v>
      </c>
      <c r="MM148">
        <v>1.51552</v>
      </c>
      <c r="MN148">
        <v>1.63764</v>
      </c>
      <c r="MO148">
        <v>1.3166</v>
      </c>
      <c r="NB148">
        <v>1.62</v>
      </c>
      <c r="QC148">
        <v>-100</v>
      </c>
      <c r="QD148">
        <v>2.21</v>
      </c>
    </row>
    <row r="149" spans="179:470" x14ac:dyDescent="0.35">
      <c r="GH149" t="s">
        <v>936</v>
      </c>
      <c r="GI149">
        <v>85.84</v>
      </c>
      <c r="GL149" t="s">
        <v>936</v>
      </c>
      <c r="GM149">
        <f>63*GI149/100</f>
        <v>54.0792</v>
      </c>
      <c r="GQ149">
        <v>88.459100000000007</v>
      </c>
      <c r="GR149">
        <v>76.707800000000006</v>
      </c>
      <c r="GS149">
        <v>71.548100000000005</v>
      </c>
      <c r="GT149">
        <v>82.197000000000003</v>
      </c>
      <c r="GU149">
        <v>112.506</v>
      </c>
      <c r="GV149">
        <v>68.161900000000003</v>
      </c>
      <c r="GW149">
        <v>85.537499999999994</v>
      </c>
      <c r="GX149">
        <v>58.270299999999999</v>
      </c>
      <c r="HX149">
        <v>95.21</v>
      </c>
      <c r="IZ149">
        <v>122.72</v>
      </c>
      <c r="JB149">
        <v>114.381</v>
      </c>
      <c r="JC149">
        <v>93.9499</v>
      </c>
      <c r="JD149">
        <f>AVERAGE(JD137:JD148)</f>
        <v>119.98633333333335</v>
      </c>
      <c r="JE149">
        <v>104.742</v>
      </c>
      <c r="JF149">
        <v>117.584</v>
      </c>
      <c r="JG149">
        <v>115.23699999999999</v>
      </c>
      <c r="JH149">
        <v>89.717100000000002</v>
      </c>
      <c r="JX149">
        <v>119.16</v>
      </c>
      <c r="KV149">
        <v>2.66</v>
      </c>
      <c r="LY149">
        <v>1.91</v>
      </c>
      <c r="MC149">
        <f>AVERAGE(MC136:MC148)</f>
        <v>1.7611353846153845</v>
      </c>
      <c r="ME149">
        <v>1.64141</v>
      </c>
      <c r="MF149">
        <v>1.8208200000000001</v>
      </c>
      <c r="MG149">
        <v>1.7149399999999999</v>
      </c>
      <c r="MH149">
        <v>1.73597</v>
      </c>
      <c r="MI149">
        <f>AVERAGE(MI136:MI148)</f>
        <v>1.6367769230769236</v>
      </c>
      <c r="MJ149">
        <v>1.2844800000000001</v>
      </c>
      <c r="ML149">
        <v>1.2692600000000001</v>
      </c>
      <c r="MM149">
        <v>1.51363</v>
      </c>
      <c r="MN149">
        <v>1.6262000000000001</v>
      </c>
      <c r="MO149">
        <v>1.3383</v>
      </c>
      <c r="NB149">
        <v>1.61</v>
      </c>
      <c r="QC149">
        <v>-100</v>
      </c>
      <c r="QD149">
        <v>3</v>
      </c>
    </row>
    <row r="150" spans="179:470" x14ac:dyDescent="0.35">
      <c r="GH150" t="s">
        <v>937</v>
      </c>
      <c r="GJ150">
        <v>107.53</v>
      </c>
      <c r="GL150" t="s">
        <v>937</v>
      </c>
      <c r="GN150">
        <f>63*GJ150/100</f>
        <v>67.743899999999996</v>
      </c>
      <c r="GQ150">
        <v>124.88500000000001</v>
      </c>
      <c r="GR150">
        <v>92.794700000000006</v>
      </c>
      <c r="GS150">
        <v>74.732900000000001</v>
      </c>
      <c r="GT150">
        <v>87.517099999999999</v>
      </c>
      <c r="GU150">
        <v>109.43</v>
      </c>
      <c r="GV150">
        <v>93.265500000000003</v>
      </c>
      <c r="GW150">
        <v>99.779600000000002</v>
      </c>
      <c r="GX150">
        <v>82.413799999999995</v>
      </c>
      <c r="HX150">
        <v>95.14</v>
      </c>
      <c r="IZ150">
        <v>121.8</v>
      </c>
      <c r="JB150">
        <f>AVERAGE(JB137:JB149)</f>
        <v>85.362330769230766</v>
      </c>
      <c r="JC150">
        <v>99.626199999999997</v>
      </c>
      <c r="JE150">
        <v>103.145</v>
      </c>
      <c r="JF150">
        <v>93.537899999999993</v>
      </c>
      <c r="JG150">
        <v>81.396500000000003</v>
      </c>
      <c r="JH150">
        <v>92.3416</v>
      </c>
      <c r="JX150">
        <v>118.52</v>
      </c>
      <c r="KV150">
        <v>2.6</v>
      </c>
      <c r="LY150">
        <v>1.91</v>
      </c>
      <c r="ME150">
        <v>1.6355999999999999</v>
      </c>
      <c r="MF150">
        <v>1.9110100000000001</v>
      </c>
      <c r="MG150">
        <f>AVERAGE(MG136:MG149)</f>
        <v>1.7007171428571433</v>
      </c>
      <c r="MH150">
        <v>1.7165299999999999</v>
      </c>
      <c r="MJ150">
        <f>AVERAGE(MJ136:MJ149)</f>
        <v>1.2890878571428568</v>
      </c>
      <c r="ML150">
        <v>1.2636000000000001</v>
      </c>
      <c r="MM150">
        <v>1.5456099999999999</v>
      </c>
      <c r="MN150">
        <f>AVERAGE(MN136:MN149)</f>
        <v>1.626951428571429</v>
      </c>
      <c r="MO150">
        <v>1.3084800000000001</v>
      </c>
      <c r="NB150">
        <v>1.61</v>
      </c>
      <c r="QC150">
        <v>-100</v>
      </c>
      <c r="QD150">
        <v>2.5</v>
      </c>
    </row>
    <row r="151" spans="179:470" x14ac:dyDescent="0.35">
      <c r="GH151" t="s">
        <v>938</v>
      </c>
      <c r="GJ151">
        <v>70.930000000000007</v>
      </c>
      <c r="GL151" t="s">
        <v>938</v>
      </c>
      <c r="GN151">
        <f>63*GJ151/100</f>
        <v>44.685900000000004</v>
      </c>
      <c r="GQ151">
        <v>77.337100000000007</v>
      </c>
      <c r="GR151">
        <v>58.691000000000003</v>
      </c>
      <c r="GS151">
        <v>61.729799999999997</v>
      </c>
      <c r="GT151">
        <v>82.278099999999995</v>
      </c>
      <c r="GU151">
        <v>90.978200000000001</v>
      </c>
      <c r="GV151">
        <v>56.161999999999999</v>
      </c>
      <c r="GW151">
        <v>61.548299999999998</v>
      </c>
      <c r="GX151">
        <v>48.816899999999997</v>
      </c>
      <c r="HX151">
        <v>95.11</v>
      </c>
      <c r="IZ151">
        <v>119.98</v>
      </c>
      <c r="JC151">
        <f>AVERAGE(JC137:JC150)</f>
        <v>98.298300000000012</v>
      </c>
      <c r="JE151">
        <v>102.24</v>
      </c>
      <c r="JF151">
        <v>95.736699999999999</v>
      </c>
      <c r="JG151">
        <f>AVERAGE(JG137:JG150)</f>
        <v>85.431892857142856</v>
      </c>
      <c r="JH151">
        <v>92.382800000000003</v>
      </c>
      <c r="JX151">
        <v>118.15</v>
      </c>
      <c r="KV151">
        <v>2.56</v>
      </c>
      <c r="LY151">
        <v>1.91</v>
      </c>
      <c r="ME151">
        <v>1.6861900000000001</v>
      </c>
      <c r="MF151">
        <f>AVERAGE(MF136:MF150)</f>
        <v>1.8948400000000001</v>
      </c>
      <c r="MH151">
        <v>1.71471</v>
      </c>
      <c r="ML151">
        <v>1.2573700000000001</v>
      </c>
      <c r="MM151">
        <v>1.4669099999999999</v>
      </c>
      <c r="MO151">
        <f>AVERAGE(MO136:MO150)</f>
        <v>1.3208806666666668</v>
      </c>
      <c r="NB151">
        <v>1.61</v>
      </c>
      <c r="QC151">
        <v>-100</v>
      </c>
      <c r="QD151">
        <v>5.25</v>
      </c>
    </row>
    <row r="152" spans="179:470" x14ac:dyDescent="0.35">
      <c r="GH152" t="s">
        <v>939</v>
      </c>
      <c r="GI152">
        <v>79.81</v>
      </c>
      <c r="GL152" t="s">
        <v>939</v>
      </c>
      <c r="GM152">
        <f>63*GI152/100</f>
        <v>50.280299999999997</v>
      </c>
      <c r="GQ152">
        <v>103.45699999999999</v>
      </c>
      <c r="GR152">
        <v>81.632599999999996</v>
      </c>
      <c r="GS152">
        <v>70.153000000000006</v>
      </c>
      <c r="GT152">
        <v>91.400800000000004</v>
      </c>
      <c r="GU152">
        <v>117.21</v>
      </c>
      <c r="GV152">
        <v>66.147800000000004</v>
      </c>
      <c r="GW152">
        <v>72.399299999999997</v>
      </c>
      <c r="GX152">
        <v>67.372799999999998</v>
      </c>
      <c r="HX152">
        <v>94.85</v>
      </c>
      <c r="IZ152">
        <v>119.43</v>
      </c>
      <c r="JE152">
        <v>103.355</v>
      </c>
      <c r="JF152">
        <v>94.474800000000002</v>
      </c>
      <c r="JH152">
        <f>AVERAGE(JH137:JH151)</f>
        <v>91.046446666666682</v>
      </c>
      <c r="JX152">
        <v>118.03</v>
      </c>
      <c r="KV152">
        <v>2.56</v>
      </c>
      <c r="LY152">
        <v>1.9</v>
      </c>
      <c r="ME152">
        <f>AVERAGE(ME136:ME151)</f>
        <v>1.6210331250000003</v>
      </c>
      <c r="MH152">
        <f>AVERAGE(MH136:MH151)</f>
        <v>1.7243968749999998</v>
      </c>
      <c r="ML152">
        <f>AVERAGE(ML136:ML151)</f>
        <v>1.2588656250000001</v>
      </c>
      <c r="MM152">
        <f>AVERAGE(MM136:MM151)</f>
        <v>1.4812350000000001</v>
      </c>
      <c r="NB152">
        <v>1.59</v>
      </c>
      <c r="QC152">
        <v>-100</v>
      </c>
      <c r="QD152">
        <v>4.8600000000000003</v>
      </c>
    </row>
    <row r="153" spans="179:470" ht="13.15" x14ac:dyDescent="0.4">
      <c r="GH153" t="s">
        <v>940</v>
      </c>
      <c r="GJ153">
        <v>64.209999999999994</v>
      </c>
      <c r="GL153" t="s">
        <v>940</v>
      </c>
      <c r="GN153">
        <f>63*GJ153/100</f>
        <v>40.452299999999994</v>
      </c>
      <c r="GQ153" s="1">
        <f t="shared" ref="GQ153:GX153" si="35">AVERAGE(GQ149:GQ152)</f>
        <v>98.53455000000001</v>
      </c>
      <c r="GR153" s="1">
        <f t="shared" si="35"/>
        <v>77.456524999999999</v>
      </c>
      <c r="GS153" s="1">
        <f t="shared" si="35"/>
        <v>69.540950000000009</v>
      </c>
      <c r="GT153" s="1">
        <f t="shared" si="35"/>
        <v>85.848250000000007</v>
      </c>
      <c r="GU153" s="1">
        <f t="shared" si="35"/>
        <v>107.53104999999999</v>
      </c>
      <c r="GV153" s="1">
        <f t="shared" si="35"/>
        <v>70.934300000000007</v>
      </c>
      <c r="GW153" s="1">
        <f t="shared" si="35"/>
        <v>79.816174999999987</v>
      </c>
      <c r="GX153" s="1">
        <f t="shared" si="35"/>
        <v>64.218450000000004</v>
      </c>
      <c r="HX153">
        <v>94.64</v>
      </c>
      <c r="IZ153">
        <v>119.36</v>
      </c>
      <c r="JE153">
        <f>AVERAGE(JE137:JE152)</f>
        <v>104.37081250000001</v>
      </c>
      <c r="JF153">
        <f>AVERAGE(JF137:JF152)</f>
        <v>99.604456249999998</v>
      </c>
      <c r="JX153">
        <v>117.4</v>
      </c>
      <c r="KV153">
        <v>2.5499999999999998</v>
      </c>
      <c r="LY153">
        <v>1.9</v>
      </c>
      <c r="NB153">
        <v>1.59</v>
      </c>
      <c r="QC153">
        <v>-100</v>
      </c>
      <c r="QD153">
        <v>5.05</v>
      </c>
    </row>
    <row r="154" spans="179:470" ht="13.15" x14ac:dyDescent="0.4">
      <c r="GJ154" s="1">
        <f>AVERAGE(GI4:GJ153)</f>
        <v>79.317328767123314</v>
      </c>
      <c r="GN154" s="1">
        <f>AVERAGE(GM4:GN153)</f>
        <v>49.969917123287686</v>
      </c>
      <c r="HX154">
        <v>94.39</v>
      </c>
      <c r="IZ154">
        <v>119.15</v>
      </c>
      <c r="JX154">
        <v>116.35</v>
      </c>
      <c r="KV154">
        <v>2.5499999999999998</v>
      </c>
      <c r="LY154">
        <v>1.89</v>
      </c>
      <c r="NB154">
        <v>1.58</v>
      </c>
      <c r="QC154">
        <v>-100</v>
      </c>
      <c r="QD154">
        <v>3.8</v>
      </c>
    </row>
    <row r="155" spans="179:470" x14ac:dyDescent="0.35">
      <c r="HX155">
        <v>93.78</v>
      </c>
      <c r="IZ155">
        <v>117.67</v>
      </c>
      <c r="JX155">
        <v>115.93</v>
      </c>
      <c r="KV155">
        <v>2.54</v>
      </c>
      <c r="LY155">
        <v>1.88</v>
      </c>
      <c r="NB155">
        <v>1.58</v>
      </c>
      <c r="QC155">
        <v>-100</v>
      </c>
      <c r="QD155">
        <v>7.24</v>
      </c>
    </row>
    <row r="156" spans="179:470" x14ac:dyDescent="0.35">
      <c r="HX156">
        <v>92.51</v>
      </c>
      <c r="IZ156">
        <v>116.96</v>
      </c>
      <c r="JX156">
        <v>114.92</v>
      </c>
      <c r="KV156">
        <v>2.5099999999999998</v>
      </c>
      <c r="LY156">
        <v>1.88</v>
      </c>
      <c r="NB156">
        <v>1.58</v>
      </c>
      <c r="QC156">
        <v>-100</v>
      </c>
      <c r="QD156">
        <v>4.68</v>
      </c>
    </row>
    <row r="157" spans="179:470" x14ac:dyDescent="0.35">
      <c r="HX157">
        <v>92.17</v>
      </c>
      <c r="IZ157">
        <v>116.55</v>
      </c>
      <c r="JX157">
        <v>114.82</v>
      </c>
      <c r="KV157">
        <v>2.5</v>
      </c>
      <c r="LY157">
        <v>1.87</v>
      </c>
      <c r="NB157">
        <v>1.58</v>
      </c>
      <c r="QC157">
        <v>-100</v>
      </c>
      <c r="QD157">
        <v>3.29</v>
      </c>
    </row>
    <row r="158" spans="179:470" x14ac:dyDescent="0.35">
      <c r="HX158">
        <v>91.74</v>
      </c>
      <c r="IZ158">
        <v>115.46</v>
      </c>
      <c r="JX158">
        <v>114.813</v>
      </c>
      <c r="KV158">
        <v>2.5</v>
      </c>
      <c r="LY158">
        <v>1.865</v>
      </c>
      <c r="NB158">
        <v>1.57</v>
      </c>
      <c r="QC158">
        <v>-100</v>
      </c>
      <c r="QD158">
        <v>4.7</v>
      </c>
    </row>
    <row r="159" spans="179:470" x14ac:dyDescent="0.35">
      <c r="HX159">
        <v>91.67</v>
      </c>
      <c r="IZ159">
        <v>115.34</v>
      </c>
      <c r="JX159">
        <v>114.34</v>
      </c>
      <c r="KV159">
        <v>2.4300000000000002</v>
      </c>
      <c r="LY159">
        <v>1.86</v>
      </c>
      <c r="NB159">
        <v>1.57</v>
      </c>
      <c r="QC159">
        <v>-100</v>
      </c>
      <c r="QD159">
        <v>4.4400000000000004</v>
      </c>
    </row>
    <row r="160" spans="179:470" x14ac:dyDescent="0.35">
      <c r="HX160">
        <v>91.64</v>
      </c>
      <c r="IZ160">
        <v>115.18</v>
      </c>
      <c r="JX160">
        <v>114.2</v>
      </c>
      <c r="KV160">
        <v>2.4300000000000002</v>
      </c>
      <c r="LY160">
        <v>1.86</v>
      </c>
      <c r="NB160">
        <v>1.56</v>
      </c>
    </row>
    <row r="161" spans="232:366" x14ac:dyDescent="0.35">
      <c r="HX161">
        <v>91.22</v>
      </c>
      <c r="IZ161">
        <v>115.17</v>
      </c>
      <c r="JX161">
        <v>113.65</v>
      </c>
      <c r="KV161">
        <v>2.41</v>
      </c>
      <c r="LY161">
        <v>1.85</v>
      </c>
      <c r="NB161">
        <v>1.56</v>
      </c>
    </row>
    <row r="162" spans="232:366" x14ac:dyDescent="0.35">
      <c r="HX162">
        <v>91.12</v>
      </c>
      <c r="IZ162">
        <v>114.73</v>
      </c>
      <c r="JX162">
        <v>113.22</v>
      </c>
      <c r="KV162">
        <v>2.4039999999999999</v>
      </c>
      <c r="LY162">
        <v>1.85</v>
      </c>
      <c r="NB162">
        <v>1.55</v>
      </c>
    </row>
    <row r="163" spans="232:366" x14ac:dyDescent="0.35">
      <c r="HX163">
        <v>91.09</v>
      </c>
      <c r="IZ163">
        <v>114.3</v>
      </c>
      <c r="JX163">
        <v>112.65</v>
      </c>
      <c r="KV163">
        <v>2.36</v>
      </c>
      <c r="LY163">
        <v>1.83</v>
      </c>
      <c r="NB163">
        <v>1.55</v>
      </c>
    </row>
    <row r="164" spans="232:366" x14ac:dyDescent="0.35">
      <c r="HX164">
        <v>91.04</v>
      </c>
      <c r="IZ164">
        <v>113.5</v>
      </c>
      <c r="JX164">
        <v>112.6</v>
      </c>
      <c r="KV164">
        <v>2.3199999999999998</v>
      </c>
      <c r="LY164">
        <v>1.83</v>
      </c>
      <c r="NB164">
        <v>1.55</v>
      </c>
    </row>
    <row r="165" spans="232:366" x14ac:dyDescent="0.35">
      <c r="HX165">
        <v>90.96</v>
      </c>
      <c r="IZ165">
        <v>112.48</v>
      </c>
      <c r="JX165">
        <v>112.39</v>
      </c>
      <c r="KV165">
        <v>2.2999999999999998</v>
      </c>
      <c r="LY165">
        <v>1.83</v>
      </c>
      <c r="NB165">
        <v>1.55</v>
      </c>
    </row>
    <row r="166" spans="232:366" x14ac:dyDescent="0.35">
      <c r="HX166">
        <v>90.92</v>
      </c>
      <c r="IZ166">
        <v>112.41</v>
      </c>
      <c r="JX166">
        <v>111.8</v>
      </c>
      <c r="KV166">
        <v>2.2999999999999998</v>
      </c>
      <c r="LY166">
        <v>1.83</v>
      </c>
      <c r="NB166">
        <v>1.53</v>
      </c>
    </row>
    <row r="167" spans="232:366" x14ac:dyDescent="0.35">
      <c r="HX167">
        <v>90.61</v>
      </c>
      <c r="IZ167">
        <v>111.42</v>
      </c>
      <c r="JX167">
        <v>111.52</v>
      </c>
      <c r="KV167">
        <v>2.29</v>
      </c>
      <c r="LY167">
        <v>1.82</v>
      </c>
      <c r="NB167">
        <v>1.52</v>
      </c>
    </row>
    <row r="168" spans="232:366" x14ac:dyDescent="0.35">
      <c r="HX168">
        <v>90.17</v>
      </c>
      <c r="IZ168">
        <v>110.93</v>
      </c>
      <c r="JX168">
        <v>110.97</v>
      </c>
      <c r="KV168">
        <v>2.2799999999999998</v>
      </c>
      <c r="LY168">
        <v>1.81</v>
      </c>
      <c r="NB168">
        <v>1.52</v>
      </c>
    </row>
    <row r="169" spans="232:366" x14ac:dyDescent="0.35">
      <c r="HX169">
        <v>89.69</v>
      </c>
      <c r="IZ169">
        <v>110.69</v>
      </c>
      <c r="JX169">
        <v>110.97</v>
      </c>
      <c r="KV169">
        <v>2.23</v>
      </c>
      <c r="LY169">
        <v>1.81</v>
      </c>
      <c r="NB169">
        <v>1.52</v>
      </c>
    </row>
    <row r="170" spans="232:366" x14ac:dyDescent="0.35">
      <c r="HX170">
        <v>89.57</v>
      </c>
      <c r="IZ170">
        <v>110.68</v>
      </c>
      <c r="JX170">
        <v>110.89</v>
      </c>
      <c r="KV170">
        <v>2.23</v>
      </c>
      <c r="LY170">
        <v>1.8</v>
      </c>
      <c r="NB170">
        <v>1.5</v>
      </c>
    </row>
    <row r="171" spans="232:366" x14ac:dyDescent="0.35">
      <c r="HX171">
        <v>89.42</v>
      </c>
      <c r="IZ171">
        <v>110</v>
      </c>
      <c r="JX171">
        <v>110.18</v>
      </c>
      <c r="KV171">
        <v>2.23</v>
      </c>
      <c r="LY171">
        <v>1.8</v>
      </c>
      <c r="NB171">
        <v>1.5</v>
      </c>
    </row>
    <row r="172" spans="232:366" x14ac:dyDescent="0.35">
      <c r="HX172">
        <v>89.13</v>
      </c>
      <c r="IZ172">
        <v>109.91</v>
      </c>
      <c r="JX172">
        <v>109.21</v>
      </c>
      <c r="KV172">
        <v>2.2000000000000002</v>
      </c>
      <c r="LY172">
        <v>1.8</v>
      </c>
      <c r="NB172">
        <v>1.5</v>
      </c>
    </row>
    <row r="173" spans="232:366" x14ac:dyDescent="0.35">
      <c r="HX173">
        <v>88.8</v>
      </c>
      <c r="IZ173">
        <v>109.71</v>
      </c>
      <c r="JX173">
        <v>108.78</v>
      </c>
      <c r="KV173">
        <v>2.2000000000000002</v>
      </c>
      <c r="LY173">
        <v>1.79</v>
      </c>
      <c r="NB173">
        <v>1.5</v>
      </c>
    </row>
    <row r="174" spans="232:366" x14ac:dyDescent="0.35">
      <c r="HX174">
        <v>88.62</v>
      </c>
      <c r="IZ174">
        <v>109.09</v>
      </c>
      <c r="JX174">
        <v>108.77</v>
      </c>
      <c r="KV174">
        <v>2.17</v>
      </c>
      <c r="LY174">
        <v>1.78</v>
      </c>
      <c r="NB174">
        <v>1.5</v>
      </c>
    </row>
    <row r="175" spans="232:366" x14ac:dyDescent="0.35">
      <c r="HX175">
        <v>88.59</v>
      </c>
      <c r="IZ175">
        <v>109.03</v>
      </c>
      <c r="JX175">
        <v>108.65</v>
      </c>
      <c r="KV175">
        <v>2.16</v>
      </c>
      <c r="LY175">
        <v>1.77</v>
      </c>
      <c r="NB175">
        <v>1.49</v>
      </c>
    </row>
    <row r="176" spans="232:366" x14ac:dyDescent="0.35">
      <c r="HX176">
        <v>88.58</v>
      </c>
      <c r="IZ176">
        <v>107.94</v>
      </c>
      <c r="JX176">
        <v>108.55</v>
      </c>
      <c r="KV176">
        <v>2.14</v>
      </c>
      <c r="LY176">
        <v>1.77</v>
      </c>
      <c r="NB176">
        <v>1.49</v>
      </c>
    </row>
    <row r="177" spans="232:366" x14ac:dyDescent="0.35">
      <c r="HX177">
        <v>88.33</v>
      </c>
      <c r="IZ177">
        <v>107.75</v>
      </c>
      <c r="JX177">
        <v>108.53</v>
      </c>
      <c r="KV177">
        <v>2.11</v>
      </c>
      <c r="LY177">
        <v>1.77</v>
      </c>
      <c r="NB177">
        <v>1.49</v>
      </c>
    </row>
    <row r="178" spans="232:366" x14ac:dyDescent="0.35">
      <c r="HX178">
        <v>88.32</v>
      </c>
      <c r="IZ178">
        <v>107.63</v>
      </c>
      <c r="JX178">
        <v>108.35</v>
      </c>
      <c r="KV178">
        <v>2.109</v>
      </c>
      <c r="LY178">
        <v>1.76</v>
      </c>
      <c r="NB178">
        <v>1.49</v>
      </c>
    </row>
    <row r="179" spans="232:366" x14ac:dyDescent="0.35">
      <c r="HX179">
        <v>88.06</v>
      </c>
      <c r="IZ179">
        <v>107.2</v>
      </c>
      <c r="JX179">
        <v>108.27</v>
      </c>
      <c r="KV179">
        <v>2.09</v>
      </c>
      <c r="LY179">
        <v>1.76</v>
      </c>
      <c r="NB179">
        <v>1.48</v>
      </c>
    </row>
    <row r="180" spans="232:366" x14ac:dyDescent="0.35">
      <c r="HX180">
        <v>88.01</v>
      </c>
      <c r="IZ180">
        <v>106.77</v>
      </c>
      <c r="JX180">
        <v>108.13</v>
      </c>
      <c r="KV180">
        <v>2.09</v>
      </c>
      <c r="LY180">
        <v>1.76</v>
      </c>
      <c r="NB180">
        <v>1.48</v>
      </c>
    </row>
    <row r="181" spans="232:366" x14ac:dyDescent="0.35">
      <c r="HX181">
        <v>87.98</v>
      </c>
      <c r="IZ181">
        <v>106.73</v>
      </c>
      <c r="JX181">
        <v>107.99</v>
      </c>
      <c r="KV181">
        <v>2.08</v>
      </c>
      <c r="LY181">
        <v>1.76</v>
      </c>
      <c r="NB181">
        <v>1.48</v>
      </c>
    </row>
    <row r="182" spans="232:366" x14ac:dyDescent="0.35">
      <c r="HX182">
        <v>87.53</v>
      </c>
      <c r="IZ182">
        <v>106.63</v>
      </c>
      <c r="JX182">
        <v>107.52</v>
      </c>
      <c r="KV182">
        <v>2.08</v>
      </c>
      <c r="LY182">
        <v>1.76</v>
      </c>
      <c r="NB182">
        <v>1.47</v>
      </c>
    </row>
    <row r="183" spans="232:366" x14ac:dyDescent="0.35">
      <c r="HX183">
        <v>87.22</v>
      </c>
      <c r="IZ183">
        <v>106.54</v>
      </c>
      <c r="JX183">
        <v>106.85</v>
      </c>
      <c r="KV183">
        <v>2.06</v>
      </c>
      <c r="LY183">
        <v>1.75</v>
      </c>
      <c r="NB183">
        <v>1.47</v>
      </c>
    </row>
    <row r="184" spans="232:366" x14ac:dyDescent="0.35">
      <c r="HX184">
        <v>87.18</v>
      </c>
      <c r="IZ184">
        <v>106.53</v>
      </c>
      <c r="JX184">
        <v>106.71</v>
      </c>
      <c r="KV184">
        <v>2.0499999999999998</v>
      </c>
      <c r="LY184">
        <v>1.74</v>
      </c>
      <c r="NB184">
        <v>1.46</v>
      </c>
    </row>
    <row r="185" spans="232:366" x14ac:dyDescent="0.35">
      <c r="HX185">
        <v>86.94</v>
      </c>
      <c r="IZ185">
        <v>106.29</v>
      </c>
      <c r="JX185">
        <v>106.27</v>
      </c>
      <c r="KV185">
        <v>2.04</v>
      </c>
      <c r="LY185">
        <v>1.74</v>
      </c>
      <c r="NB185">
        <v>1.46</v>
      </c>
    </row>
    <row r="186" spans="232:366" x14ac:dyDescent="0.35">
      <c r="HX186">
        <v>86.78</v>
      </c>
      <c r="IZ186">
        <v>105.97</v>
      </c>
      <c r="JX186">
        <v>106.19</v>
      </c>
      <c r="KV186">
        <v>2.02</v>
      </c>
      <c r="LY186">
        <v>1.74</v>
      </c>
      <c r="NB186">
        <v>1.45</v>
      </c>
    </row>
    <row r="187" spans="232:366" x14ac:dyDescent="0.35">
      <c r="HX187">
        <v>86.69</v>
      </c>
      <c r="IZ187">
        <v>105.49</v>
      </c>
      <c r="JX187">
        <v>106.05</v>
      </c>
      <c r="KV187">
        <v>2.0099999999999998</v>
      </c>
      <c r="LY187">
        <v>1.7290000000000001</v>
      </c>
      <c r="NB187">
        <v>1.45</v>
      </c>
    </row>
    <row r="188" spans="232:366" x14ac:dyDescent="0.35">
      <c r="HX188">
        <v>86.26</v>
      </c>
      <c r="IZ188">
        <v>105.08</v>
      </c>
      <c r="JX188">
        <v>105.75</v>
      </c>
      <c r="KV188">
        <v>2.0099999999999998</v>
      </c>
      <c r="LY188">
        <v>1.72</v>
      </c>
      <c r="NB188">
        <v>1.45</v>
      </c>
    </row>
    <row r="189" spans="232:366" x14ac:dyDescent="0.35">
      <c r="HX189">
        <v>86.24</v>
      </c>
      <c r="IZ189">
        <v>104.79</v>
      </c>
      <c r="JX189">
        <v>105.7</v>
      </c>
      <c r="KV189">
        <v>2</v>
      </c>
      <c r="LY189">
        <v>1.71</v>
      </c>
      <c r="NB189">
        <v>1.45</v>
      </c>
    </row>
    <row r="190" spans="232:366" x14ac:dyDescent="0.35">
      <c r="HX190">
        <v>85.89</v>
      </c>
      <c r="IZ190">
        <v>104.37</v>
      </c>
      <c r="JX190">
        <v>104.74</v>
      </c>
      <c r="KV190">
        <v>1.97</v>
      </c>
      <c r="LY190">
        <v>1.71</v>
      </c>
      <c r="NB190">
        <v>1.45</v>
      </c>
    </row>
    <row r="191" spans="232:366" x14ac:dyDescent="0.35">
      <c r="HX191">
        <v>85.82</v>
      </c>
      <c r="IZ191">
        <v>103.67</v>
      </c>
      <c r="JX191">
        <v>104.29</v>
      </c>
      <c r="KV191">
        <v>1.97</v>
      </c>
      <c r="LY191">
        <v>1.7</v>
      </c>
      <c r="NB191">
        <v>1.44</v>
      </c>
    </row>
    <row r="192" spans="232:366" x14ac:dyDescent="0.35">
      <c r="HX192">
        <v>84.88</v>
      </c>
      <c r="IZ192">
        <v>103.59</v>
      </c>
      <c r="JX192">
        <v>103.47</v>
      </c>
      <c r="KV192">
        <v>1.96</v>
      </c>
      <c r="LY192">
        <v>1.7</v>
      </c>
      <c r="NB192">
        <v>1.43</v>
      </c>
    </row>
    <row r="193" spans="232:366" x14ac:dyDescent="0.35">
      <c r="HX193">
        <v>84.64</v>
      </c>
      <c r="IZ193">
        <v>103.54</v>
      </c>
      <c r="JX193">
        <v>102.74</v>
      </c>
      <c r="KV193">
        <v>1.94</v>
      </c>
      <c r="LY193">
        <v>1.7</v>
      </c>
      <c r="NB193">
        <v>1.42</v>
      </c>
    </row>
    <row r="194" spans="232:366" x14ac:dyDescent="0.35">
      <c r="HX194">
        <v>84.63</v>
      </c>
      <c r="IZ194">
        <v>103.42</v>
      </c>
      <c r="JX194">
        <v>102.59</v>
      </c>
      <c r="KV194">
        <v>1.93</v>
      </c>
      <c r="LY194">
        <v>1.69</v>
      </c>
      <c r="NB194">
        <v>1.42</v>
      </c>
    </row>
    <row r="195" spans="232:366" x14ac:dyDescent="0.35">
      <c r="HX195">
        <v>84.62</v>
      </c>
      <c r="IZ195">
        <v>102.68</v>
      </c>
      <c r="JX195">
        <v>101.48</v>
      </c>
      <c r="KV195">
        <v>1.93</v>
      </c>
      <c r="LY195">
        <v>1.69</v>
      </c>
      <c r="NB195">
        <v>1.42</v>
      </c>
    </row>
    <row r="196" spans="232:366" x14ac:dyDescent="0.35">
      <c r="HX196">
        <v>84.45</v>
      </c>
      <c r="IZ196">
        <v>102.64</v>
      </c>
      <c r="JX196">
        <v>101.39</v>
      </c>
      <c r="KV196">
        <v>1.92</v>
      </c>
      <c r="LY196">
        <v>1.69</v>
      </c>
      <c r="NB196">
        <v>1.42</v>
      </c>
    </row>
    <row r="197" spans="232:366" x14ac:dyDescent="0.35">
      <c r="HX197">
        <v>84.41</v>
      </c>
      <c r="IZ197">
        <v>102.44</v>
      </c>
      <c r="JX197">
        <v>100.75</v>
      </c>
      <c r="KV197">
        <v>1.92</v>
      </c>
      <c r="LY197">
        <v>1.69</v>
      </c>
      <c r="NB197">
        <v>1.42</v>
      </c>
    </row>
    <row r="198" spans="232:366" x14ac:dyDescent="0.35">
      <c r="HX198">
        <v>83.34</v>
      </c>
      <c r="IZ198">
        <v>102.16</v>
      </c>
      <c r="JX198">
        <v>100.68</v>
      </c>
      <c r="KV198">
        <v>1.87</v>
      </c>
      <c r="LY198">
        <v>1.68</v>
      </c>
      <c r="NB198">
        <v>1.42</v>
      </c>
    </row>
    <row r="199" spans="232:366" x14ac:dyDescent="0.35">
      <c r="HX199">
        <v>82.38</v>
      </c>
      <c r="IZ199">
        <v>102.05</v>
      </c>
      <c r="JX199">
        <v>100.57</v>
      </c>
      <c r="KV199">
        <v>1.87</v>
      </c>
      <c r="LY199">
        <v>1.68</v>
      </c>
      <c r="NB199">
        <v>1.41</v>
      </c>
    </row>
    <row r="200" spans="232:366" x14ac:dyDescent="0.35">
      <c r="HX200">
        <v>82.38</v>
      </c>
      <c r="IZ200">
        <v>101.6</v>
      </c>
      <c r="JX200">
        <v>100.29</v>
      </c>
      <c r="KV200">
        <v>1.86</v>
      </c>
      <c r="LY200">
        <v>1.68</v>
      </c>
      <c r="NB200">
        <v>1.41</v>
      </c>
    </row>
    <row r="201" spans="232:366" x14ac:dyDescent="0.35">
      <c r="HX201">
        <v>82.34</v>
      </c>
      <c r="IZ201">
        <v>101.47</v>
      </c>
      <c r="JX201">
        <v>100.16</v>
      </c>
      <c r="KV201">
        <v>1.86</v>
      </c>
      <c r="LY201">
        <v>1.68</v>
      </c>
      <c r="NB201">
        <v>1.41</v>
      </c>
    </row>
    <row r="202" spans="232:366" x14ac:dyDescent="0.35">
      <c r="HX202">
        <v>82.18</v>
      </c>
      <c r="IZ202">
        <v>101.41</v>
      </c>
      <c r="JX202">
        <v>100.06</v>
      </c>
      <c r="KV202">
        <v>1.85</v>
      </c>
      <c r="LY202">
        <v>1.679</v>
      </c>
      <c r="NB202">
        <v>1.41</v>
      </c>
    </row>
    <row r="203" spans="232:366" x14ac:dyDescent="0.35">
      <c r="HX203">
        <v>82.17</v>
      </c>
      <c r="IZ203">
        <v>101.4</v>
      </c>
      <c r="JX203">
        <v>99.52</v>
      </c>
      <c r="KV203">
        <v>1.85</v>
      </c>
      <c r="LY203">
        <v>1.67</v>
      </c>
      <c r="NB203">
        <v>1.41</v>
      </c>
    </row>
    <row r="204" spans="232:366" x14ac:dyDescent="0.35">
      <c r="HX204">
        <v>82.16</v>
      </c>
      <c r="IZ204">
        <v>101.26</v>
      </c>
      <c r="JX204">
        <v>99.49</v>
      </c>
      <c r="KV204">
        <v>1.83</v>
      </c>
      <c r="LY204">
        <v>1.67</v>
      </c>
      <c r="NB204">
        <v>1.4</v>
      </c>
    </row>
    <row r="205" spans="232:366" x14ac:dyDescent="0.35">
      <c r="HX205">
        <v>81.55</v>
      </c>
      <c r="IZ205">
        <v>101.02</v>
      </c>
      <c r="JX205">
        <v>99.2</v>
      </c>
      <c r="KV205">
        <v>1.82</v>
      </c>
      <c r="LY205">
        <v>1.67</v>
      </c>
      <c r="NB205">
        <v>1.4</v>
      </c>
    </row>
    <row r="206" spans="232:366" x14ac:dyDescent="0.35">
      <c r="HX206">
        <v>81.45</v>
      </c>
      <c r="IZ206">
        <v>100.52</v>
      </c>
      <c r="JX206">
        <v>98.68</v>
      </c>
      <c r="KV206">
        <v>1.78</v>
      </c>
      <c r="LY206">
        <v>1.66</v>
      </c>
      <c r="NB206">
        <v>1.4</v>
      </c>
    </row>
    <row r="207" spans="232:366" x14ac:dyDescent="0.35">
      <c r="HX207">
        <v>81.387143750000007</v>
      </c>
      <c r="IZ207">
        <v>100.16</v>
      </c>
      <c r="JX207">
        <v>98.27</v>
      </c>
      <c r="KV207">
        <v>1.78</v>
      </c>
      <c r="LY207">
        <v>1.65</v>
      </c>
      <c r="NB207">
        <v>1.4</v>
      </c>
    </row>
    <row r="208" spans="232:366" x14ac:dyDescent="0.35">
      <c r="HX208">
        <v>80.88</v>
      </c>
      <c r="IZ208">
        <v>99.78</v>
      </c>
      <c r="JX208">
        <v>97.99</v>
      </c>
      <c r="KV208">
        <v>1.78</v>
      </c>
      <c r="LY208">
        <v>1.64</v>
      </c>
      <c r="NB208">
        <v>1.39</v>
      </c>
    </row>
    <row r="209" spans="232:366" x14ac:dyDescent="0.35">
      <c r="HX209">
        <v>80.28</v>
      </c>
      <c r="IZ209">
        <v>99.68</v>
      </c>
      <c r="JX209">
        <v>97.8</v>
      </c>
      <c r="KV209">
        <v>1.768</v>
      </c>
      <c r="LY209">
        <v>1.64</v>
      </c>
      <c r="NB209">
        <v>1.39</v>
      </c>
    </row>
    <row r="210" spans="232:366" x14ac:dyDescent="0.35">
      <c r="HX210">
        <v>79.77</v>
      </c>
      <c r="IZ210">
        <v>99.64</v>
      </c>
      <c r="JX210">
        <v>97.71</v>
      </c>
      <c r="KV210">
        <v>1.76</v>
      </c>
      <c r="LY210">
        <v>1.63</v>
      </c>
      <c r="NB210">
        <v>1.38</v>
      </c>
    </row>
    <row r="211" spans="232:366" x14ac:dyDescent="0.35">
      <c r="HX211">
        <v>79.650000000000006</v>
      </c>
      <c r="IZ211">
        <v>99.6</v>
      </c>
      <c r="JX211">
        <v>97.69</v>
      </c>
      <c r="KV211">
        <v>1.75</v>
      </c>
      <c r="LY211">
        <v>1.63</v>
      </c>
      <c r="NB211">
        <v>1.38</v>
      </c>
    </row>
    <row r="212" spans="232:366" x14ac:dyDescent="0.35">
      <c r="HX212">
        <v>79.55</v>
      </c>
      <c r="IZ212">
        <v>99.57</v>
      </c>
      <c r="JX212">
        <v>97.59</v>
      </c>
      <c r="KV212">
        <v>1.74</v>
      </c>
      <c r="LY212">
        <v>1.63</v>
      </c>
      <c r="NB212">
        <v>1.37</v>
      </c>
    </row>
    <row r="213" spans="232:366" x14ac:dyDescent="0.35">
      <c r="HX213">
        <v>79.27</v>
      </c>
      <c r="IZ213">
        <v>99.4</v>
      </c>
      <c r="JX213">
        <v>97.36</v>
      </c>
      <c r="KV213">
        <v>1.74</v>
      </c>
      <c r="LY213">
        <v>1.62</v>
      </c>
      <c r="NB213">
        <v>1.37</v>
      </c>
    </row>
    <row r="214" spans="232:366" x14ac:dyDescent="0.35">
      <c r="HX214">
        <v>79.06</v>
      </c>
      <c r="IZ214">
        <v>99.22</v>
      </c>
      <c r="JX214">
        <v>96.9</v>
      </c>
      <c r="KV214">
        <v>1.7190000000000001</v>
      </c>
      <c r="LY214">
        <v>1.62</v>
      </c>
      <c r="NB214">
        <v>1.36</v>
      </c>
    </row>
    <row r="215" spans="232:366" x14ac:dyDescent="0.35">
      <c r="HX215">
        <v>78.86</v>
      </c>
      <c r="IZ215">
        <v>99.02</v>
      </c>
      <c r="JX215">
        <v>96.78</v>
      </c>
      <c r="KV215">
        <v>1.71</v>
      </c>
      <c r="LY215">
        <v>1.62</v>
      </c>
      <c r="NB215">
        <v>1.36</v>
      </c>
    </row>
    <row r="216" spans="232:366" x14ac:dyDescent="0.35">
      <c r="HX216">
        <v>78.38</v>
      </c>
      <c r="IZ216">
        <v>99</v>
      </c>
      <c r="JX216">
        <v>95.89</v>
      </c>
      <c r="KV216">
        <v>1.706</v>
      </c>
      <c r="LY216">
        <v>1.62</v>
      </c>
      <c r="NB216">
        <v>1.36</v>
      </c>
    </row>
    <row r="217" spans="232:366" x14ac:dyDescent="0.35">
      <c r="HX217">
        <v>78.319999999999993</v>
      </c>
      <c r="IZ217">
        <v>98.97</v>
      </c>
      <c r="JX217">
        <v>95.89</v>
      </c>
      <c r="KV217">
        <v>1.69</v>
      </c>
      <c r="LY217">
        <v>1.62</v>
      </c>
      <c r="NB217">
        <v>1.35</v>
      </c>
    </row>
    <row r="218" spans="232:366" x14ac:dyDescent="0.35">
      <c r="HX218">
        <v>77.34</v>
      </c>
      <c r="IZ218">
        <v>98.76</v>
      </c>
      <c r="JX218">
        <v>95.89</v>
      </c>
      <c r="KV218">
        <v>1.69</v>
      </c>
      <c r="LY218">
        <v>1.62</v>
      </c>
      <c r="NB218">
        <v>1.34</v>
      </c>
    </row>
    <row r="219" spans="232:366" x14ac:dyDescent="0.35">
      <c r="HX219">
        <v>77.209999999999994</v>
      </c>
      <c r="IZ219">
        <v>98.47</v>
      </c>
      <c r="JX219">
        <v>95.67</v>
      </c>
      <c r="KV219">
        <v>1.69</v>
      </c>
      <c r="LY219">
        <v>1.619</v>
      </c>
      <c r="NB219">
        <v>1.34</v>
      </c>
    </row>
    <row r="220" spans="232:366" x14ac:dyDescent="0.35">
      <c r="HX220">
        <v>77.150000000000006</v>
      </c>
      <c r="IZ220">
        <v>98.4</v>
      </c>
      <c r="JX220">
        <v>95.4</v>
      </c>
      <c r="KV220">
        <v>1.69</v>
      </c>
      <c r="LY220">
        <v>1.6140000000000001</v>
      </c>
      <c r="NB220">
        <v>1.34</v>
      </c>
    </row>
    <row r="221" spans="232:366" x14ac:dyDescent="0.35">
      <c r="HX221">
        <v>76.77</v>
      </c>
      <c r="IZ221">
        <v>98.31</v>
      </c>
      <c r="JX221">
        <v>95.4</v>
      </c>
      <c r="KV221">
        <v>1.68</v>
      </c>
      <c r="LY221">
        <v>1.613</v>
      </c>
      <c r="NB221">
        <v>1.333</v>
      </c>
    </row>
    <row r="222" spans="232:366" x14ac:dyDescent="0.35">
      <c r="HX222">
        <v>76.760000000000005</v>
      </c>
      <c r="IZ222">
        <v>98.28</v>
      </c>
      <c r="JX222">
        <v>95.4</v>
      </c>
      <c r="KV222">
        <v>1.68</v>
      </c>
      <c r="LY222">
        <v>1.61</v>
      </c>
      <c r="NB222">
        <v>1.33</v>
      </c>
    </row>
    <row r="223" spans="232:366" x14ac:dyDescent="0.35">
      <c r="HX223">
        <v>76.260000000000005</v>
      </c>
      <c r="IZ223">
        <v>98.25</v>
      </c>
      <c r="JX223">
        <v>95.05</v>
      </c>
      <c r="KV223">
        <v>1.68</v>
      </c>
      <c r="LY223">
        <v>1.61</v>
      </c>
      <c r="NB223">
        <v>1.33</v>
      </c>
    </row>
    <row r="224" spans="232:366" x14ac:dyDescent="0.35">
      <c r="HX224">
        <v>75.92</v>
      </c>
      <c r="IZ224">
        <v>98.1</v>
      </c>
      <c r="JX224">
        <v>94.78</v>
      </c>
      <c r="KV224">
        <v>1.66</v>
      </c>
      <c r="LY224">
        <v>1.61</v>
      </c>
      <c r="NB224">
        <v>1.33</v>
      </c>
    </row>
    <row r="225" spans="232:366" x14ac:dyDescent="0.35">
      <c r="HX225">
        <v>75.75</v>
      </c>
      <c r="IZ225">
        <v>97.34</v>
      </c>
      <c r="JX225">
        <v>94.28</v>
      </c>
      <c r="KV225">
        <v>1.66</v>
      </c>
      <c r="LY225">
        <v>1.609</v>
      </c>
      <c r="NB225">
        <v>1.33</v>
      </c>
    </row>
    <row r="226" spans="232:366" x14ac:dyDescent="0.35">
      <c r="HX226">
        <v>75.72</v>
      </c>
      <c r="IZ226">
        <v>97.25</v>
      </c>
      <c r="JX226">
        <v>94.2</v>
      </c>
      <c r="KV226">
        <v>1.65</v>
      </c>
      <c r="LY226">
        <v>1.59</v>
      </c>
      <c r="NB226">
        <v>1.32</v>
      </c>
    </row>
    <row r="227" spans="232:366" x14ac:dyDescent="0.35">
      <c r="HX227">
        <v>75.66</v>
      </c>
      <c r="IZ227">
        <v>97.25</v>
      </c>
      <c r="JX227">
        <v>94.06</v>
      </c>
      <c r="KV227">
        <v>1.64</v>
      </c>
      <c r="LY227">
        <v>1.58</v>
      </c>
      <c r="NB227">
        <v>1.32</v>
      </c>
    </row>
    <row r="228" spans="232:366" x14ac:dyDescent="0.35">
      <c r="HX228">
        <v>75.650000000000006</v>
      </c>
      <c r="IZ228">
        <v>97.13</v>
      </c>
      <c r="JX228">
        <v>93.96</v>
      </c>
      <c r="KV228">
        <v>1.64</v>
      </c>
      <c r="LY228">
        <v>1.58</v>
      </c>
      <c r="NB228">
        <v>1.32</v>
      </c>
    </row>
    <row r="229" spans="232:366" x14ac:dyDescent="0.35">
      <c r="HX229">
        <v>75.52</v>
      </c>
      <c r="IZ229">
        <v>97</v>
      </c>
      <c r="JX229">
        <v>93.81</v>
      </c>
      <c r="KV229">
        <v>1.64</v>
      </c>
      <c r="LY229">
        <v>1.57</v>
      </c>
      <c r="NB229">
        <v>1.31</v>
      </c>
    </row>
    <row r="230" spans="232:366" x14ac:dyDescent="0.35">
      <c r="HX230">
        <v>75</v>
      </c>
      <c r="IZ230">
        <v>96.9</v>
      </c>
      <c r="JX230">
        <v>93.74</v>
      </c>
      <c r="KV230">
        <v>1.63</v>
      </c>
      <c r="LY230">
        <v>1.57</v>
      </c>
      <c r="NB230">
        <v>1.3</v>
      </c>
    </row>
    <row r="231" spans="232:366" x14ac:dyDescent="0.35">
      <c r="HX231">
        <v>74.84</v>
      </c>
      <c r="IZ231">
        <v>96.89</v>
      </c>
      <c r="JX231">
        <v>93.53</v>
      </c>
      <c r="KV231">
        <v>1.63</v>
      </c>
      <c r="LY231">
        <v>1.57</v>
      </c>
      <c r="NB231">
        <v>1.29</v>
      </c>
    </row>
    <row r="232" spans="232:366" x14ac:dyDescent="0.35">
      <c r="HX232">
        <v>74.680000000000007</v>
      </c>
      <c r="IZ232">
        <v>96.89</v>
      </c>
      <c r="JX232">
        <v>92.91</v>
      </c>
      <c r="KV232">
        <v>1.6080000000000001</v>
      </c>
      <c r="LY232">
        <v>1.56</v>
      </c>
      <c r="NB232">
        <v>1.29</v>
      </c>
    </row>
    <row r="233" spans="232:366" x14ac:dyDescent="0.35">
      <c r="HX233">
        <v>74.010000000000005</v>
      </c>
      <c r="IZ233">
        <v>96.86</v>
      </c>
      <c r="JX233">
        <v>92.91</v>
      </c>
      <c r="KV233">
        <v>1.6</v>
      </c>
      <c r="LY233">
        <v>1.56</v>
      </c>
      <c r="NB233">
        <v>1.28</v>
      </c>
    </row>
    <row r="234" spans="232:366" x14ac:dyDescent="0.35">
      <c r="HX234">
        <v>73.98</v>
      </c>
      <c r="IZ234">
        <v>96.8</v>
      </c>
      <c r="JX234">
        <v>92.38</v>
      </c>
      <c r="KV234">
        <v>1.6</v>
      </c>
      <c r="LY234">
        <v>1.56</v>
      </c>
      <c r="NB234">
        <v>1.28</v>
      </c>
    </row>
    <row r="235" spans="232:366" x14ac:dyDescent="0.35">
      <c r="HX235">
        <v>73.62</v>
      </c>
      <c r="IZ235">
        <v>96.41</v>
      </c>
      <c r="JX235">
        <v>90.83</v>
      </c>
      <c r="KV235">
        <v>1.59</v>
      </c>
      <c r="LY235">
        <v>1.55</v>
      </c>
      <c r="NB235">
        <v>1.28</v>
      </c>
    </row>
    <row r="236" spans="232:366" x14ac:dyDescent="0.35">
      <c r="HX236">
        <v>73.5</v>
      </c>
      <c r="IZ236">
        <v>96.01</v>
      </c>
      <c r="JX236">
        <v>90.71</v>
      </c>
      <c r="KV236">
        <v>1.58</v>
      </c>
      <c r="LY236">
        <v>1.54</v>
      </c>
      <c r="NB236">
        <v>1.26</v>
      </c>
    </row>
    <row r="237" spans="232:366" x14ac:dyDescent="0.35">
      <c r="HX237">
        <v>73.459999999999994</v>
      </c>
      <c r="IZ237">
        <v>95.52</v>
      </c>
      <c r="JX237">
        <v>90.42</v>
      </c>
      <c r="KV237">
        <v>1.56</v>
      </c>
      <c r="LY237">
        <v>1.53</v>
      </c>
      <c r="NB237">
        <v>1.25</v>
      </c>
    </row>
    <row r="238" spans="232:366" x14ac:dyDescent="0.35">
      <c r="HX238">
        <v>73.37</v>
      </c>
      <c r="IZ238">
        <v>95</v>
      </c>
      <c r="JX238">
        <v>89.7</v>
      </c>
      <c r="KV238">
        <v>1.56</v>
      </c>
      <c r="LY238">
        <v>1.52</v>
      </c>
      <c r="NB238">
        <v>1.24</v>
      </c>
    </row>
    <row r="239" spans="232:366" x14ac:dyDescent="0.35">
      <c r="HX239">
        <v>71.86</v>
      </c>
      <c r="IZ239">
        <v>94.12</v>
      </c>
      <c r="JX239">
        <v>88.73</v>
      </c>
      <c r="KV239">
        <v>1.56</v>
      </c>
      <c r="LY239">
        <v>1.52</v>
      </c>
      <c r="NB239">
        <v>1.21</v>
      </c>
    </row>
    <row r="240" spans="232:366" x14ac:dyDescent="0.35">
      <c r="HX240">
        <v>71.790000000000006</v>
      </c>
      <c r="IZ240">
        <v>93.94</v>
      </c>
      <c r="JX240">
        <v>88.513000000000005</v>
      </c>
      <c r="KV240">
        <v>1.53</v>
      </c>
      <c r="LY240">
        <v>1.52</v>
      </c>
      <c r="NB240">
        <v>1.2</v>
      </c>
    </row>
    <row r="241" spans="232:366" x14ac:dyDescent="0.35">
      <c r="HX241">
        <v>71.77</v>
      </c>
      <c r="IZ241">
        <v>93.77</v>
      </c>
      <c r="JX241">
        <v>87.28</v>
      </c>
      <c r="KV241">
        <v>1.53</v>
      </c>
      <c r="LY241">
        <v>1.52</v>
      </c>
      <c r="NB241">
        <v>1.2</v>
      </c>
    </row>
    <row r="242" spans="232:366" x14ac:dyDescent="0.35">
      <c r="HX242">
        <v>71.31</v>
      </c>
      <c r="IZ242">
        <v>93.58</v>
      </c>
      <c r="JX242">
        <v>85.4</v>
      </c>
      <c r="KV242">
        <v>1.51</v>
      </c>
      <c r="LY242">
        <v>1.51</v>
      </c>
      <c r="NB242">
        <v>1.2</v>
      </c>
    </row>
    <row r="243" spans="232:366" x14ac:dyDescent="0.35">
      <c r="HX243">
        <v>70.510000000000005</v>
      </c>
      <c r="IZ243">
        <v>93.26</v>
      </c>
      <c r="JX243">
        <v>84.78</v>
      </c>
      <c r="KV243">
        <v>1.49</v>
      </c>
      <c r="LY243">
        <v>1.5</v>
      </c>
      <c r="NB243">
        <v>1.18</v>
      </c>
    </row>
    <row r="244" spans="232:366" x14ac:dyDescent="0.35">
      <c r="HX244">
        <v>68.650000000000006</v>
      </c>
      <c r="IZ244">
        <v>92.35</v>
      </c>
      <c r="JX244">
        <v>84.74</v>
      </c>
      <c r="KV244">
        <v>1.49</v>
      </c>
      <c r="LY244">
        <v>1.49</v>
      </c>
      <c r="NB244">
        <v>1.17</v>
      </c>
    </row>
    <row r="245" spans="232:366" x14ac:dyDescent="0.35">
      <c r="HX245">
        <v>68.209999999999994</v>
      </c>
      <c r="IZ245">
        <v>91.97</v>
      </c>
      <c r="JX245">
        <v>79.11</v>
      </c>
      <c r="KV245">
        <v>1.47</v>
      </c>
      <c r="LY245">
        <v>1.49</v>
      </c>
      <c r="NB245">
        <v>1.1499999999999999</v>
      </c>
    </row>
    <row r="246" spans="232:366" x14ac:dyDescent="0.35">
      <c r="HX246">
        <v>67.19</v>
      </c>
      <c r="IZ246">
        <v>91.59</v>
      </c>
      <c r="JX246">
        <v>77.67</v>
      </c>
      <c r="KV246">
        <v>1.47</v>
      </c>
      <c r="LY246">
        <v>1.49</v>
      </c>
      <c r="NB246">
        <v>1.1499999999999999</v>
      </c>
    </row>
    <row r="247" spans="232:366" x14ac:dyDescent="0.35">
      <c r="HX247">
        <v>65.72</v>
      </c>
      <c r="IZ247">
        <v>91.04</v>
      </c>
      <c r="JX247">
        <v>76.400000000000006</v>
      </c>
      <c r="KV247">
        <v>1.46</v>
      </c>
      <c r="LY247">
        <v>1.49</v>
      </c>
      <c r="NB247">
        <v>1.1399999999999999</v>
      </c>
    </row>
    <row r="248" spans="232:366" x14ac:dyDescent="0.35">
      <c r="HX248">
        <v>61.33</v>
      </c>
      <c r="IZ248">
        <v>90.72</v>
      </c>
      <c r="JX248">
        <v>69.58</v>
      </c>
      <c r="KV248">
        <v>1.43</v>
      </c>
      <c r="LY248">
        <v>1.49</v>
      </c>
      <c r="NB248">
        <v>1.1399999999999999</v>
      </c>
    </row>
    <row r="249" spans="232:366" x14ac:dyDescent="0.35">
      <c r="HX249">
        <v>60.2</v>
      </c>
      <c r="IZ249">
        <v>90.25</v>
      </c>
      <c r="JX249">
        <v>57.69</v>
      </c>
      <c r="KV249">
        <v>1.42</v>
      </c>
      <c r="LY249">
        <v>1.49</v>
      </c>
      <c r="NB249">
        <v>1.06</v>
      </c>
    </row>
    <row r="250" spans="232:366" x14ac:dyDescent="0.35">
      <c r="HX250">
        <v>58.32</v>
      </c>
      <c r="IZ250">
        <v>89.9</v>
      </c>
      <c r="KV250">
        <v>1.41</v>
      </c>
      <c r="LY250">
        <v>1.48</v>
      </c>
    </row>
    <row r="251" spans="232:366" x14ac:dyDescent="0.35">
      <c r="HX251">
        <v>57.56</v>
      </c>
      <c r="IZ251">
        <v>89.71</v>
      </c>
      <c r="KV251">
        <v>1.36</v>
      </c>
      <c r="LY251">
        <v>1.48</v>
      </c>
    </row>
    <row r="252" spans="232:366" x14ac:dyDescent="0.35">
      <c r="IZ252">
        <v>89.26</v>
      </c>
      <c r="KV252">
        <v>1.27</v>
      </c>
      <c r="LY252">
        <v>1.47</v>
      </c>
    </row>
    <row r="253" spans="232:366" x14ac:dyDescent="0.35">
      <c r="IZ253">
        <v>89.08</v>
      </c>
      <c r="LY253">
        <v>1.46</v>
      </c>
    </row>
    <row r="254" spans="232:366" x14ac:dyDescent="0.35">
      <c r="IZ254">
        <v>89.07</v>
      </c>
      <c r="LY254">
        <v>1.45</v>
      </c>
    </row>
    <row r="255" spans="232:366" x14ac:dyDescent="0.35">
      <c r="IZ255">
        <v>89.04</v>
      </c>
      <c r="LY255">
        <v>1.409</v>
      </c>
    </row>
    <row r="256" spans="232:366" x14ac:dyDescent="0.35">
      <c r="IZ256">
        <v>88.67</v>
      </c>
      <c r="LY256">
        <v>1.4</v>
      </c>
    </row>
    <row r="257" spans="260:337" x14ac:dyDescent="0.35">
      <c r="IZ257">
        <v>88.27</v>
      </c>
      <c r="LY257">
        <v>1.4</v>
      </c>
    </row>
    <row r="258" spans="260:337" x14ac:dyDescent="0.35">
      <c r="IZ258">
        <v>87.87</v>
      </c>
      <c r="LY258">
        <v>1.379</v>
      </c>
    </row>
    <row r="259" spans="260:337" x14ac:dyDescent="0.35">
      <c r="IZ259">
        <v>87.82</v>
      </c>
      <c r="LY259">
        <v>1.37</v>
      </c>
    </row>
    <row r="260" spans="260:337" x14ac:dyDescent="0.35">
      <c r="IZ260">
        <v>87.31</v>
      </c>
      <c r="LY260">
        <v>1.34</v>
      </c>
    </row>
    <row r="261" spans="260:337" x14ac:dyDescent="0.35">
      <c r="IZ261">
        <v>85.68</v>
      </c>
      <c r="LY261">
        <v>1.33</v>
      </c>
    </row>
    <row r="262" spans="260:337" x14ac:dyDescent="0.35">
      <c r="IZ262">
        <v>85.43</v>
      </c>
      <c r="LY262">
        <v>1.32</v>
      </c>
    </row>
    <row r="263" spans="260:337" x14ac:dyDescent="0.35">
      <c r="IZ263">
        <v>85.36</v>
      </c>
      <c r="LY263">
        <v>1.32</v>
      </c>
    </row>
    <row r="264" spans="260:337" x14ac:dyDescent="0.35">
      <c r="IZ264">
        <v>85.17</v>
      </c>
      <c r="LY264">
        <v>1.29</v>
      </c>
    </row>
    <row r="265" spans="260:337" x14ac:dyDescent="0.35">
      <c r="IZ265">
        <v>84.82</v>
      </c>
      <c r="LY265">
        <v>1.29</v>
      </c>
    </row>
    <row r="266" spans="260:337" x14ac:dyDescent="0.35">
      <c r="IZ266">
        <v>84.49</v>
      </c>
      <c r="LY266">
        <v>1.28</v>
      </c>
    </row>
    <row r="267" spans="260:337" x14ac:dyDescent="0.35">
      <c r="IZ267">
        <v>83.15</v>
      </c>
      <c r="LY267">
        <v>1.26</v>
      </c>
    </row>
    <row r="268" spans="260:337" x14ac:dyDescent="0.35">
      <c r="IZ268">
        <v>12.29</v>
      </c>
      <c r="LY268">
        <v>1.25</v>
      </c>
    </row>
    <row r="269" spans="260:337" x14ac:dyDescent="0.35">
      <c r="LY269">
        <v>1</v>
      </c>
    </row>
  </sheetData>
  <mergeCells count="82">
    <mergeCell ref="QW85:QX85"/>
    <mergeCell ref="QM85:QN85"/>
    <mergeCell ref="QO85:QP85"/>
    <mergeCell ref="QQ85:QR85"/>
    <mergeCell ref="QS85:QT85"/>
    <mergeCell ref="QU85:QV85"/>
    <mergeCell ref="OV74:OW74"/>
    <mergeCell ref="OX74:OY74"/>
    <mergeCell ref="OZ74:PA74"/>
    <mergeCell ref="QI85:QJ85"/>
    <mergeCell ref="QK85:QL85"/>
    <mergeCell ref="OL74:OM74"/>
    <mergeCell ref="ON74:OO74"/>
    <mergeCell ref="OP74:OQ74"/>
    <mergeCell ref="OR74:OS74"/>
    <mergeCell ref="OT74:OU74"/>
    <mergeCell ref="QU2:QV2"/>
    <mergeCell ref="QW2:QX2"/>
    <mergeCell ref="RA2:RB2"/>
    <mergeCell ref="A15:DW15"/>
    <mergeCell ref="A29:DD29"/>
    <mergeCell ref="QK2:QL2"/>
    <mergeCell ref="QM2:QN2"/>
    <mergeCell ref="QO2:QP2"/>
    <mergeCell ref="QQ2:QR2"/>
    <mergeCell ref="QS2:QT2"/>
    <mergeCell ref="PU2:PV2"/>
    <mergeCell ref="PW2:PX2"/>
    <mergeCell ref="PY2:PZ2"/>
    <mergeCell ref="QC2:QD2"/>
    <mergeCell ref="QI2:QJ2"/>
    <mergeCell ref="PK2:PL2"/>
    <mergeCell ref="PM2:PN2"/>
    <mergeCell ref="PO2:PP2"/>
    <mergeCell ref="PQ2:PR2"/>
    <mergeCell ref="PS2:PT2"/>
    <mergeCell ref="OR2:OS2"/>
    <mergeCell ref="OT2:OU2"/>
    <mergeCell ref="OV2:OW2"/>
    <mergeCell ref="OX2:OY2"/>
    <mergeCell ref="OZ2:PA2"/>
    <mergeCell ref="OC2:OD2"/>
    <mergeCell ref="OF2:OG2"/>
    <mergeCell ref="OL2:OM2"/>
    <mergeCell ref="ON2:OO2"/>
    <mergeCell ref="OP2:OQ2"/>
    <mergeCell ref="LW2:LX2"/>
    <mergeCell ref="LY2:LZ2"/>
    <mergeCell ref="MZ2:NA2"/>
    <mergeCell ref="NB2:NC2"/>
    <mergeCell ref="NZ2:OA2"/>
    <mergeCell ref="IZ2:JA2"/>
    <mergeCell ref="JV2:JW2"/>
    <mergeCell ref="JX2:JY2"/>
    <mergeCell ref="KT2:KU2"/>
    <mergeCell ref="KV2:KW2"/>
    <mergeCell ref="OI1:PB1"/>
    <mergeCell ref="PD1:PE1"/>
    <mergeCell ref="PH1:QA1"/>
    <mergeCell ref="QF1:QY1"/>
    <mergeCell ref="DZ2:EK2"/>
    <mergeCell ref="EM2:EX2"/>
    <mergeCell ref="FA2:FL2"/>
    <mergeCell ref="FO2:FR2"/>
    <mergeCell ref="FS2:FU2"/>
    <mergeCell ref="GH2:GK2"/>
    <mergeCell ref="GL2:GN2"/>
    <mergeCell ref="GZ2:HC2"/>
    <mergeCell ref="HD2:HF2"/>
    <mergeCell ref="HV2:HW2"/>
    <mergeCell ref="HX2:HY2"/>
    <mergeCell ref="IX2:IY2"/>
    <mergeCell ref="IX1:IZ1"/>
    <mergeCell ref="JV1:JX1"/>
    <mergeCell ref="KT1:KV1"/>
    <mergeCell ref="LW1:LY1"/>
    <mergeCell ref="MZ1:NB1"/>
    <mergeCell ref="A1:DS1"/>
    <mergeCell ref="FO1:FR1"/>
    <mergeCell ref="GH1:GK1"/>
    <mergeCell ref="GZ1:HC1"/>
    <mergeCell ref="HV1:HW1"/>
  </mergeCells>
  <pageMargins left="0.78749999999999998" right="0.78749999999999998" top="1.0249999999999999" bottom="1.0249999999999999" header="0.78749999999999998" footer="0.78749999999999998"/>
  <pageSetup firstPageNumber="0" orientation="portrait" horizontalDpi="1200" verticalDpi="1200" r:id="rId1"/>
  <headerFooter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D100"/>
  <sheetViews>
    <sheetView zoomScale="120" zoomScaleNormal="120" workbookViewId="0">
      <selection activeCell="BE25" sqref="BE25"/>
    </sheetView>
  </sheetViews>
  <sheetFormatPr defaultRowHeight="12.75" x14ac:dyDescent="0.35"/>
  <sheetData>
    <row r="1" spans="1:56" ht="13.15" x14ac:dyDescent="0.4">
      <c r="A1" s="39">
        <v>1804232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S1" s="49" t="s">
        <v>1</v>
      </c>
      <c r="T1" s="49" t="s">
        <v>1</v>
      </c>
      <c r="V1" s="50" t="s">
        <v>9</v>
      </c>
      <c r="W1" s="50"/>
      <c r="Y1" s="51" t="s">
        <v>10</v>
      </c>
      <c r="Z1" s="51"/>
      <c r="AB1" s="49" t="s">
        <v>1</v>
      </c>
      <c r="AC1" s="49"/>
      <c r="AL1" s="50" t="s">
        <v>9</v>
      </c>
      <c r="AM1" s="50"/>
      <c r="AV1" s="51" t="s">
        <v>10</v>
      </c>
      <c r="AW1" s="51"/>
    </row>
    <row r="2" spans="1:56" ht="14.65" x14ac:dyDescent="0.5">
      <c r="A2" s="42" t="s">
        <v>1143</v>
      </c>
      <c r="B2" s="42"/>
      <c r="C2" s="42"/>
      <c r="D2" s="42"/>
      <c r="E2" s="42"/>
      <c r="G2" s="42" t="s">
        <v>1144</v>
      </c>
      <c r="H2" s="42"/>
      <c r="I2" s="42"/>
      <c r="J2" s="42"/>
      <c r="K2" s="42"/>
      <c r="M2" s="42" t="s">
        <v>1145</v>
      </c>
      <c r="N2" s="42"/>
      <c r="O2" s="42"/>
      <c r="P2" s="42"/>
      <c r="Q2" s="42"/>
      <c r="S2" t="s">
        <v>15</v>
      </c>
      <c r="T2" t="s">
        <v>1146</v>
      </c>
      <c r="V2" t="s">
        <v>15</v>
      </c>
      <c r="W2" t="s">
        <v>1147</v>
      </c>
      <c r="Y2" t="s">
        <v>15</v>
      </c>
      <c r="Z2" t="s">
        <v>1147</v>
      </c>
      <c r="AB2" s="43" t="s">
        <v>1148</v>
      </c>
      <c r="AC2" s="43"/>
      <c r="AD2" s="43"/>
      <c r="AE2" s="43"/>
      <c r="AF2" s="43"/>
      <c r="AG2" s="43"/>
      <c r="AL2" s="43" t="s">
        <v>1148</v>
      </c>
      <c r="AM2" s="43"/>
      <c r="AN2" s="43"/>
      <c r="AO2" s="43"/>
      <c r="AP2" s="43"/>
      <c r="AQ2" s="43"/>
      <c r="AS2" s="27" t="s">
        <v>1149</v>
      </c>
      <c r="AT2" s="1" t="s">
        <v>1150</v>
      </c>
      <c r="AV2" s="43" t="s">
        <v>1148</v>
      </c>
      <c r="AW2" s="43"/>
      <c r="AX2" s="43"/>
      <c r="AY2" s="43"/>
      <c r="AZ2" s="43"/>
      <c r="BA2" s="43"/>
      <c r="BC2" s="27" t="s">
        <v>1149</v>
      </c>
      <c r="BD2" s="1" t="s">
        <v>1150</v>
      </c>
    </row>
    <row r="3" spans="1:56" ht="15.4" x14ac:dyDescent="0.5">
      <c r="A3" t="s">
        <v>1151</v>
      </c>
      <c r="B3" t="s">
        <v>1152</v>
      </c>
      <c r="C3" t="s">
        <v>1153</v>
      </c>
      <c r="D3" t="s">
        <v>1154</v>
      </c>
      <c r="E3" t="s">
        <v>1155</v>
      </c>
      <c r="G3" t="s">
        <v>1151</v>
      </c>
      <c r="H3" t="s">
        <v>1152</v>
      </c>
      <c r="I3" t="s">
        <v>1153</v>
      </c>
      <c r="J3" t="s">
        <v>1154</v>
      </c>
      <c r="K3" t="s">
        <v>1155</v>
      </c>
      <c r="M3" t="s">
        <v>1151</v>
      </c>
      <c r="N3" t="s">
        <v>1152</v>
      </c>
      <c r="O3" t="s">
        <v>1153</v>
      </c>
      <c r="P3" t="s">
        <v>1154</v>
      </c>
      <c r="Q3" t="s">
        <v>1155</v>
      </c>
      <c r="S3" t="s">
        <v>23</v>
      </c>
      <c r="T3">
        <v>52.71</v>
      </c>
      <c r="V3" t="s">
        <v>24</v>
      </c>
      <c r="W3">
        <v>87.558300000000003</v>
      </c>
      <c r="Y3" t="s">
        <v>25</v>
      </c>
      <c r="Z3">
        <v>110.32899999999999</v>
      </c>
      <c r="AB3" t="s">
        <v>15</v>
      </c>
      <c r="AC3" t="s">
        <v>1156</v>
      </c>
      <c r="AD3" t="s">
        <v>1157</v>
      </c>
      <c r="AE3" t="s">
        <v>1158</v>
      </c>
      <c r="AF3" t="s">
        <v>1159</v>
      </c>
      <c r="AG3" t="s">
        <v>1160</v>
      </c>
      <c r="AI3" s="27" t="s">
        <v>1149</v>
      </c>
      <c r="AJ3" s="1" t="s">
        <v>1150</v>
      </c>
      <c r="AL3" t="s">
        <v>15</v>
      </c>
      <c r="AM3" t="s">
        <v>1156</v>
      </c>
      <c r="AN3" t="s">
        <v>1157</v>
      </c>
      <c r="AO3" t="s">
        <v>1158</v>
      </c>
      <c r="AP3" t="s">
        <v>1159</v>
      </c>
      <c r="AQ3" t="s">
        <v>1160</v>
      </c>
      <c r="AV3" t="s">
        <v>15</v>
      </c>
      <c r="AW3" t="s">
        <v>1156</v>
      </c>
      <c r="AX3" t="s">
        <v>1157</v>
      </c>
      <c r="AY3" t="s">
        <v>1158</v>
      </c>
      <c r="AZ3" t="s">
        <v>1159</v>
      </c>
      <c r="BA3" t="s">
        <v>1160</v>
      </c>
    </row>
    <row r="4" spans="1:56" x14ac:dyDescent="0.35">
      <c r="A4" s="8">
        <v>0.34</v>
      </c>
      <c r="B4" s="8">
        <v>0.69</v>
      </c>
      <c r="C4" s="8">
        <v>0.79</v>
      </c>
      <c r="D4" s="8">
        <v>0.59</v>
      </c>
      <c r="E4" s="8">
        <v>0.06</v>
      </c>
      <c r="G4" s="8">
        <v>0.74</v>
      </c>
      <c r="H4" s="8">
        <v>0.73</v>
      </c>
      <c r="I4" s="8">
        <v>0.55000000000000004</v>
      </c>
      <c r="J4" s="8">
        <v>0.35</v>
      </c>
      <c r="K4" s="8">
        <v>0.53</v>
      </c>
      <c r="M4" s="8">
        <v>1.2</v>
      </c>
      <c r="N4" s="8">
        <v>0.95</v>
      </c>
      <c r="O4" s="8">
        <v>0.68</v>
      </c>
      <c r="P4" s="8">
        <v>0.47</v>
      </c>
      <c r="Q4" s="8">
        <v>0.56000000000000005</v>
      </c>
      <c r="S4" t="s">
        <v>33</v>
      </c>
      <c r="T4">
        <v>45.51</v>
      </c>
      <c r="V4" t="s">
        <v>34</v>
      </c>
      <c r="W4">
        <v>138.107</v>
      </c>
      <c r="Y4" t="s">
        <v>35</v>
      </c>
      <c r="Z4">
        <v>106.066</v>
      </c>
      <c r="AB4" t="s">
        <v>23</v>
      </c>
      <c r="AC4" s="8">
        <v>3.35</v>
      </c>
      <c r="AD4" s="8">
        <v>1.29</v>
      </c>
      <c r="AE4" s="8">
        <v>0.78</v>
      </c>
      <c r="AF4" s="8">
        <v>0.43</v>
      </c>
      <c r="AG4" s="8">
        <v>0.36</v>
      </c>
      <c r="AI4">
        <f t="shared" ref="AI4:AI35" si="0">AD4/AC4</f>
        <v>0.38507462686567162</v>
      </c>
      <c r="AJ4">
        <f t="shared" ref="AJ4:AJ35" si="1">AG4/AC4</f>
        <v>0.10746268656716418</v>
      </c>
      <c r="AL4" t="s">
        <v>24</v>
      </c>
      <c r="AM4" s="8">
        <v>4.9000000000000004</v>
      </c>
      <c r="AN4" s="8">
        <v>2.67</v>
      </c>
      <c r="AO4" s="8">
        <v>1.96</v>
      </c>
      <c r="AP4" s="8">
        <v>1.48</v>
      </c>
      <c r="AQ4" s="8">
        <v>1.79</v>
      </c>
      <c r="AS4">
        <f t="shared" ref="AS4:AS18" si="2">AN4/AM4</f>
        <v>0.54489795918367345</v>
      </c>
      <c r="AT4">
        <f>AQ4/AM4</f>
        <v>0.36530612244897959</v>
      </c>
      <c r="AV4" t="s">
        <v>25</v>
      </c>
      <c r="AW4" s="8">
        <v>5.2999999999999999E-2</v>
      </c>
      <c r="AX4" s="8">
        <v>0.112</v>
      </c>
      <c r="AY4" s="8">
        <v>0.16500000000000001</v>
      </c>
      <c r="AZ4" s="8">
        <v>7.2999999999999995E-2</v>
      </c>
      <c r="BA4" s="8">
        <v>7.6999999999999999E-2</v>
      </c>
      <c r="BC4">
        <f>Supplementary_Fig8!AX4/Supplementary_Fig8!AW4</f>
        <v>2.1132075471698113</v>
      </c>
      <c r="BD4">
        <f>Supplementary_Fig8!BA4/Supplementary_Fig8!AW4</f>
        <v>1.4528301886792454</v>
      </c>
    </row>
    <row r="5" spans="1:56" x14ac:dyDescent="0.35">
      <c r="S5" t="s">
        <v>36</v>
      </c>
      <c r="T5">
        <v>43.27</v>
      </c>
      <c r="V5" t="s">
        <v>37</v>
      </c>
      <c r="W5">
        <v>97.937700000000007</v>
      </c>
      <c r="Y5" t="s">
        <v>38</v>
      </c>
      <c r="Z5">
        <v>81.583500000000001</v>
      </c>
      <c r="AB5" t="s">
        <v>33</v>
      </c>
      <c r="AC5" s="8">
        <v>1.1000000000000001</v>
      </c>
      <c r="AD5" s="8">
        <v>0.56000000000000005</v>
      </c>
      <c r="AE5" s="8">
        <v>0.4</v>
      </c>
      <c r="AF5" s="8">
        <v>0.19</v>
      </c>
      <c r="AG5" s="8">
        <v>0.14000000000000001</v>
      </c>
      <c r="AI5">
        <f t="shared" si="0"/>
        <v>0.50909090909090915</v>
      </c>
      <c r="AJ5">
        <f t="shared" si="1"/>
        <v>0.12727272727272729</v>
      </c>
      <c r="AL5" t="s">
        <v>34</v>
      </c>
      <c r="AM5" s="8">
        <v>1.24</v>
      </c>
      <c r="AN5" s="8">
        <v>0.52</v>
      </c>
      <c r="AO5" s="8">
        <v>0.55000000000000004</v>
      </c>
      <c r="AP5" s="8">
        <v>0.56000000000000005</v>
      </c>
      <c r="AQ5" s="8">
        <v>0.37</v>
      </c>
      <c r="AS5">
        <f t="shared" si="2"/>
        <v>0.41935483870967744</v>
      </c>
      <c r="AT5">
        <f>AQ5/AM5</f>
        <v>0.29838709677419356</v>
      </c>
      <c r="AV5" t="s">
        <v>35</v>
      </c>
      <c r="AW5" s="8">
        <v>0.23599999999999999</v>
      </c>
      <c r="AX5" s="8">
        <v>9.2999999999999999E-2</v>
      </c>
      <c r="AY5" s="8">
        <v>0.10100000000000001</v>
      </c>
      <c r="BC5">
        <f>Supplementary_Fig8!AX5/Supplementary_Fig8!AW5</f>
        <v>0.3940677966101695</v>
      </c>
    </row>
    <row r="6" spans="1:56" x14ac:dyDescent="0.35">
      <c r="M6" s="42" t="s">
        <v>1161</v>
      </c>
      <c r="N6" s="42"/>
      <c r="O6" s="42"/>
      <c r="P6" s="42"/>
      <c r="Q6" s="42"/>
      <c r="S6" t="s">
        <v>39</v>
      </c>
      <c r="T6">
        <v>57.41</v>
      </c>
      <c r="V6" t="s">
        <v>40</v>
      </c>
      <c r="W6">
        <v>53.6736</v>
      </c>
      <c r="Y6" t="s">
        <v>41</v>
      </c>
      <c r="Z6">
        <v>62.304299999999998</v>
      </c>
      <c r="AB6" t="s">
        <v>36</v>
      </c>
      <c r="AC6" s="8">
        <v>0.95</v>
      </c>
      <c r="AD6" s="8">
        <v>0.78</v>
      </c>
      <c r="AE6" s="8">
        <v>0.45</v>
      </c>
      <c r="AF6" s="8">
        <v>0.47</v>
      </c>
      <c r="AG6" s="8">
        <v>0.32</v>
      </c>
      <c r="AI6">
        <f t="shared" si="0"/>
        <v>0.82105263157894748</v>
      </c>
      <c r="AJ6">
        <f t="shared" si="1"/>
        <v>0.33684210526315794</v>
      </c>
      <c r="AL6" t="s">
        <v>37</v>
      </c>
      <c r="AM6" s="8">
        <v>0.84</v>
      </c>
      <c r="AN6" s="8">
        <v>0.3</v>
      </c>
      <c r="AS6">
        <f t="shared" si="2"/>
        <v>0.35714285714285715</v>
      </c>
      <c r="AV6" t="s">
        <v>38</v>
      </c>
      <c r="AW6" s="8">
        <v>0.1</v>
      </c>
      <c r="AX6" s="8">
        <v>0.125</v>
      </c>
      <c r="AY6" s="8">
        <v>7.0000000000000007E-2</v>
      </c>
      <c r="AZ6" s="8">
        <v>7.3999999999999996E-2</v>
      </c>
      <c r="BA6" s="8">
        <v>6.4000000000000001E-2</v>
      </c>
      <c r="BC6">
        <f>Supplementary_Fig8!AX6/Supplementary_Fig8!AW6</f>
        <v>1.25</v>
      </c>
      <c r="BD6">
        <f>Supplementary_Fig8!BA6/Supplementary_Fig8!AW6</f>
        <v>0.64</v>
      </c>
    </row>
    <row r="7" spans="1:56" ht="14.25" x14ac:dyDescent="0.35">
      <c r="M7" t="s">
        <v>1151</v>
      </c>
      <c r="N7" t="s">
        <v>1152</v>
      </c>
      <c r="O7" t="s">
        <v>1153</v>
      </c>
      <c r="P7" t="s">
        <v>1154</v>
      </c>
      <c r="Q7" t="s">
        <v>1155</v>
      </c>
      <c r="S7" t="s">
        <v>42</v>
      </c>
      <c r="V7" t="s">
        <v>43</v>
      </c>
      <c r="W7">
        <v>56.804499999999997</v>
      </c>
      <c r="Y7" t="s">
        <v>44</v>
      </c>
      <c r="Z7">
        <v>58.863999999999997</v>
      </c>
      <c r="AB7" t="s">
        <v>39</v>
      </c>
      <c r="AC7" s="8">
        <v>0.56000000000000005</v>
      </c>
      <c r="AD7" s="8">
        <v>0.48</v>
      </c>
      <c r="AE7" s="8">
        <v>0.62</v>
      </c>
      <c r="AF7" s="8">
        <v>0.71</v>
      </c>
      <c r="AG7" s="8">
        <v>0.72</v>
      </c>
      <c r="AI7">
        <f t="shared" si="0"/>
        <v>0.85714285714285698</v>
      </c>
      <c r="AJ7">
        <f t="shared" si="1"/>
        <v>1.2857142857142856</v>
      </c>
      <c r="AL7" t="s">
        <v>40</v>
      </c>
      <c r="AM7" s="8">
        <v>0.28999999999999998</v>
      </c>
      <c r="AN7" s="8">
        <v>0.33</v>
      </c>
      <c r="AO7" s="8">
        <v>0.17</v>
      </c>
      <c r="AS7">
        <f t="shared" si="2"/>
        <v>1.1379310344827587</v>
      </c>
      <c r="AV7" t="s">
        <v>41</v>
      </c>
      <c r="AW7" s="8">
        <v>0.74</v>
      </c>
      <c r="AX7" s="8">
        <v>0.65</v>
      </c>
      <c r="AY7" s="8">
        <v>0.23799999999999999</v>
      </c>
      <c r="AZ7" s="8">
        <v>0.64700000000000002</v>
      </c>
      <c r="BA7" s="8">
        <v>0.44</v>
      </c>
      <c r="BC7">
        <f>Supplementary_Fig8!AX7/Supplementary_Fig8!AW7</f>
        <v>0.8783783783783784</v>
      </c>
      <c r="BD7">
        <f>Supplementary_Fig8!BA7/Supplementary_Fig8!AW7</f>
        <v>0.59459459459459463</v>
      </c>
    </row>
    <row r="8" spans="1:56" x14ac:dyDescent="0.35">
      <c r="M8">
        <f>SUM(G4,A4)</f>
        <v>1.08</v>
      </c>
      <c r="N8">
        <f>SUM(H4,B4)</f>
        <v>1.42</v>
      </c>
      <c r="O8">
        <f>SUM(I4,C4)</f>
        <v>1.34</v>
      </c>
      <c r="P8">
        <f>SUM(J4,D4)</f>
        <v>0.94</v>
      </c>
      <c r="Q8">
        <f>SUM(K4,E4)</f>
        <v>0.59000000000000008</v>
      </c>
      <c r="S8" t="s">
        <v>45</v>
      </c>
      <c r="T8">
        <v>103.48</v>
      </c>
      <c r="V8" t="s">
        <v>46</v>
      </c>
      <c r="Y8" t="s">
        <v>47</v>
      </c>
      <c r="Z8">
        <v>42.117800000000003</v>
      </c>
      <c r="AB8" t="s">
        <v>45</v>
      </c>
      <c r="AC8" s="8">
        <v>1.7</v>
      </c>
      <c r="AD8" s="8">
        <v>0.88</v>
      </c>
      <c r="AE8" s="8">
        <v>0.23</v>
      </c>
      <c r="AF8" s="8">
        <v>0.38</v>
      </c>
      <c r="AG8" s="8">
        <v>0.38</v>
      </c>
      <c r="AI8">
        <f t="shared" si="0"/>
        <v>0.51764705882352946</v>
      </c>
      <c r="AJ8">
        <f t="shared" si="1"/>
        <v>0.22352941176470589</v>
      </c>
      <c r="AL8" t="s">
        <v>46</v>
      </c>
      <c r="AM8" s="8">
        <v>0.44</v>
      </c>
      <c r="AN8" s="8">
        <v>0.1</v>
      </c>
      <c r="AO8" s="8">
        <v>0.1</v>
      </c>
      <c r="AP8" s="8">
        <v>0.1</v>
      </c>
      <c r="AQ8" s="8">
        <v>0.107</v>
      </c>
      <c r="AS8">
        <f t="shared" si="2"/>
        <v>0.22727272727272729</v>
      </c>
      <c r="AT8">
        <f t="shared" ref="AT8:AT18" si="3">AQ8/AM8</f>
        <v>0.24318181818181817</v>
      </c>
      <c r="AV8" t="s">
        <v>53</v>
      </c>
      <c r="AW8" s="8">
        <v>1.5</v>
      </c>
      <c r="AX8" s="8">
        <v>1.31</v>
      </c>
      <c r="AY8" s="8">
        <v>1.04</v>
      </c>
      <c r="AZ8" s="8">
        <v>1.08</v>
      </c>
      <c r="BA8" s="8">
        <v>0.78</v>
      </c>
      <c r="BC8">
        <f>Supplementary_Fig8!AX8/Supplementary_Fig8!AW8</f>
        <v>0.87333333333333341</v>
      </c>
      <c r="BD8">
        <f>Supplementary_Fig8!BA8/Supplementary_Fig8!AW8</f>
        <v>0.52</v>
      </c>
    </row>
    <row r="9" spans="1:56" x14ac:dyDescent="0.35">
      <c r="S9" t="s">
        <v>48</v>
      </c>
      <c r="T9">
        <v>86.61</v>
      </c>
      <c r="V9" t="s">
        <v>871</v>
      </c>
      <c r="Y9" t="s">
        <v>50</v>
      </c>
      <c r="Z9">
        <v>33.921700000000001</v>
      </c>
      <c r="AB9" t="s">
        <v>48</v>
      </c>
      <c r="AC9" s="8">
        <v>0.82</v>
      </c>
      <c r="AD9" s="8">
        <v>0.43</v>
      </c>
      <c r="AE9" s="8">
        <v>0.49</v>
      </c>
      <c r="AF9" s="8">
        <v>0.3</v>
      </c>
      <c r="AG9" s="8">
        <v>0.08</v>
      </c>
      <c r="AI9">
        <f t="shared" si="0"/>
        <v>0.52439024390243905</v>
      </c>
      <c r="AJ9">
        <f t="shared" si="1"/>
        <v>9.7560975609756101E-2</v>
      </c>
      <c r="AL9" t="s">
        <v>49</v>
      </c>
      <c r="AM9" s="8">
        <v>1.58</v>
      </c>
      <c r="AN9" s="8">
        <v>1.1399999999999999</v>
      </c>
      <c r="AO9" s="8">
        <v>0.65</v>
      </c>
      <c r="AP9" s="8">
        <v>0.60899999999999999</v>
      </c>
      <c r="AQ9" s="8">
        <v>0.67</v>
      </c>
      <c r="AS9">
        <f t="shared" si="2"/>
        <v>0.72151898734177211</v>
      </c>
      <c r="AT9">
        <f t="shared" si="3"/>
        <v>0.42405063291139239</v>
      </c>
      <c r="AV9" t="s">
        <v>56</v>
      </c>
      <c r="AW9" s="8">
        <v>0.73</v>
      </c>
      <c r="AX9" s="8">
        <v>0.55000000000000004</v>
      </c>
      <c r="AY9" s="8">
        <v>0.40699999999999997</v>
      </c>
      <c r="AZ9" s="8">
        <v>0.376</v>
      </c>
      <c r="BA9" s="8">
        <v>0.48299999999999998</v>
      </c>
      <c r="BC9">
        <f>Supplementary_Fig8!AX9/Supplementary_Fig8!AW9</f>
        <v>0.7534246575342467</v>
      </c>
      <c r="BD9">
        <f>Supplementary_Fig8!BA9/Supplementary_Fig8!AW9</f>
        <v>0.66164383561643836</v>
      </c>
    </row>
    <row r="10" spans="1:56" x14ac:dyDescent="0.35">
      <c r="S10" t="s">
        <v>51</v>
      </c>
      <c r="T10">
        <v>127.11</v>
      </c>
      <c r="V10" t="s">
        <v>870</v>
      </c>
      <c r="Y10" t="s">
        <v>53</v>
      </c>
      <c r="Z10">
        <v>32.886800000000001</v>
      </c>
      <c r="AB10" t="s">
        <v>51</v>
      </c>
      <c r="AC10" s="8">
        <v>0.73</v>
      </c>
      <c r="AD10" s="8">
        <v>0.51</v>
      </c>
      <c r="AE10" s="8">
        <v>0.6</v>
      </c>
      <c r="AF10" s="8">
        <v>0.4</v>
      </c>
      <c r="AG10" s="8">
        <v>0.67</v>
      </c>
      <c r="AI10">
        <f t="shared" si="0"/>
        <v>0.69863013698630139</v>
      </c>
      <c r="AJ10">
        <f t="shared" si="1"/>
        <v>0.91780821917808231</v>
      </c>
      <c r="AL10" t="s">
        <v>52</v>
      </c>
      <c r="AM10" s="8">
        <v>1.97</v>
      </c>
      <c r="AN10" s="8">
        <v>1.25</v>
      </c>
      <c r="AO10" s="8">
        <v>1.06</v>
      </c>
      <c r="AP10" s="8">
        <v>0.67800000000000005</v>
      </c>
      <c r="AQ10" s="8">
        <v>0.89300000000000002</v>
      </c>
      <c r="AS10">
        <f t="shared" si="2"/>
        <v>0.63451776649746194</v>
      </c>
      <c r="AT10">
        <f t="shared" si="3"/>
        <v>0.45329949238578682</v>
      </c>
      <c r="AV10" t="s">
        <v>58</v>
      </c>
      <c r="AW10" s="8">
        <v>0.5</v>
      </c>
      <c r="AX10" s="8">
        <v>0.53</v>
      </c>
      <c r="AY10" s="8">
        <v>0.28000000000000003</v>
      </c>
      <c r="AZ10" s="8">
        <v>0.19</v>
      </c>
      <c r="BA10" s="8">
        <v>0.35</v>
      </c>
      <c r="BC10">
        <f>Supplementary_Fig8!AX10/Supplementary_Fig8!AW10</f>
        <v>1.06</v>
      </c>
      <c r="BD10">
        <f>Supplementary_Fig8!BA10/Supplementary_Fig8!AW10</f>
        <v>0.7</v>
      </c>
    </row>
    <row r="11" spans="1:56" x14ac:dyDescent="0.35">
      <c r="M11" s="42" t="s">
        <v>1162</v>
      </c>
      <c r="N11" s="42"/>
      <c r="O11" s="42"/>
      <c r="P11" s="42"/>
      <c r="Q11" s="42"/>
      <c r="S11" t="s">
        <v>54</v>
      </c>
      <c r="T11">
        <v>33.814100000000003</v>
      </c>
      <c r="V11" t="s">
        <v>49</v>
      </c>
      <c r="W11">
        <v>64.186899999999994</v>
      </c>
      <c r="Y11" t="s">
        <v>56</v>
      </c>
      <c r="Z11">
        <v>31.3292</v>
      </c>
      <c r="AB11" t="s">
        <v>54</v>
      </c>
      <c r="AC11" s="8">
        <v>1.51</v>
      </c>
      <c r="AD11" s="8">
        <v>0.55000000000000004</v>
      </c>
      <c r="AE11" s="8">
        <v>0.32</v>
      </c>
      <c r="AF11" s="8">
        <v>0.37</v>
      </c>
      <c r="AG11" s="8">
        <v>0.3</v>
      </c>
      <c r="AI11">
        <f t="shared" si="0"/>
        <v>0.36423841059602652</v>
      </c>
      <c r="AJ11">
        <f t="shared" si="1"/>
        <v>0.19867549668874171</v>
      </c>
      <c r="AL11" t="s">
        <v>55</v>
      </c>
      <c r="AM11" s="8">
        <v>1.61</v>
      </c>
      <c r="AN11" s="8">
        <v>0.91</v>
      </c>
      <c r="AO11" s="8">
        <v>0.97</v>
      </c>
      <c r="AP11" s="8">
        <v>0.37</v>
      </c>
      <c r="AQ11" s="8">
        <v>0.51</v>
      </c>
      <c r="AS11">
        <f t="shared" si="2"/>
        <v>0.56521739130434778</v>
      </c>
      <c r="AT11">
        <f t="shared" si="3"/>
        <v>0.31677018633540371</v>
      </c>
      <c r="AV11" t="s">
        <v>61</v>
      </c>
      <c r="AW11" s="8">
        <v>0.38</v>
      </c>
      <c r="AX11" s="8">
        <v>0.62</v>
      </c>
      <c r="AY11" s="8">
        <v>0.17</v>
      </c>
      <c r="AZ11" s="8">
        <v>0.27</v>
      </c>
      <c r="BA11" s="8">
        <v>0.24</v>
      </c>
      <c r="BC11">
        <f>Supplementary_Fig8!AX11/Supplementary_Fig8!AW11</f>
        <v>1.631578947368421</v>
      </c>
      <c r="BD11">
        <f>Supplementary_Fig8!BA11/Supplementary_Fig8!AW11</f>
        <v>0.63157894736842102</v>
      </c>
    </row>
    <row r="12" spans="1:56" ht="14.25" x14ac:dyDescent="0.35">
      <c r="M12" t="s">
        <v>1151</v>
      </c>
      <c r="N12" t="s">
        <v>1152</v>
      </c>
      <c r="O12" t="s">
        <v>1153</v>
      </c>
      <c r="P12" t="s">
        <v>1154</v>
      </c>
      <c r="Q12" t="s">
        <v>1155</v>
      </c>
      <c r="S12">
        <v>180122</v>
      </c>
      <c r="V12" t="s">
        <v>52</v>
      </c>
      <c r="W12">
        <v>123.014</v>
      </c>
      <c r="Y12" t="s">
        <v>58</v>
      </c>
      <c r="Z12">
        <v>29.8626</v>
      </c>
      <c r="AB12" t="s">
        <v>59</v>
      </c>
      <c r="AC12" s="8">
        <v>0.22</v>
      </c>
      <c r="AD12" s="8">
        <v>0.19</v>
      </c>
      <c r="AE12" s="8">
        <v>0.32</v>
      </c>
      <c r="AF12" s="8">
        <v>0.1</v>
      </c>
      <c r="AG12" s="8">
        <v>0.25</v>
      </c>
      <c r="AI12">
        <f t="shared" si="0"/>
        <v>0.86363636363636365</v>
      </c>
      <c r="AJ12">
        <f t="shared" si="1"/>
        <v>1.1363636363636365</v>
      </c>
      <c r="AL12" t="s">
        <v>57</v>
      </c>
      <c r="AM12" s="8">
        <v>0.53</v>
      </c>
      <c r="AN12" s="8">
        <v>0.55000000000000004</v>
      </c>
      <c r="AO12" s="8">
        <v>0.34</v>
      </c>
      <c r="AP12" s="8">
        <v>0.25</v>
      </c>
      <c r="AQ12" s="8">
        <v>0.36</v>
      </c>
      <c r="AS12">
        <f t="shared" si="2"/>
        <v>1.0377358490566038</v>
      </c>
      <c r="AT12">
        <f t="shared" si="3"/>
        <v>0.67924528301886788</v>
      </c>
      <c r="AV12" t="s">
        <v>64</v>
      </c>
      <c r="AW12" s="8">
        <v>0.15</v>
      </c>
      <c r="AX12" s="8">
        <v>0.05</v>
      </c>
      <c r="AY12" s="8">
        <v>0.36</v>
      </c>
      <c r="AZ12" s="8">
        <v>0.1</v>
      </c>
      <c r="BA12" s="8">
        <v>0.28000000000000003</v>
      </c>
      <c r="BC12">
        <f>Supplementary_Fig8!AX12/Supplementary_Fig8!AW12</f>
        <v>0.33333333333333337</v>
      </c>
      <c r="BD12">
        <f>Supplementary_Fig8!BA12/Supplementary_Fig8!AW12</f>
        <v>1.8666666666666669</v>
      </c>
    </row>
    <row r="13" spans="1:56" x14ac:dyDescent="0.35">
      <c r="M13">
        <f>M4*100/M8</f>
        <v>111.1111111111111</v>
      </c>
      <c r="N13">
        <f>N4*100/N8</f>
        <v>66.901408450704224</v>
      </c>
      <c r="O13">
        <f>O4*100/O8</f>
        <v>50.746268656716417</v>
      </c>
      <c r="P13">
        <f>P4*100/P8</f>
        <v>50</v>
      </c>
      <c r="Q13">
        <f>Q4*100/Q8</f>
        <v>94.915254237288138</v>
      </c>
      <c r="S13" t="s">
        <v>59</v>
      </c>
      <c r="T13">
        <v>16.89</v>
      </c>
      <c r="V13" t="s">
        <v>55</v>
      </c>
      <c r="W13">
        <v>107.78</v>
      </c>
      <c r="Y13" t="s">
        <v>61</v>
      </c>
      <c r="Z13">
        <v>28.8432</v>
      </c>
      <c r="AB13" t="s">
        <v>62</v>
      </c>
      <c r="AC13" s="8">
        <v>1.46</v>
      </c>
      <c r="AD13" s="8">
        <v>0.42</v>
      </c>
      <c r="AE13" s="8">
        <v>0.28999999999999998</v>
      </c>
      <c r="AF13" s="8">
        <v>0.14000000000000001</v>
      </c>
      <c r="AG13" s="8">
        <v>0.33</v>
      </c>
      <c r="AI13">
        <f t="shared" si="0"/>
        <v>0.28767123287671231</v>
      </c>
      <c r="AJ13">
        <f t="shared" si="1"/>
        <v>0.22602739726027399</v>
      </c>
      <c r="AL13" t="s">
        <v>60</v>
      </c>
      <c r="AM13" s="8">
        <v>1.64</v>
      </c>
      <c r="AN13" s="8">
        <v>2.0299999999999998</v>
      </c>
      <c r="AO13" s="8">
        <v>1.905</v>
      </c>
      <c r="AP13" s="8">
        <v>1.45</v>
      </c>
      <c r="AQ13" s="8">
        <v>1.27</v>
      </c>
      <c r="AS13">
        <f t="shared" si="2"/>
        <v>1.2378048780487805</v>
      </c>
      <c r="AT13">
        <f t="shared" si="3"/>
        <v>0.77439024390243905</v>
      </c>
      <c r="AV13" t="s">
        <v>67</v>
      </c>
      <c r="AW13" s="8">
        <v>0.28999999999999998</v>
      </c>
      <c r="AX13" s="8">
        <v>0.22</v>
      </c>
      <c r="AY13" s="8">
        <v>0.3</v>
      </c>
      <c r="AZ13" s="8">
        <v>0.3</v>
      </c>
      <c r="BA13" s="8">
        <v>0.14000000000000001</v>
      </c>
      <c r="BC13">
        <f>Supplementary_Fig8!AX13/Supplementary_Fig8!AW13</f>
        <v>0.75862068965517249</v>
      </c>
      <c r="BD13">
        <f>Supplementary_Fig8!BA13/Supplementary_Fig8!AW13</f>
        <v>0.48275862068965525</v>
      </c>
    </row>
    <row r="14" spans="1:56" x14ac:dyDescent="0.35">
      <c r="S14" t="s">
        <v>62</v>
      </c>
      <c r="T14">
        <v>45.333599999999997</v>
      </c>
      <c r="V14" t="s">
        <v>57</v>
      </c>
      <c r="W14">
        <v>39.004100000000001</v>
      </c>
      <c r="X14" s="8"/>
      <c r="Y14" t="s">
        <v>64</v>
      </c>
      <c r="Z14">
        <v>28.712800000000001</v>
      </c>
      <c r="AB14" t="s">
        <v>71</v>
      </c>
      <c r="AC14" s="8">
        <v>0.81</v>
      </c>
      <c r="AD14" s="8">
        <v>0.6</v>
      </c>
      <c r="AE14" s="8">
        <v>0.42</v>
      </c>
      <c r="AF14" s="8">
        <v>0.31</v>
      </c>
      <c r="AG14" s="8">
        <v>0.39</v>
      </c>
      <c r="AI14">
        <f t="shared" si="0"/>
        <v>0.7407407407407407</v>
      </c>
      <c r="AJ14">
        <f t="shared" si="1"/>
        <v>0.48148148148148145</v>
      </c>
      <c r="AL14" t="s">
        <v>63</v>
      </c>
      <c r="AM14" s="8">
        <v>1.72</v>
      </c>
      <c r="AN14" s="8">
        <v>0.94699999999999995</v>
      </c>
      <c r="AO14" s="8">
        <v>0.93</v>
      </c>
      <c r="AP14" s="8">
        <v>0.94</v>
      </c>
      <c r="AQ14" s="8">
        <v>0.63</v>
      </c>
      <c r="AS14">
        <f t="shared" si="2"/>
        <v>0.55058139534883721</v>
      </c>
      <c r="AT14">
        <f t="shared" si="3"/>
        <v>0.36627906976744184</v>
      </c>
      <c r="AV14" t="s">
        <v>70</v>
      </c>
      <c r="AW14" s="8">
        <v>0.92</v>
      </c>
      <c r="AX14" s="8">
        <v>0.7</v>
      </c>
      <c r="AY14" s="8">
        <v>0.52</v>
      </c>
      <c r="AZ14" s="8">
        <v>0.76</v>
      </c>
      <c r="BA14" s="8">
        <v>0.71</v>
      </c>
      <c r="BC14">
        <f>Supplementary_Fig8!AX14/Supplementary_Fig8!AW14</f>
        <v>0.76086956521739124</v>
      </c>
      <c r="BD14">
        <f>Supplementary_Fig8!BA14/Supplementary_Fig8!AW14</f>
        <v>0.77173913043478248</v>
      </c>
    </row>
    <row r="15" spans="1:56" x14ac:dyDescent="0.35">
      <c r="S15" t="s">
        <v>65</v>
      </c>
      <c r="V15" t="s">
        <v>60</v>
      </c>
      <c r="W15">
        <v>113.86</v>
      </c>
      <c r="Y15" t="s">
        <v>67</v>
      </c>
      <c r="Z15">
        <v>26.057500000000001</v>
      </c>
      <c r="AB15" t="s">
        <v>74</v>
      </c>
      <c r="AC15" s="8">
        <v>0.69</v>
      </c>
      <c r="AD15" s="8">
        <v>0.4</v>
      </c>
      <c r="AE15" s="8">
        <v>0.28999999999999998</v>
      </c>
      <c r="AF15" s="8">
        <v>0.1</v>
      </c>
      <c r="AG15" s="8">
        <v>0.22</v>
      </c>
      <c r="AI15">
        <f t="shared" si="0"/>
        <v>0.57971014492753636</v>
      </c>
      <c r="AJ15">
        <f t="shared" si="1"/>
        <v>0.31884057971014496</v>
      </c>
      <c r="AL15" t="s">
        <v>72</v>
      </c>
      <c r="AM15" s="8">
        <v>1.73</v>
      </c>
      <c r="AN15" s="8">
        <v>1.85</v>
      </c>
      <c r="AO15" s="8">
        <v>0.86</v>
      </c>
      <c r="AP15" s="8">
        <v>0.74</v>
      </c>
      <c r="AQ15" s="8">
        <v>0.82</v>
      </c>
      <c r="AS15">
        <f t="shared" si="2"/>
        <v>1.0693641618497109</v>
      </c>
      <c r="AT15">
        <f t="shared" si="3"/>
        <v>0.47398843930635837</v>
      </c>
      <c r="AV15" t="s">
        <v>73</v>
      </c>
      <c r="AW15" s="8">
        <v>0.52</v>
      </c>
      <c r="AX15" s="8">
        <v>0.22</v>
      </c>
      <c r="AY15" s="8">
        <v>0.38</v>
      </c>
      <c r="AZ15" s="8">
        <v>0.25</v>
      </c>
      <c r="BA15" s="8">
        <v>0.33</v>
      </c>
      <c r="BC15">
        <f>Supplementary_Fig8!AX15/Supplementary_Fig8!AW15</f>
        <v>0.42307692307692307</v>
      </c>
      <c r="BD15">
        <f>Supplementary_Fig8!BA15/Supplementary_Fig8!AW15</f>
        <v>0.63461538461538458</v>
      </c>
    </row>
    <row r="16" spans="1:56" ht="13.15" x14ac:dyDescent="0.4">
      <c r="A16" s="39">
        <v>1904232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S16" t="s">
        <v>68</v>
      </c>
      <c r="V16" t="s">
        <v>63</v>
      </c>
      <c r="W16">
        <v>75.603800000000007</v>
      </c>
      <c r="X16" s="8"/>
      <c r="Y16" t="s">
        <v>70</v>
      </c>
      <c r="Z16">
        <v>25.6846</v>
      </c>
      <c r="AB16" t="s">
        <v>77</v>
      </c>
      <c r="AC16" s="8">
        <v>0.84</v>
      </c>
      <c r="AD16" s="8">
        <v>0.32</v>
      </c>
      <c r="AE16" s="8">
        <v>0.16</v>
      </c>
      <c r="AF16" s="8">
        <v>0.19</v>
      </c>
      <c r="AG16" s="8">
        <v>0.42</v>
      </c>
      <c r="AI16">
        <f t="shared" si="0"/>
        <v>0.38095238095238099</v>
      </c>
      <c r="AJ16">
        <f t="shared" si="1"/>
        <v>0.5</v>
      </c>
      <c r="AL16" t="s">
        <v>80</v>
      </c>
      <c r="AM16" s="8">
        <v>0.76</v>
      </c>
      <c r="AN16" s="8">
        <v>0.41</v>
      </c>
      <c r="AO16" s="8">
        <v>0.17</v>
      </c>
      <c r="AP16" s="8">
        <v>0.03</v>
      </c>
      <c r="AQ16" s="8">
        <v>0</v>
      </c>
      <c r="AS16">
        <f t="shared" si="2"/>
        <v>0.53947368421052633</v>
      </c>
      <c r="AT16">
        <f t="shared" si="3"/>
        <v>0</v>
      </c>
      <c r="AV16" t="s">
        <v>76</v>
      </c>
      <c r="AW16" s="8">
        <v>0.2</v>
      </c>
      <c r="AX16" s="8">
        <v>0.1</v>
      </c>
      <c r="AY16" s="8">
        <v>0.18</v>
      </c>
      <c r="AZ16" s="8">
        <v>0.20899999999999999</v>
      </c>
      <c r="BA16" s="8">
        <v>0.104</v>
      </c>
      <c r="BC16">
        <f>Supplementary_Fig8!AX16/Supplementary_Fig8!AW16</f>
        <v>0.5</v>
      </c>
      <c r="BD16">
        <f>Supplementary_Fig8!BA16/Supplementary_Fig8!AW16</f>
        <v>0.51999999999999991</v>
      </c>
    </row>
    <row r="17" spans="1:56" x14ac:dyDescent="0.35">
      <c r="A17" s="42" t="s">
        <v>1163</v>
      </c>
      <c r="B17" s="42"/>
      <c r="C17" s="42"/>
      <c r="D17" s="42"/>
      <c r="E17" s="42"/>
      <c r="G17" s="42" t="s">
        <v>1164</v>
      </c>
      <c r="H17" s="42"/>
      <c r="I17" s="42"/>
      <c r="J17" s="42"/>
      <c r="K17" s="42"/>
      <c r="M17" s="42" t="s">
        <v>1145</v>
      </c>
      <c r="N17" s="42"/>
      <c r="O17" s="42"/>
      <c r="P17" s="42"/>
      <c r="Q17" s="42"/>
      <c r="S17" t="s">
        <v>71</v>
      </c>
      <c r="T17">
        <v>70.53</v>
      </c>
      <c r="V17" t="s">
        <v>903</v>
      </c>
      <c r="Y17" t="s">
        <v>73</v>
      </c>
      <c r="Z17">
        <v>5.9818300000000004</v>
      </c>
      <c r="AB17" t="s">
        <v>79</v>
      </c>
      <c r="AC17" s="8">
        <v>0.17</v>
      </c>
      <c r="AD17" s="8">
        <v>0.15</v>
      </c>
      <c r="AE17" s="8">
        <v>0.14000000000000001</v>
      </c>
      <c r="AF17" s="8">
        <v>0.08</v>
      </c>
      <c r="AG17" s="8">
        <v>0.08</v>
      </c>
      <c r="AH17" s="8"/>
      <c r="AI17">
        <f t="shared" si="0"/>
        <v>0.88235294117647045</v>
      </c>
      <c r="AJ17">
        <f t="shared" si="1"/>
        <v>0.47058823529411764</v>
      </c>
      <c r="AL17" t="s">
        <v>82</v>
      </c>
      <c r="AM17" s="8">
        <v>0.82</v>
      </c>
      <c r="AN17" s="8">
        <v>0.73</v>
      </c>
      <c r="AO17" s="8">
        <v>0.6</v>
      </c>
      <c r="AP17" s="8">
        <v>0.76</v>
      </c>
      <c r="AQ17" s="8">
        <v>0.62</v>
      </c>
      <c r="AS17">
        <f t="shared" si="2"/>
        <v>0.8902439024390244</v>
      </c>
      <c r="AT17">
        <f t="shared" si="3"/>
        <v>0.75609756097560976</v>
      </c>
      <c r="AV17" t="s">
        <v>357</v>
      </c>
      <c r="AW17" s="8">
        <v>0.17</v>
      </c>
      <c r="AX17" s="8">
        <v>0.23</v>
      </c>
      <c r="AY17" s="8">
        <v>0.15</v>
      </c>
      <c r="AZ17" s="8">
        <v>0.14599999999999999</v>
      </c>
      <c r="BA17" s="8">
        <v>0.19</v>
      </c>
      <c r="BC17">
        <f>Supplementary_Fig8!AX17/Supplementary_Fig8!AW17</f>
        <v>1.3529411764705881</v>
      </c>
      <c r="BD17">
        <f>Supplementary_Fig8!BA17/Supplementary_Fig8!AW17</f>
        <v>1.1176470588235294</v>
      </c>
    </row>
    <row r="18" spans="1:56" ht="14.65" x14ac:dyDescent="0.4">
      <c r="A18" t="s">
        <v>1151</v>
      </c>
      <c r="B18" t="s">
        <v>1152</v>
      </c>
      <c r="C18" t="s">
        <v>1153</v>
      </c>
      <c r="D18" t="s">
        <v>1154</v>
      </c>
      <c r="E18" t="s">
        <v>1155</v>
      </c>
      <c r="G18" t="s">
        <v>1151</v>
      </c>
      <c r="H18" t="s">
        <v>1152</v>
      </c>
      <c r="I18" t="s">
        <v>1153</v>
      </c>
      <c r="J18" t="s">
        <v>1154</v>
      </c>
      <c r="K18" t="s">
        <v>1155</v>
      </c>
      <c r="M18" t="s">
        <v>1151</v>
      </c>
      <c r="N18" t="s">
        <v>1152</v>
      </c>
      <c r="O18" t="s">
        <v>1153</v>
      </c>
      <c r="P18" t="s">
        <v>1154</v>
      </c>
      <c r="Q18" t="s">
        <v>1155</v>
      </c>
      <c r="S18" t="s">
        <v>74</v>
      </c>
      <c r="T18">
        <v>114.75</v>
      </c>
      <c r="V18" t="s">
        <v>66</v>
      </c>
      <c r="Z18" s="1">
        <f>AVERAGE(Z3:Z17)</f>
        <v>46.969655333333336</v>
      </c>
      <c r="AB18" t="s">
        <v>81</v>
      </c>
      <c r="AC18" s="8">
        <v>0.65</v>
      </c>
      <c r="AD18" s="8">
        <v>0.53</v>
      </c>
      <c r="AE18" s="8">
        <v>0.32</v>
      </c>
      <c r="AF18" s="8">
        <v>0.56000000000000005</v>
      </c>
      <c r="AG18" s="8">
        <v>0.55000000000000004</v>
      </c>
      <c r="AI18">
        <f t="shared" si="0"/>
        <v>0.81538461538461537</v>
      </c>
      <c r="AJ18">
        <f t="shared" si="1"/>
        <v>0.84615384615384615</v>
      </c>
      <c r="AL18" t="s">
        <v>84</v>
      </c>
      <c r="AM18" s="8">
        <v>0.53</v>
      </c>
      <c r="AN18" s="8">
        <v>0.83</v>
      </c>
      <c r="AO18" s="8">
        <v>0.43</v>
      </c>
      <c r="AP18" s="8">
        <v>0.23</v>
      </c>
      <c r="AQ18" s="8">
        <v>0.22</v>
      </c>
      <c r="AS18">
        <f t="shared" si="2"/>
        <v>1.5660377358490565</v>
      </c>
      <c r="AT18">
        <f t="shared" si="3"/>
        <v>0.41509433962264147</v>
      </c>
      <c r="AV18" t="s">
        <v>361</v>
      </c>
      <c r="AW18" s="8">
        <v>0.53</v>
      </c>
      <c r="AX18" s="8">
        <v>0.46</v>
      </c>
      <c r="AY18" s="8">
        <v>0.48</v>
      </c>
      <c r="AZ18" s="8">
        <v>0.33</v>
      </c>
      <c r="BA18" s="8">
        <v>0.44</v>
      </c>
      <c r="BC18">
        <f>Supplementary_Fig8!AX18/Supplementary_Fig8!AW18</f>
        <v>0.86792452830188682</v>
      </c>
      <c r="BD18">
        <f>Supplementary_Fig8!BA18/Supplementary_Fig8!AW18</f>
        <v>0.83018867924528295</v>
      </c>
    </row>
    <row r="19" spans="1:56" ht="13.15" x14ac:dyDescent="0.4">
      <c r="A19">
        <v>0.35</v>
      </c>
      <c r="B19">
        <v>0.31</v>
      </c>
      <c r="C19">
        <v>0.49</v>
      </c>
      <c r="D19">
        <v>0.14000000000000001</v>
      </c>
      <c r="E19">
        <v>0.46</v>
      </c>
      <c r="G19">
        <v>2.14</v>
      </c>
      <c r="H19">
        <v>1.1200000000000001</v>
      </c>
      <c r="I19">
        <v>0.37</v>
      </c>
      <c r="J19">
        <v>0.32</v>
      </c>
      <c r="K19">
        <v>0.32</v>
      </c>
      <c r="M19">
        <v>1.72</v>
      </c>
      <c r="N19">
        <v>0.81</v>
      </c>
      <c r="O19">
        <v>0.72</v>
      </c>
      <c r="P19">
        <v>0.56000000000000005</v>
      </c>
      <c r="Q19">
        <v>0.74</v>
      </c>
      <c r="S19" t="s">
        <v>77</v>
      </c>
      <c r="T19">
        <v>63.918999999999997</v>
      </c>
      <c r="V19" t="s">
        <v>69</v>
      </c>
      <c r="Z19" s="1">
        <f>STDEV(Z3:Z18)</f>
        <v>29.713269705376835</v>
      </c>
      <c r="AB19" t="s">
        <v>83</v>
      </c>
      <c r="AC19" s="8">
        <v>0.73</v>
      </c>
      <c r="AD19" s="8">
        <v>0.43</v>
      </c>
      <c r="AE19" s="8">
        <v>0.59</v>
      </c>
      <c r="AF19" s="8">
        <v>0.49</v>
      </c>
      <c r="AG19" s="8">
        <v>0.49</v>
      </c>
      <c r="AI19">
        <f t="shared" si="0"/>
        <v>0.58904109589041098</v>
      </c>
      <c r="AJ19">
        <f t="shared" si="1"/>
        <v>0.67123287671232879</v>
      </c>
      <c r="AS19" s="1">
        <f>AVERAGE(AS4:AS18)</f>
        <v>0.76660634458252097</v>
      </c>
      <c r="AT19" s="1">
        <f>AVERAGE(AT4:AT18)</f>
        <v>0.42816079120237949</v>
      </c>
      <c r="AV19" t="s">
        <v>365</v>
      </c>
      <c r="AW19" s="8">
        <v>1.1000000000000001</v>
      </c>
      <c r="AX19" s="8">
        <v>0.62</v>
      </c>
      <c r="AY19" s="8">
        <v>0.46</v>
      </c>
      <c r="AZ19" s="8">
        <v>0.77</v>
      </c>
      <c r="BA19" s="8">
        <v>0.46</v>
      </c>
      <c r="BC19">
        <f>Supplementary_Fig8!AX19/Supplementary_Fig8!AW19</f>
        <v>0.5636363636363636</v>
      </c>
      <c r="BD19">
        <f>Supplementary_Fig8!BA19/Supplementary_Fig8!AW19</f>
        <v>0.41818181818181815</v>
      </c>
    </row>
    <row r="20" spans="1:56" ht="13.15" x14ac:dyDescent="0.4">
      <c r="S20" t="s">
        <v>79</v>
      </c>
      <c r="T20">
        <v>13.8733</v>
      </c>
      <c r="V20" t="s">
        <v>72</v>
      </c>
      <c r="Z20" s="1">
        <f>STDEV(Z3:Z18)/SQRT(15)</f>
        <v>7.6719332486862557</v>
      </c>
      <c r="AB20" t="s">
        <v>85</v>
      </c>
      <c r="AC20" s="8">
        <v>1.96</v>
      </c>
      <c r="AD20" s="8">
        <v>0.99</v>
      </c>
      <c r="AE20" s="8">
        <v>0.54</v>
      </c>
      <c r="AF20" s="8">
        <v>0.83</v>
      </c>
      <c r="AG20" s="8">
        <v>0.99</v>
      </c>
      <c r="AI20">
        <f t="shared" si="0"/>
        <v>0.50510204081632648</v>
      </c>
      <c r="AJ20">
        <f t="shared" si="1"/>
        <v>0.50510204081632648</v>
      </c>
      <c r="AV20" t="s">
        <v>369</v>
      </c>
      <c r="AW20" s="8">
        <v>0.42</v>
      </c>
      <c r="AX20" s="8">
        <v>0.1</v>
      </c>
      <c r="AY20" s="8">
        <v>0.1</v>
      </c>
      <c r="AZ20" s="8">
        <v>0.2</v>
      </c>
      <c r="BA20" s="8">
        <v>0.2</v>
      </c>
      <c r="BC20">
        <f>Supplementary_Fig8!AX20/Supplementary_Fig8!AW20</f>
        <v>0.23809523809523811</v>
      </c>
      <c r="BD20">
        <f>Supplementary_Fig8!BA20/Supplementary_Fig8!AW20</f>
        <v>0.47619047619047622</v>
      </c>
    </row>
    <row r="21" spans="1:56" x14ac:dyDescent="0.35">
      <c r="S21" t="s">
        <v>81</v>
      </c>
      <c r="T21">
        <v>86.506699999999995</v>
      </c>
      <c r="V21" t="s">
        <v>75</v>
      </c>
      <c r="AB21" t="s">
        <v>86</v>
      </c>
      <c r="AC21" s="8">
        <v>2.93</v>
      </c>
      <c r="AD21" s="8">
        <v>1.4</v>
      </c>
      <c r="AE21" s="8">
        <v>0.88</v>
      </c>
      <c r="AF21" s="8">
        <v>0.55000000000000004</v>
      </c>
      <c r="AG21" s="8">
        <v>0.59</v>
      </c>
      <c r="AI21">
        <f t="shared" si="0"/>
        <v>0.47781569965870302</v>
      </c>
      <c r="AJ21">
        <f t="shared" si="1"/>
        <v>0.20136518771331055</v>
      </c>
      <c r="AV21" t="s">
        <v>373</v>
      </c>
      <c r="AW21" s="8">
        <v>0.81</v>
      </c>
      <c r="AX21" s="8">
        <v>0.38</v>
      </c>
      <c r="AY21" s="8">
        <v>0.2</v>
      </c>
      <c r="AZ21" s="8">
        <v>0.3</v>
      </c>
      <c r="BA21" s="8">
        <v>0.16</v>
      </c>
      <c r="BC21">
        <f>Supplementary_Fig8!AX21/Supplementary_Fig8!AW21</f>
        <v>0.46913580246913578</v>
      </c>
      <c r="BD21">
        <f>Supplementary_Fig8!BA21/Supplementary_Fig8!AW21</f>
        <v>0.19753086419753085</v>
      </c>
    </row>
    <row r="22" spans="1:56" x14ac:dyDescent="0.35">
      <c r="M22" s="42" t="s">
        <v>1161</v>
      </c>
      <c r="N22" s="42"/>
      <c r="O22" s="42"/>
      <c r="P22" s="42"/>
      <c r="Q22" s="42"/>
      <c r="S22" t="s">
        <v>83</v>
      </c>
      <c r="T22">
        <v>48.069699999999997</v>
      </c>
      <c r="V22" t="s">
        <v>78</v>
      </c>
      <c r="Z22" s="8"/>
      <c r="AB22" t="s">
        <v>88</v>
      </c>
      <c r="AC22" s="8">
        <v>0.32</v>
      </c>
      <c r="AD22" s="8">
        <v>0.92</v>
      </c>
      <c r="AE22" s="8">
        <v>1.28</v>
      </c>
      <c r="AF22" s="8">
        <v>0.69</v>
      </c>
      <c r="AG22" s="8">
        <v>0.43</v>
      </c>
      <c r="AI22">
        <f t="shared" si="0"/>
        <v>2.875</v>
      </c>
      <c r="AJ22">
        <f t="shared" si="1"/>
        <v>1.34375</v>
      </c>
      <c r="AV22" t="s">
        <v>377</v>
      </c>
      <c r="AW22" s="8">
        <v>0.88</v>
      </c>
      <c r="AX22" s="8">
        <v>0.34</v>
      </c>
      <c r="AY22" s="8">
        <v>0.08</v>
      </c>
      <c r="AZ22" s="8">
        <v>0.37</v>
      </c>
      <c r="BA22" s="8">
        <v>0.23</v>
      </c>
      <c r="BC22">
        <f>Supplementary_Fig8!AX22/Supplementary_Fig8!AW22</f>
        <v>0.38636363636363641</v>
      </c>
      <c r="BD22">
        <f>Supplementary_Fig8!BA22/Supplementary_Fig8!AW22</f>
        <v>0.26136363636363635</v>
      </c>
    </row>
    <row r="23" spans="1:56" ht="14.25" x14ac:dyDescent="0.35">
      <c r="M23" t="s">
        <v>1151</v>
      </c>
      <c r="N23" t="s">
        <v>1152</v>
      </c>
      <c r="O23" t="s">
        <v>1153</v>
      </c>
      <c r="P23" t="s">
        <v>1154</v>
      </c>
      <c r="Q23" t="s">
        <v>1155</v>
      </c>
      <c r="S23" t="s">
        <v>85</v>
      </c>
      <c r="T23">
        <v>60.874099999999999</v>
      </c>
      <c r="V23" t="s">
        <v>80</v>
      </c>
      <c r="AB23" t="s">
        <v>89</v>
      </c>
      <c r="AC23" s="8">
        <v>1.01</v>
      </c>
      <c r="AD23" s="8">
        <v>0.53</v>
      </c>
      <c r="AE23" s="8">
        <v>0.39</v>
      </c>
      <c r="AF23" s="8">
        <v>0.32</v>
      </c>
      <c r="AG23" s="8">
        <v>0.35</v>
      </c>
      <c r="AI23">
        <f t="shared" si="0"/>
        <v>0.52475247524752477</v>
      </c>
      <c r="AJ23">
        <f t="shared" si="1"/>
        <v>0.34653465346534651</v>
      </c>
      <c r="AV23" t="s">
        <v>1165</v>
      </c>
      <c r="AW23" s="8">
        <v>1.72</v>
      </c>
      <c r="AX23" s="8">
        <v>0.55000000000000004</v>
      </c>
      <c r="AY23" s="8">
        <v>0.55000000000000004</v>
      </c>
      <c r="AZ23" s="8">
        <v>0.43</v>
      </c>
      <c r="BA23" s="8">
        <v>0.36</v>
      </c>
      <c r="BC23">
        <f>Supplementary_Fig8!AX23/Supplementary_Fig8!AW23</f>
        <v>0.31976744186046513</v>
      </c>
      <c r="BD23">
        <f>Supplementary_Fig8!BA23/Supplementary_Fig8!AW23</f>
        <v>0.20930232558139533</v>
      </c>
    </row>
    <row r="24" spans="1:56" x14ac:dyDescent="0.35">
      <c r="M24">
        <f>SUM(G19,A19)</f>
        <v>2.4900000000000002</v>
      </c>
      <c r="N24">
        <f>SUM(H19,B19)</f>
        <v>1.4300000000000002</v>
      </c>
      <c r="O24">
        <f>SUM(I19,C19)</f>
        <v>0.86</v>
      </c>
      <c r="P24">
        <f>SUM(J19,D19)</f>
        <v>0.46</v>
      </c>
      <c r="Q24">
        <f>SUM(K19,E19)</f>
        <v>0.78</v>
      </c>
      <c r="S24" t="s">
        <v>86</v>
      </c>
      <c r="T24">
        <v>44.1676</v>
      </c>
      <c r="V24" t="s">
        <v>82</v>
      </c>
      <c r="AB24" t="s">
        <v>90</v>
      </c>
      <c r="AC24" s="8">
        <v>2.92</v>
      </c>
      <c r="AD24" s="8">
        <v>1.1200000000000001</v>
      </c>
      <c r="AE24" s="8">
        <v>0.83</v>
      </c>
      <c r="AF24" s="8">
        <v>0.7</v>
      </c>
      <c r="AG24" s="8">
        <v>0.31</v>
      </c>
      <c r="AI24">
        <f t="shared" si="0"/>
        <v>0.38356164383561647</v>
      </c>
      <c r="AJ24">
        <f t="shared" si="1"/>
        <v>0.10616438356164384</v>
      </c>
      <c r="AV24" t="s">
        <v>1166</v>
      </c>
      <c r="AW24" s="8">
        <v>1.47</v>
      </c>
      <c r="AX24" s="8">
        <v>1.07</v>
      </c>
      <c r="AY24" s="8">
        <v>0.95</v>
      </c>
      <c r="AZ24" s="8">
        <v>0.51</v>
      </c>
      <c r="BA24" s="8">
        <v>0.66</v>
      </c>
      <c r="BC24">
        <f>Supplementary_Fig8!AX24/Supplementary_Fig8!AW24</f>
        <v>0.72789115646258506</v>
      </c>
      <c r="BD24">
        <f>Supplementary_Fig8!BA24/Supplementary_Fig8!AW24</f>
        <v>0.44897959183673475</v>
      </c>
    </row>
    <row r="25" spans="1:56" ht="13.15" x14ac:dyDescent="0.4">
      <c r="S25" t="s">
        <v>87</v>
      </c>
      <c r="V25" t="s">
        <v>84</v>
      </c>
      <c r="AB25" t="s">
        <v>91</v>
      </c>
      <c r="AC25" s="8">
        <v>0.72</v>
      </c>
      <c r="AD25" s="8">
        <v>0.33</v>
      </c>
      <c r="AE25" s="8">
        <v>0.33</v>
      </c>
      <c r="AF25" s="8">
        <v>0.13</v>
      </c>
      <c r="AG25" s="8">
        <v>0.16</v>
      </c>
      <c r="AI25">
        <f t="shared" si="0"/>
        <v>0.45833333333333337</v>
      </c>
      <c r="AJ25">
        <f t="shared" si="1"/>
        <v>0.22222222222222224</v>
      </c>
      <c r="BC25" s="1">
        <f>AVERAGE(BC4:BC24)</f>
        <v>0.79312602453986103</v>
      </c>
      <c r="BD25" s="1">
        <f>AVERAGE(BD4:BD24)</f>
        <v>0.67179059095427962</v>
      </c>
    </row>
    <row r="26" spans="1:56" ht="13.15" x14ac:dyDescent="0.4">
      <c r="M26" s="42" t="s">
        <v>1162</v>
      </c>
      <c r="N26" s="42"/>
      <c r="O26" s="42"/>
      <c r="P26" s="42"/>
      <c r="Q26" s="42"/>
      <c r="S26" t="s">
        <v>88</v>
      </c>
      <c r="T26">
        <v>42.044499999999999</v>
      </c>
      <c r="W26" s="1">
        <f>AVERAGE(W3:W16)</f>
        <v>87.048172727272728</v>
      </c>
      <c r="AB26" t="s">
        <v>92</v>
      </c>
      <c r="AC26" s="8">
        <v>3.34</v>
      </c>
      <c r="AD26" s="8">
        <v>1.86</v>
      </c>
      <c r="AE26" s="8">
        <v>1.27</v>
      </c>
      <c r="AF26" s="8">
        <v>1.33</v>
      </c>
      <c r="AG26" s="8">
        <v>1.01</v>
      </c>
      <c r="AI26">
        <f t="shared" si="0"/>
        <v>0.55688622754491024</v>
      </c>
      <c r="AJ26">
        <f t="shared" si="1"/>
        <v>0.30239520958083832</v>
      </c>
      <c r="BC26" s="1">
        <f>STDEV(BC4:BC24)</f>
        <v>0.47513473254994304</v>
      </c>
      <c r="BD26" s="1">
        <f>STDEV(BD4:BD24)</f>
        <v>0.40547504857248279</v>
      </c>
    </row>
    <row r="27" spans="1:56" ht="14.65" x14ac:dyDescent="0.4">
      <c r="M27" t="s">
        <v>1151</v>
      </c>
      <c r="N27" t="s">
        <v>1152</v>
      </c>
      <c r="O27" t="s">
        <v>1153</v>
      </c>
      <c r="P27" t="s">
        <v>1154</v>
      </c>
      <c r="Q27" t="s">
        <v>1155</v>
      </c>
      <c r="S27" t="s">
        <v>89</v>
      </c>
      <c r="T27">
        <v>67.805499999999995</v>
      </c>
      <c r="W27" s="1">
        <f>STDEV(W3:W16)</f>
        <v>31.872332168389914</v>
      </c>
      <c r="AB27" t="s">
        <v>93</v>
      </c>
      <c r="AC27" s="8">
        <v>2.1</v>
      </c>
      <c r="AD27" s="8">
        <v>0.89</v>
      </c>
      <c r="AE27" s="8">
        <v>0.79</v>
      </c>
      <c r="AF27" s="8">
        <v>0.57999999999999996</v>
      </c>
      <c r="AG27" s="8">
        <v>0.95</v>
      </c>
      <c r="AI27">
        <f t="shared" si="0"/>
        <v>0.4238095238095238</v>
      </c>
      <c r="AJ27">
        <f t="shared" si="1"/>
        <v>0.45238095238095233</v>
      </c>
      <c r="BC27" s="1">
        <f>STDEV(BC5:BC25)/SQRT(21)</f>
        <v>8.0021773490392314E-2</v>
      </c>
      <c r="BD27" s="1">
        <f>STDEV(BD5:BD25)/SQRT(21)</f>
        <v>7.8890589021177043E-2</v>
      </c>
    </row>
    <row r="28" spans="1:56" ht="13.15" x14ac:dyDescent="0.4">
      <c r="M28">
        <f>M19*100/M24</f>
        <v>69.076305220883526</v>
      </c>
      <c r="N28">
        <f>N19*100/N24</f>
        <v>56.64335664335664</v>
      </c>
      <c r="O28">
        <f>O19*100/O24</f>
        <v>83.720930232558146</v>
      </c>
      <c r="P28">
        <f>P19*100/P24</f>
        <v>121.73913043478262</v>
      </c>
      <c r="Q28">
        <f>Q19*100/Q24</f>
        <v>94.871794871794862</v>
      </c>
      <c r="S28" t="s">
        <v>90</v>
      </c>
      <c r="T28">
        <v>107.958</v>
      </c>
      <c r="W28" s="1">
        <f>STDEV(W3:W16)/SQRT(11)</f>
        <v>9.6098697269203512</v>
      </c>
      <c r="AB28" t="s">
        <v>94</v>
      </c>
      <c r="AC28" s="8">
        <v>0.63</v>
      </c>
      <c r="AD28" s="8">
        <v>0.19</v>
      </c>
      <c r="AE28" s="8">
        <v>0.42</v>
      </c>
      <c r="AF28" s="8">
        <v>0.36</v>
      </c>
      <c r="AG28" s="8">
        <v>0.15</v>
      </c>
      <c r="AI28">
        <f t="shared" si="0"/>
        <v>0.30158730158730157</v>
      </c>
      <c r="AJ28">
        <f t="shared" si="1"/>
        <v>0.23809523809523808</v>
      </c>
    </row>
    <row r="29" spans="1:56" x14ac:dyDescent="0.35">
      <c r="S29" t="s">
        <v>91</v>
      </c>
      <c r="T29">
        <v>31.715800000000002</v>
      </c>
      <c r="AB29" t="s">
        <v>95</v>
      </c>
      <c r="AC29" s="8">
        <v>2.5</v>
      </c>
      <c r="AD29" s="8">
        <v>1.32</v>
      </c>
      <c r="AE29" s="8">
        <v>0.68</v>
      </c>
      <c r="AF29" s="8">
        <v>0.51</v>
      </c>
      <c r="AG29" s="8">
        <v>0.36</v>
      </c>
      <c r="AI29">
        <f t="shared" si="0"/>
        <v>0.52800000000000002</v>
      </c>
      <c r="AJ29">
        <f t="shared" si="1"/>
        <v>0.14399999999999999</v>
      </c>
    </row>
    <row r="30" spans="1:56" x14ac:dyDescent="0.35">
      <c r="S30" t="s">
        <v>92</v>
      </c>
      <c r="T30">
        <v>69.508700000000005</v>
      </c>
      <c r="AB30" t="s">
        <v>96</v>
      </c>
      <c r="AC30" s="8">
        <v>2.5099999999999998</v>
      </c>
      <c r="AD30" s="8">
        <v>0.96</v>
      </c>
      <c r="AE30" s="8">
        <v>0.68</v>
      </c>
      <c r="AF30" s="8">
        <v>1.1599999999999999</v>
      </c>
      <c r="AG30" s="8">
        <v>0.61</v>
      </c>
      <c r="AI30">
        <f t="shared" si="0"/>
        <v>0.38247011952191234</v>
      </c>
      <c r="AJ30">
        <f t="shared" si="1"/>
        <v>0.24302788844621515</v>
      </c>
    </row>
    <row r="31" spans="1:56" ht="13.15" x14ac:dyDescent="0.4">
      <c r="A31" s="39">
        <v>110923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S31" t="s">
        <v>93</v>
      </c>
      <c r="T31">
        <v>56.094200000000001</v>
      </c>
      <c r="AB31" t="s">
        <v>97</v>
      </c>
      <c r="AC31" s="8">
        <v>0.77</v>
      </c>
      <c r="AD31" s="8">
        <v>0.75</v>
      </c>
      <c r="AE31" s="8">
        <v>0.51</v>
      </c>
      <c r="AF31" s="8">
        <v>0.78</v>
      </c>
      <c r="AG31" s="8">
        <v>0.11</v>
      </c>
      <c r="AI31">
        <f t="shared" si="0"/>
        <v>0.97402597402597402</v>
      </c>
      <c r="AJ31">
        <f t="shared" si="1"/>
        <v>0.14285714285714285</v>
      </c>
    </row>
    <row r="32" spans="1:56" x14ac:dyDescent="0.35">
      <c r="A32" s="42" t="s">
        <v>1167</v>
      </c>
      <c r="B32" s="42"/>
      <c r="C32" s="42"/>
      <c r="D32" s="42"/>
      <c r="E32" s="42"/>
      <c r="G32" s="42" t="s">
        <v>1143</v>
      </c>
      <c r="H32" s="42"/>
      <c r="I32" s="42"/>
      <c r="J32" s="42"/>
      <c r="K32" s="42"/>
      <c r="M32" s="42" t="s">
        <v>1145</v>
      </c>
      <c r="N32" s="42"/>
      <c r="O32" s="42"/>
      <c r="P32" s="42"/>
      <c r="Q32" s="42"/>
      <c r="S32" t="s">
        <v>94</v>
      </c>
      <c r="T32">
        <v>171.94300000000001</v>
      </c>
      <c r="AB32" t="s">
        <v>98</v>
      </c>
      <c r="AC32" s="8">
        <v>0.76</v>
      </c>
      <c r="AD32" s="8">
        <v>0.76</v>
      </c>
      <c r="AE32" s="8">
        <v>0.53</v>
      </c>
      <c r="AF32" s="8">
        <v>0.78</v>
      </c>
      <c r="AG32" s="8">
        <v>0.13</v>
      </c>
      <c r="AI32">
        <f t="shared" si="0"/>
        <v>1</v>
      </c>
      <c r="AJ32">
        <f t="shared" si="1"/>
        <v>0.17105263157894737</v>
      </c>
    </row>
    <row r="33" spans="1:36" ht="14.25" x14ac:dyDescent="0.35">
      <c r="A33" t="s">
        <v>1151</v>
      </c>
      <c r="B33" t="s">
        <v>1152</v>
      </c>
      <c r="C33" t="s">
        <v>1153</v>
      </c>
      <c r="D33" t="s">
        <v>1154</v>
      </c>
      <c r="E33" t="s">
        <v>1155</v>
      </c>
      <c r="G33" t="s">
        <v>1151</v>
      </c>
      <c r="H33" t="s">
        <v>1152</v>
      </c>
      <c r="I33" t="s">
        <v>1153</v>
      </c>
      <c r="J33" t="s">
        <v>1154</v>
      </c>
      <c r="K33" t="s">
        <v>1155</v>
      </c>
      <c r="M33" t="s">
        <v>1151</v>
      </c>
      <c r="N33" t="s">
        <v>1152</v>
      </c>
      <c r="O33" t="s">
        <v>1153</v>
      </c>
      <c r="P33" t="s">
        <v>1154</v>
      </c>
      <c r="Q33" t="s">
        <v>1155</v>
      </c>
      <c r="S33" t="s">
        <v>95</v>
      </c>
      <c r="T33">
        <v>85.942499999999995</v>
      </c>
      <c r="AB33" t="s">
        <v>99</v>
      </c>
      <c r="AC33" s="8">
        <v>2.21</v>
      </c>
      <c r="AD33" s="8">
        <v>0.64</v>
      </c>
      <c r="AE33" s="8">
        <v>0.1</v>
      </c>
      <c r="AF33" s="8">
        <v>0.17</v>
      </c>
      <c r="AG33" s="8">
        <v>0.08</v>
      </c>
      <c r="AI33">
        <f t="shared" si="0"/>
        <v>0.2895927601809955</v>
      </c>
      <c r="AJ33">
        <f t="shared" si="1"/>
        <v>3.6199095022624438E-2</v>
      </c>
    </row>
    <row r="34" spans="1:36" x14ac:dyDescent="0.35">
      <c r="A34">
        <v>8.5</v>
      </c>
      <c r="B34">
        <v>1.48</v>
      </c>
      <c r="C34">
        <v>1.36</v>
      </c>
      <c r="D34">
        <v>0.83</v>
      </c>
      <c r="E34">
        <v>0.57999999999999996</v>
      </c>
      <c r="G34">
        <v>1.28</v>
      </c>
      <c r="H34">
        <v>0.75</v>
      </c>
      <c r="I34">
        <v>0.67</v>
      </c>
      <c r="J34">
        <v>0.26</v>
      </c>
      <c r="K34">
        <v>0.107</v>
      </c>
      <c r="M34">
        <v>5.17</v>
      </c>
      <c r="N34">
        <v>2.13</v>
      </c>
      <c r="O34">
        <v>1.19</v>
      </c>
      <c r="P34">
        <v>1.04</v>
      </c>
      <c r="Q34">
        <v>0.85</v>
      </c>
      <c r="S34" t="s">
        <v>96</v>
      </c>
      <c r="T34">
        <v>84.437299999999993</v>
      </c>
      <c r="AB34" t="s">
        <v>100</v>
      </c>
      <c r="AC34" s="8">
        <v>3.36</v>
      </c>
      <c r="AD34" s="8">
        <v>1.07</v>
      </c>
      <c r="AE34" s="8">
        <v>0.69</v>
      </c>
      <c r="AF34" s="8">
        <v>1.1599999999999999</v>
      </c>
      <c r="AG34" s="8">
        <v>0.64</v>
      </c>
      <c r="AI34">
        <f t="shared" si="0"/>
        <v>0.31845238095238099</v>
      </c>
      <c r="AJ34">
        <f t="shared" si="1"/>
        <v>0.19047619047619049</v>
      </c>
    </row>
    <row r="35" spans="1:36" x14ac:dyDescent="0.35">
      <c r="M35" s="42" t="s">
        <v>1168</v>
      </c>
      <c r="N35" s="42"/>
      <c r="O35" s="42"/>
      <c r="P35" s="42"/>
      <c r="Q35" s="42"/>
      <c r="S35" t="s">
        <v>97</v>
      </c>
      <c r="T35">
        <v>123.673</v>
      </c>
      <c r="AB35" t="s">
        <v>101</v>
      </c>
      <c r="AC35" s="8">
        <v>3.99</v>
      </c>
      <c r="AD35" s="8">
        <v>2</v>
      </c>
      <c r="AE35" s="8">
        <v>1.54</v>
      </c>
      <c r="AF35" s="8">
        <v>0.83</v>
      </c>
      <c r="AG35" s="8">
        <v>1.1100000000000001</v>
      </c>
      <c r="AI35">
        <f t="shared" si="0"/>
        <v>0.50125313283208017</v>
      </c>
      <c r="AJ35">
        <f t="shared" si="1"/>
        <v>0.2781954887218045</v>
      </c>
    </row>
    <row r="36" spans="1:36" ht="14.25" x14ac:dyDescent="0.35">
      <c r="M36" t="s">
        <v>1151</v>
      </c>
      <c r="N36" t="s">
        <v>1152</v>
      </c>
      <c r="O36" t="s">
        <v>1153</v>
      </c>
      <c r="P36" t="s">
        <v>1154</v>
      </c>
      <c r="Q36" t="s">
        <v>1155</v>
      </c>
      <c r="S36" t="s">
        <v>98</v>
      </c>
      <c r="T36">
        <v>28.4376</v>
      </c>
      <c r="AB36" t="s">
        <v>102</v>
      </c>
      <c r="AC36" s="8">
        <v>1.73</v>
      </c>
      <c r="AD36" s="8">
        <v>1.1399999999999999</v>
      </c>
      <c r="AE36" s="8">
        <v>0.32</v>
      </c>
      <c r="AF36" s="8">
        <v>0.28999999999999998</v>
      </c>
      <c r="AG36" s="8">
        <v>0.59</v>
      </c>
      <c r="AI36">
        <f t="shared" ref="AI36:AI67" si="4">AD36/AC36</f>
        <v>0.65895953757225434</v>
      </c>
      <c r="AJ36">
        <f t="shared" ref="AJ36:AJ67" si="5">AG36/AC36</f>
        <v>0.34104046242774566</v>
      </c>
    </row>
    <row r="37" spans="1:36" x14ac:dyDescent="0.35">
      <c r="M37">
        <v>7.19</v>
      </c>
      <c r="N37">
        <v>2.13</v>
      </c>
      <c r="O37">
        <v>1.52</v>
      </c>
      <c r="P37">
        <v>1.26</v>
      </c>
      <c r="Q37">
        <v>0.88</v>
      </c>
      <c r="S37" t="s">
        <v>99</v>
      </c>
      <c r="T37">
        <v>153.43600000000001</v>
      </c>
      <c r="AB37" t="s">
        <v>103</v>
      </c>
      <c r="AC37" s="8">
        <v>1.92</v>
      </c>
      <c r="AD37" s="8">
        <v>1.2</v>
      </c>
      <c r="AE37" s="8">
        <v>0.61</v>
      </c>
      <c r="AF37" s="8">
        <v>0.74</v>
      </c>
      <c r="AG37" s="8">
        <v>0.74</v>
      </c>
      <c r="AI37">
        <f t="shared" si="4"/>
        <v>0.625</v>
      </c>
      <c r="AJ37">
        <f t="shared" si="5"/>
        <v>0.38541666666666669</v>
      </c>
    </row>
    <row r="38" spans="1:36" ht="13.15" x14ac:dyDescent="0.4">
      <c r="M38" s="1">
        <f>AVERAGE(M37,M34)</f>
        <v>6.18</v>
      </c>
      <c r="N38" s="1">
        <f>AVERAGE(N37,N34)</f>
        <v>2.13</v>
      </c>
      <c r="O38" s="1">
        <f>AVERAGE(O37,O34)</f>
        <v>1.355</v>
      </c>
      <c r="P38" s="1">
        <f>AVERAGE(P37,P34)</f>
        <v>1.1499999999999999</v>
      </c>
      <c r="Q38" s="1">
        <f>AVERAGE(Q37,Q34)</f>
        <v>0.86499999999999999</v>
      </c>
      <c r="S38" t="s">
        <v>100</v>
      </c>
      <c r="T38">
        <v>142.35400000000001</v>
      </c>
      <c r="AB38" t="s">
        <v>104</v>
      </c>
      <c r="AC38" s="8">
        <v>1.42</v>
      </c>
      <c r="AD38" s="8">
        <v>0.61</v>
      </c>
      <c r="AE38" s="8">
        <v>0.24</v>
      </c>
      <c r="AF38" s="8">
        <v>0.25</v>
      </c>
      <c r="AG38" s="8">
        <v>0.24</v>
      </c>
      <c r="AI38">
        <f t="shared" si="4"/>
        <v>0.42957746478873243</v>
      </c>
      <c r="AJ38">
        <f t="shared" si="5"/>
        <v>0.16901408450704225</v>
      </c>
    </row>
    <row r="39" spans="1:36" x14ac:dyDescent="0.35">
      <c r="S39" t="s">
        <v>101</v>
      </c>
      <c r="T39">
        <v>100.946</v>
      </c>
      <c r="AB39" t="s">
        <v>105</v>
      </c>
      <c r="AC39" s="8">
        <v>2.0699999999999998</v>
      </c>
      <c r="AD39" s="8">
        <v>1.17</v>
      </c>
      <c r="AE39" s="8">
        <v>0.81</v>
      </c>
      <c r="AF39" s="8">
        <v>0.71</v>
      </c>
      <c r="AG39" s="8">
        <v>0.84</v>
      </c>
      <c r="AI39">
        <f t="shared" si="4"/>
        <v>0.56521739130434778</v>
      </c>
      <c r="AJ39">
        <f t="shared" si="5"/>
        <v>0.40579710144927539</v>
      </c>
    </row>
    <row r="40" spans="1:36" x14ac:dyDescent="0.35">
      <c r="S40" t="s">
        <v>102</v>
      </c>
      <c r="T40">
        <v>59.190300000000001</v>
      </c>
      <c r="AB40" t="s">
        <v>106</v>
      </c>
      <c r="AC40" s="8">
        <v>1.9</v>
      </c>
      <c r="AD40" s="8">
        <v>0.8</v>
      </c>
      <c r="AE40" s="8">
        <v>0.76</v>
      </c>
      <c r="AF40" s="8">
        <v>0.77</v>
      </c>
      <c r="AG40" s="8">
        <v>0.83</v>
      </c>
      <c r="AI40">
        <f t="shared" si="4"/>
        <v>0.4210526315789474</v>
      </c>
      <c r="AJ40">
        <f t="shared" si="5"/>
        <v>0.43684210526315792</v>
      </c>
    </row>
    <row r="41" spans="1:36" x14ac:dyDescent="0.35">
      <c r="M41" s="42" t="s">
        <v>1161</v>
      </c>
      <c r="N41" s="42"/>
      <c r="O41" s="42"/>
      <c r="P41" s="42"/>
      <c r="Q41" s="42"/>
      <c r="S41" t="s">
        <v>103</v>
      </c>
      <c r="T41">
        <v>123.863</v>
      </c>
      <c r="AB41" t="s">
        <v>108</v>
      </c>
      <c r="AC41" s="8">
        <v>3.92</v>
      </c>
      <c r="AD41" s="8">
        <v>1.49</v>
      </c>
      <c r="AE41" s="8">
        <v>1.19</v>
      </c>
      <c r="AF41" s="8">
        <v>1.26</v>
      </c>
      <c r="AG41" s="8">
        <v>0.59</v>
      </c>
      <c r="AI41">
        <f t="shared" si="4"/>
        <v>0.38010204081632654</v>
      </c>
      <c r="AJ41">
        <f t="shared" si="5"/>
        <v>0.15051020408163265</v>
      </c>
    </row>
    <row r="42" spans="1:36" ht="14.25" x14ac:dyDescent="0.35">
      <c r="M42" t="s">
        <v>1151</v>
      </c>
      <c r="N42" t="s">
        <v>1152</v>
      </c>
      <c r="O42" t="s">
        <v>1153</v>
      </c>
      <c r="P42" t="s">
        <v>1154</v>
      </c>
      <c r="Q42" t="s">
        <v>1155</v>
      </c>
      <c r="S42" t="s">
        <v>104</v>
      </c>
      <c r="T42">
        <v>173.41800000000001</v>
      </c>
      <c r="AB42" t="s">
        <v>109</v>
      </c>
      <c r="AC42" s="8">
        <v>1.04</v>
      </c>
      <c r="AD42" s="8">
        <v>0.18</v>
      </c>
      <c r="AE42" s="8">
        <v>0.04</v>
      </c>
      <c r="AF42" s="8">
        <v>0.11</v>
      </c>
      <c r="AG42" s="8">
        <v>0.03</v>
      </c>
      <c r="AI42">
        <f t="shared" si="4"/>
        <v>0.17307692307692307</v>
      </c>
      <c r="AJ42">
        <f t="shared" si="5"/>
        <v>2.8846153846153844E-2</v>
      </c>
    </row>
    <row r="43" spans="1:36" x14ac:dyDescent="0.35">
      <c r="M43">
        <f>SUM(G34,A34)</f>
        <v>9.7799999999999994</v>
      </c>
      <c r="N43">
        <f>SUM(H34,B34)</f>
        <v>2.23</v>
      </c>
      <c r="O43">
        <f>SUM(I34,C34)</f>
        <v>2.0300000000000002</v>
      </c>
      <c r="P43">
        <f>SUM(J34,D34)</f>
        <v>1.0899999999999999</v>
      </c>
      <c r="Q43">
        <f>SUM(K34,E34)</f>
        <v>0.68699999999999994</v>
      </c>
      <c r="S43" t="s">
        <v>105</v>
      </c>
      <c r="T43">
        <v>93.472899999999996</v>
      </c>
      <c r="AB43" t="s">
        <v>110</v>
      </c>
      <c r="AC43" s="8">
        <v>3.5</v>
      </c>
      <c r="AD43" s="8">
        <v>0.77</v>
      </c>
      <c r="AE43" s="8">
        <v>0.49</v>
      </c>
      <c r="AF43" s="8">
        <v>0.48</v>
      </c>
      <c r="AG43" s="8">
        <v>0.63</v>
      </c>
      <c r="AI43">
        <f t="shared" si="4"/>
        <v>0.22</v>
      </c>
      <c r="AJ43">
        <f t="shared" si="5"/>
        <v>0.18</v>
      </c>
    </row>
    <row r="44" spans="1:36" x14ac:dyDescent="0.35">
      <c r="S44" t="s">
        <v>106</v>
      </c>
      <c r="T44">
        <v>46.0989</v>
      </c>
      <c r="AB44" t="s">
        <v>111</v>
      </c>
      <c r="AC44" s="8">
        <v>0.68</v>
      </c>
      <c r="AD44" s="8">
        <v>0.32</v>
      </c>
      <c r="AE44" s="8">
        <v>0.28000000000000003</v>
      </c>
      <c r="AF44" s="8">
        <v>0.31</v>
      </c>
      <c r="AG44" s="8">
        <v>0.25</v>
      </c>
      <c r="AI44">
        <f t="shared" si="4"/>
        <v>0.47058823529411764</v>
      </c>
      <c r="AJ44">
        <f t="shared" si="5"/>
        <v>0.36764705882352938</v>
      </c>
    </row>
    <row r="45" spans="1:36" x14ac:dyDescent="0.35">
      <c r="M45" s="42" t="s">
        <v>1162</v>
      </c>
      <c r="N45" s="42"/>
      <c r="O45" s="42"/>
      <c r="P45" s="42"/>
      <c r="Q45" s="42"/>
      <c r="S45" t="s">
        <v>107</v>
      </c>
      <c r="AB45" t="s">
        <v>112</v>
      </c>
      <c r="AC45" s="8">
        <v>2.56</v>
      </c>
      <c r="AD45" s="8">
        <v>0.86</v>
      </c>
      <c r="AE45" s="8">
        <v>0.28000000000000003</v>
      </c>
      <c r="AF45" s="8">
        <v>0.45</v>
      </c>
      <c r="AG45" s="8">
        <v>0.2</v>
      </c>
      <c r="AI45">
        <f t="shared" si="4"/>
        <v>0.3359375</v>
      </c>
      <c r="AJ45">
        <f t="shared" si="5"/>
        <v>7.8125E-2</v>
      </c>
    </row>
    <row r="46" spans="1:36" ht="14.25" x14ac:dyDescent="0.35">
      <c r="M46" t="s">
        <v>1151</v>
      </c>
      <c r="N46" t="s">
        <v>1152</v>
      </c>
      <c r="O46" t="s">
        <v>1153</v>
      </c>
      <c r="P46" t="s">
        <v>1154</v>
      </c>
      <c r="Q46" t="s">
        <v>1155</v>
      </c>
      <c r="S46" t="s">
        <v>108</v>
      </c>
      <c r="T46">
        <v>71.872600000000006</v>
      </c>
      <c r="AB46" t="s">
        <v>113</v>
      </c>
      <c r="AC46" s="8">
        <v>1.57</v>
      </c>
      <c r="AD46" s="8">
        <v>0.83</v>
      </c>
      <c r="AE46" s="8">
        <v>1.39</v>
      </c>
      <c r="AF46" s="8">
        <v>0.77</v>
      </c>
      <c r="AG46" s="8">
        <v>0.77</v>
      </c>
      <c r="AI46">
        <f t="shared" si="4"/>
        <v>0.5286624203821656</v>
      </c>
      <c r="AJ46">
        <f t="shared" si="5"/>
        <v>0.49044585987261147</v>
      </c>
    </row>
    <row r="47" spans="1:36" x14ac:dyDescent="0.35">
      <c r="M47">
        <f>M38*100/M43</f>
        <v>63.190184049079761</v>
      </c>
      <c r="N47">
        <f>N38*100/N43</f>
        <v>95.515695067264573</v>
      </c>
      <c r="O47">
        <f>O38*100/O43</f>
        <v>66.748768472906391</v>
      </c>
      <c r="P47">
        <f>P38*100/P43</f>
        <v>105.50458715596331</v>
      </c>
      <c r="Q47">
        <f>Q38*100/Q43</f>
        <v>125.90975254730714</v>
      </c>
      <c r="S47" t="s">
        <v>109</v>
      </c>
      <c r="T47">
        <v>70.181299999999993</v>
      </c>
      <c r="AB47" t="s">
        <v>114</v>
      </c>
      <c r="AC47" s="8">
        <v>0.44</v>
      </c>
      <c r="AD47" s="8">
        <v>0.16</v>
      </c>
      <c r="AE47" s="8">
        <v>0.12</v>
      </c>
      <c r="AF47" s="8">
        <v>0.15</v>
      </c>
      <c r="AG47" s="8">
        <v>0.12</v>
      </c>
      <c r="AI47">
        <f t="shared" si="4"/>
        <v>0.36363636363636365</v>
      </c>
      <c r="AJ47">
        <f t="shared" si="5"/>
        <v>0.27272727272727271</v>
      </c>
    </row>
    <row r="48" spans="1:36" x14ac:dyDescent="0.35">
      <c r="S48" t="s">
        <v>110</v>
      </c>
      <c r="T48">
        <v>98.606099999999998</v>
      </c>
      <c r="AB48" t="s">
        <v>115</v>
      </c>
      <c r="AC48" s="8">
        <v>0.34</v>
      </c>
      <c r="AD48" s="8">
        <v>0.69</v>
      </c>
      <c r="AE48" s="8">
        <v>0.79</v>
      </c>
      <c r="AF48" s="8">
        <v>0.59</v>
      </c>
      <c r="AG48" s="8">
        <v>0.06</v>
      </c>
      <c r="AI48">
        <f t="shared" si="4"/>
        <v>2.0294117647058822</v>
      </c>
      <c r="AJ48">
        <f t="shared" si="5"/>
        <v>0.1764705882352941</v>
      </c>
    </row>
    <row r="49" spans="1:36" x14ac:dyDescent="0.35">
      <c r="S49" t="s">
        <v>111</v>
      </c>
      <c r="T49">
        <v>145.148</v>
      </c>
      <c r="AB49" t="s">
        <v>116</v>
      </c>
      <c r="AC49" s="8">
        <v>0.74</v>
      </c>
      <c r="AD49" s="8">
        <v>0.73</v>
      </c>
      <c r="AE49" s="8">
        <v>0.55000000000000004</v>
      </c>
      <c r="AF49" s="8">
        <v>0.35</v>
      </c>
      <c r="AG49" s="8">
        <v>0.53</v>
      </c>
      <c r="AI49">
        <f t="shared" si="4"/>
        <v>0.98648648648648651</v>
      </c>
      <c r="AJ49">
        <f t="shared" si="5"/>
        <v>0.71621621621621623</v>
      </c>
    </row>
    <row r="50" spans="1:36" x14ac:dyDescent="0.35">
      <c r="S50" t="s">
        <v>112</v>
      </c>
      <c r="T50">
        <v>69.115300000000005</v>
      </c>
      <c r="AB50" t="s">
        <v>117</v>
      </c>
      <c r="AC50" s="8">
        <v>1.08</v>
      </c>
      <c r="AD50" s="8">
        <v>0.48</v>
      </c>
      <c r="AE50" s="8">
        <v>0.3</v>
      </c>
      <c r="AF50" s="8">
        <v>0.17</v>
      </c>
      <c r="AG50" s="8">
        <v>0.35</v>
      </c>
      <c r="AI50">
        <f t="shared" si="4"/>
        <v>0.44444444444444442</v>
      </c>
      <c r="AJ50">
        <f t="shared" si="5"/>
        <v>0.32407407407407401</v>
      </c>
    </row>
    <row r="51" spans="1:36" ht="13.15" x14ac:dyDescent="0.4">
      <c r="A51" s="39">
        <v>140923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S51" t="s">
        <v>113</v>
      </c>
      <c r="T51">
        <v>40.392400000000002</v>
      </c>
      <c r="AB51" t="s">
        <v>118</v>
      </c>
      <c r="AC51" s="8">
        <v>2.14</v>
      </c>
      <c r="AD51" s="8">
        <v>1.1200000000000001</v>
      </c>
      <c r="AE51" s="8">
        <v>0.38</v>
      </c>
      <c r="AF51" s="8">
        <v>0.3</v>
      </c>
      <c r="AG51" s="8">
        <v>0.15</v>
      </c>
      <c r="AI51">
        <f t="shared" si="4"/>
        <v>0.52336448598130847</v>
      </c>
      <c r="AJ51">
        <f t="shared" si="5"/>
        <v>7.0093457943925228E-2</v>
      </c>
    </row>
    <row r="52" spans="1:36" x14ac:dyDescent="0.35">
      <c r="A52" s="42" t="s">
        <v>1169</v>
      </c>
      <c r="B52" s="42"/>
      <c r="C52" s="42"/>
      <c r="D52" s="42"/>
      <c r="E52" s="42"/>
      <c r="G52" s="42" t="s">
        <v>1144</v>
      </c>
      <c r="H52" s="42"/>
      <c r="I52" s="42"/>
      <c r="J52" s="42"/>
      <c r="K52" s="42"/>
      <c r="M52" s="42" t="s">
        <v>1145</v>
      </c>
      <c r="N52" s="42"/>
      <c r="O52" s="42"/>
      <c r="P52" s="42"/>
      <c r="Q52" s="42"/>
      <c r="S52" t="s">
        <v>114</v>
      </c>
      <c r="T52">
        <v>97.441999999999993</v>
      </c>
      <c r="AB52" t="s">
        <v>119</v>
      </c>
      <c r="AC52" s="8">
        <v>0.77</v>
      </c>
      <c r="AD52" s="8">
        <v>0.2</v>
      </c>
      <c r="AE52" s="8">
        <v>0.11</v>
      </c>
      <c r="AF52" s="8">
        <v>0.15</v>
      </c>
      <c r="AG52" s="8">
        <v>0.1</v>
      </c>
      <c r="AI52">
        <f t="shared" si="4"/>
        <v>0.25974025974025977</v>
      </c>
      <c r="AJ52">
        <f t="shared" si="5"/>
        <v>0.12987012987012989</v>
      </c>
    </row>
    <row r="53" spans="1:36" ht="14.25" x14ac:dyDescent="0.35">
      <c r="A53" t="s">
        <v>1151</v>
      </c>
      <c r="B53" t="s">
        <v>1152</v>
      </c>
      <c r="C53" t="s">
        <v>1153</v>
      </c>
      <c r="D53" t="s">
        <v>1154</v>
      </c>
      <c r="E53" t="s">
        <v>1155</v>
      </c>
      <c r="G53" t="s">
        <v>1151</v>
      </c>
      <c r="H53" t="s">
        <v>1152</v>
      </c>
      <c r="I53" t="s">
        <v>1153</v>
      </c>
      <c r="J53" t="s">
        <v>1154</v>
      </c>
      <c r="K53" t="s">
        <v>1155</v>
      </c>
      <c r="M53" t="s">
        <v>1151</v>
      </c>
      <c r="N53" t="s">
        <v>1152</v>
      </c>
      <c r="O53" t="s">
        <v>1153</v>
      </c>
      <c r="P53" t="s">
        <v>1154</v>
      </c>
      <c r="Q53" t="s">
        <v>1155</v>
      </c>
      <c r="S53" t="s">
        <v>115</v>
      </c>
      <c r="T53">
        <v>33.441600000000001</v>
      </c>
      <c r="AB53" t="s">
        <v>120</v>
      </c>
      <c r="AC53" s="8">
        <v>3.47</v>
      </c>
      <c r="AD53" s="8">
        <v>0.19</v>
      </c>
      <c r="AE53" s="8">
        <v>0.1</v>
      </c>
      <c r="AF53" s="8">
        <v>0.05</v>
      </c>
      <c r="AG53" s="8">
        <v>1E-3</v>
      </c>
      <c r="AI53">
        <f t="shared" si="4"/>
        <v>5.4755043227665702E-2</v>
      </c>
      <c r="AJ53">
        <f t="shared" si="5"/>
        <v>2.8818443804034583E-4</v>
      </c>
    </row>
    <row r="54" spans="1:36" x14ac:dyDescent="0.35">
      <c r="A54">
        <v>2.14</v>
      </c>
      <c r="B54">
        <v>1.28</v>
      </c>
      <c r="C54">
        <v>0.6</v>
      </c>
      <c r="D54">
        <v>0.56999999999999995</v>
      </c>
      <c r="E54">
        <v>0.63</v>
      </c>
      <c r="G54">
        <v>1.1200000000000001</v>
      </c>
      <c r="H54">
        <v>0.66</v>
      </c>
      <c r="I54">
        <v>0.38</v>
      </c>
      <c r="J54">
        <v>0.22</v>
      </c>
      <c r="K54">
        <v>0.52</v>
      </c>
      <c r="M54">
        <v>3.16</v>
      </c>
      <c r="N54">
        <v>1.86</v>
      </c>
      <c r="O54">
        <v>1.24</v>
      </c>
      <c r="P54">
        <v>1.1100000000000001</v>
      </c>
      <c r="Q54">
        <v>1.41</v>
      </c>
      <c r="S54" t="s">
        <v>116</v>
      </c>
      <c r="T54">
        <v>45.100999999999999</v>
      </c>
      <c r="AB54" t="s">
        <v>121</v>
      </c>
      <c r="AC54" s="8">
        <v>1.23</v>
      </c>
      <c r="AD54" s="8">
        <v>0.54</v>
      </c>
      <c r="AE54" s="8">
        <v>0.38</v>
      </c>
      <c r="AF54" s="8">
        <v>0.5</v>
      </c>
      <c r="AG54" s="8">
        <v>0.27</v>
      </c>
      <c r="AI54">
        <f t="shared" si="4"/>
        <v>0.4390243902439025</v>
      </c>
      <c r="AJ54">
        <f t="shared" si="5"/>
        <v>0.21951219512195125</v>
      </c>
    </row>
    <row r="55" spans="1:36" x14ac:dyDescent="0.35">
      <c r="S55" t="s">
        <v>117</v>
      </c>
      <c r="T55">
        <v>77.837699999999998</v>
      </c>
      <c r="AB55" t="s">
        <v>122</v>
      </c>
      <c r="AC55" s="8">
        <v>0.49</v>
      </c>
      <c r="AD55" s="8">
        <v>0.14000000000000001</v>
      </c>
      <c r="AE55" s="8">
        <v>0.15</v>
      </c>
      <c r="AF55" s="8">
        <v>0.08</v>
      </c>
      <c r="AG55" s="8">
        <v>0.13</v>
      </c>
      <c r="AI55">
        <f t="shared" si="4"/>
        <v>0.28571428571428575</v>
      </c>
      <c r="AJ55">
        <f t="shared" si="5"/>
        <v>0.26530612244897961</v>
      </c>
    </row>
    <row r="56" spans="1:36" x14ac:dyDescent="0.35">
      <c r="S56" t="s">
        <v>118</v>
      </c>
      <c r="T56">
        <v>122.922</v>
      </c>
      <c r="AB56" t="s">
        <v>123</v>
      </c>
      <c r="AC56" s="8">
        <v>0.51</v>
      </c>
      <c r="AD56" s="8">
        <v>0.9</v>
      </c>
      <c r="AE56" s="8">
        <v>0.4</v>
      </c>
      <c r="AF56" s="8">
        <v>0.46</v>
      </c>
      <c r="AG56" s="8">
        <v>0.36</v>
      </c>
      <c r="AI56">
        <f t="shared" si="4"/>
        <v>1.7647058823529411</v>
      </c>
      <c r="AJ56">
        <f t="shared" si="5"/>
        <v>0.70588235294117641</v>
      </c>
    </row>
    <row r="57" spans="1:36" x14ac:dyDescent="0.35">
      <c r="M57" s="42" t="s">
        <v>1161</v>
      </c>
      <c r="N57" s="42"/>
      <c r="O57" s="42"/>
      <c r="P57" s="42"/>
      <c r="Q57" s="42"/>
      <c r="S57" t="s">
        <v>119</v>
      </c>
      <c r="T57">
        <v>97.817800000000005</v>
      </c>
      <c r="AB57" t="s">
        <v>124</v>
      </c>
      <c r="AC57" s="8">
        <v>1.63</v>
      </c>
      <c r="AD57" s="8">
        <v>1.87</v>
      </c>
      <c r="AE57" s="8">
        <v>1.18</v>
      </c>
      <c r="AF57" s="8">
        <v>0.35</v>
      </c>
      <c r="AG57" s="8">
        <v>0.91</v>
      </c>
      <c r="AI57">
        <f t="shared" si="4"/>
        <v>1.147239263803681</v>
      </c>
      <c r="AJ57">
        <f t="shared" si="5"/>
        <v>0.55828220858895716</v>
      </c>
    </row>
    <row r="58" spans="1:36" ht="14.25" x14ac:dyDescent="0.35">
      <c r="M58" t="s">
        <v>1151</v>
      </c>
      <c r="N58" t="s">
        <v>1152</v>
      </c>
      <c r="O58" t="s">
        <v>1153</v>
      </c>
      <c r="P58" t="s">
        <v>1154</v>
      </c>
      <c r="Q58" t="s">
        <v>1155</v>
      </c>
      <c r="S58" t="s">
        <v>120</v>
      </c>
      <c r="T58">
        <v>122.73399999999999</v>
      </c>
      <c r="AB58" t="s">
        <v>125</v>
      </c>
      <c r="AC58" s="8">
        <v>2.74</v>
      </c>
      <c r="AD58" s="8">
        <v>0.75</v>
      </c>
      <c r="AE58" s="8">
        <v>0.55000000000000004</v>
      </c>
      <c r="AF58" s="8">
        <v>0.42</v>
      </c>
      <c r="AG58" s="8">
        <v>0.39</v>
      </c>
      <c r="AI58">
        <f t="shared" si="4"/>
        <v>0.27372262773722628</v>
      </c>
      <c r="AJ58">
        <f t="shared" si="5"/>
        <v>0.14233576642335766</v>
      </c>
    </row>
    <row r="59" spans="1:36" x14ac:dyDescent="0.35">
      <c r="M59">
        <f>SUM(G54,A54)</f>
        <v>3.2600000000000002</v>
      </c>
      <c r="N59">
        <f>SUM(H54,B54)</f>
        <v>1.94</v>
      </c>
      <c r="O59">
        <f>SUM(I54,C54)</f>
        <v>0.98</v>
      </c>
      <c r="P59">
        <f>SUM(J54,D54)</f>
        <v>0.78999999999999992</v>
      </c>
      <c r="Q59">
        <f>SUM(K54,E54)</f>
        <v>1.1499999999999999</v>
      </c>
      <c r="S59" t="s">
        <v>121</v>
      </c>
      <c r="T59">
        <v>77.191800000000001</v>
      </c>
      <c r="AB59" t="s">
        <v>126</v>
      </c>
      <c r="AC59" s="8">
        <v>5.09</v>
      </c>
      <c r="AD59" s="8">
        <v>1.32</v>
      </c>
      <c r="AE59" s="8">
        <v>0.86</v>
      </c>
      <c r="AF59" s="8">
        <v>1.24</v>
      </c>
      <c r="AG59" s="8">
        <v>1.03</v>
      </c>
      <c r="AI59">
        <f t="shared" si="4"/>
        <v>0.2593320235756385</v>
      </c>
      <c r="AJ59">
        <f t="shared" si="5"/>
        <v>0.20235756385068762</v>
      </c>
    </row>
    <row r="60" spans="1:36" x14ac:dyDescent="0.35">
      <c r="S60" t="s">
        <v>122</v>
      </c>
      <c r="T60">
        <v>12.395</v>
      </c>
      <c r="AB60" t="s">
        <v>127</v>
      </c>
      <c r="AC60" s="8">
        <v>8.5</v>
      </c>
      <c r="AD60" s="8">
        <v>1.48</v>
      </c>
      <c r="AE60" s="8">
        <v>1.36</v>
      </c>
      <c r="AF60" s="8">
        <v>0.83</v>
      </c>
      <c r="AG60" s="8">
        <v>0.57999999999999996</v>
      </c>
      <c r="AI60">
        <f t="shared" si="4"/>
        <v>0.17411764705882352</v>
      </c>
      <c r="AJ60">
        <f t="shared" si="5"/>
        <v>6.8235294117647061E-2</v>
      </c>
    </row>
    <row r="61" spans="1:36" x14ac:dyDescent="0.35">
      <c r="M61" s="42" t="s">
        <v>1162</v>
      </c>
      <c r="N61" s="42"/>
      <c r="O61" s="42"/>
      <c r="P61" s="42"/>
      <c r="Q61" s="42"/>
      <c r="S61" t="s">
        <v>123</v>
      </c>
      <c r="T61">
        <v>23.9971</v>
      </c>
      <c r="AB61" t="s">
        <v>524</v>
      </c>
      <c r="AC61" s="8">
        <v>1.28</v>
      </c>
      <c r="AD61" s="8">
        <v>0.75</v>
      </c>
      <c r="AE61" s="8">
        <v>0.67</v>
      </c>
      <c r="AF61" s="8">
        <v>0.26</v>
      </c>
      <c r="AG61" s="8">
        <v>0.107</v>
      </c>
      <c r="AI61">
        <f t="shared" si="4"/>
        <v>0.5859375</v>
      </c>
      <c r="AJ61">
        <f t="shared" si="5"/>
        <v>8.3593749999999994E-2</v>
      </c>
    </row>
    <row r="62" spans="1:36" ht="14.25" x14ac:dyDescent="0.35">
      <c r="M62" t="s">
        <v>1151</v>
      </c>
      <c r="N62" t="s">
        <v>1152</v>
      </c>
      <c r="O62" t="s">
        <v>1153</v>
      </c>
      <c r="P62" t="s">
        <v>1154</v>
      </c>
      <c r="Q62" t="s">
        <v>1155</v>
      </c>
      <c r="S62" t="s">
        <v>124</v>
      </c>
      <c r="T62">
        <v>26.8261</v>
      </c>
      <c r="AB62" t="s">
        <v>528</v>
      </c>
      <c r="AC62" s="8">
        <v>2.37</v>
      </c>
      <c r="AD62" s="8">
        <v>1.05</v>
      </c>
      <c r="AE62" s="8">
        <v>0.77</v>
      </c>
      <c r="AF62" s="8">
        <v>0.62</v>
      </c>
      <c r="AG62" s="8">
        <v>0.49</v>
      </c>
      <c r="AI62">
        <f t="shared" si="4"/>
        <v>0.44303797468354428</v>
      </c>
      <c r="AJ62">
        <f t="shared" si="5"/>
        <v>0.20675105485232068</v>
      </c>
    </row>
    <row r="63" spans="1:36" x14ac:dyDescent="0.35">
      <c r="M63">
        <f>M54*100/M59</f>
        <v>96.932515337423311</v>
      </c>
      <c r="N63">
        <f>N54*100/N59</f>
        <v>95.876288659793815</v>
      </c>
      <c r="O63">
        <f>O54*100/O59</f>
        <v>126.53061224489797</v>
      </c>
      <c r="P63">
        <f>P54*100/P59</f>
        <v>140.5063291139241</v>
      </c>
      <c r="Q63">
        <f>Q54*100/Q59</f>
        <v>122.60869565217392</v>
      </c>
      <c r="S63" t="s">
        <v>125</v>
      </c>
      <c r="T63">
        <v>81.580100000000002</v>
      </c>
      <c r="AB63" t="s">
        <v>532</v>
      </c>
      <c r="AC63" s="8">
        <v>1.1299999999999999</v>
      </c>
      <c r="AD63" s="8">
        <v>1.08</v>
      </c>
      <c r="AE63" s="8">
        <v>0.67</v>
      </c>
      <c r="AF63" s="8">
        <v>0.18</v>
      </c>
      <c r="AG63" s="8">
        <v>0.25</v>
      </c>
      <c r="AI63">
        <f t="shared" si="4"/>
        <v>0.95575221238938068</v>
      </c>
      <c r="AJ63">
        <f t="shared" si="5"/>
        <v>0.22123893805309736</v>
      </c>
    </row>
    <row r="64" spans="1:36" x14ac:dyDescent="0.35">
      <c r="S64" t="s">
        <v>126</v>
      </c>
      <c r="T64">
        <v>59.1905</v>
      </c>
      <c r="AB64" t="s">
        <v>536</v>
      </c>
      <c r="AC64" s="8">
        <v>5.18</v>
      </c>
      <c r="AD64" s="8">
        <v>2.2000000000000002</v>
      </c>
      <c r="AE64" s="8">
        <v>1.54</v>
      </c>
      <c r="AF64" s="8">
        <v>0.87</v>
      </c>
      <c r="AG64" s="8">
        <v>1.53</v>
      </c>
      <c r="AI64">
        <f t="shared" si="4"/>
        <v>0.42471042471042475</v>
      </c>
      <c r="AJ64">
        <f t="shared" si="5"/>
        <v>0.29536679536679539</v>
      </c>
    </row>
    <row r="65" spans="1:36" x14ac:dyDescent="0.35">
      <c r="S65" t="s">
        <v>127</v>
      </c>
      <c r="T65">
        <v>96.869600000000005</v>
      </c>
      <c r="AB65" t="s">
        <v>540</v>
      </c>
      <c r="AC65" s="8">
        <v>2.14</v>
      </c>
      <c r="AD65" s="8">
        <v>1.28</v>
      </c>
      <c r="AE65" s="8">
        <v>0.6</v>
      </c>
      <c r="AF65" s="8">
        <v>0.56999999999999995</v>
      </c>
      <c r="AG65" s="8">
        <v>0.63</v>
      </c>
      <c r="AI65">
        <f t="shared" si="4"/>
        <v>0.59813084112149528</v>
      </c>
      <c r="AJ65">
        <f t="shared" si="5"/>
        <v>0.29439252336448596</v>
      </c>
    </row>
    <row r="66" spans="1:36" x14ac:dyDescent="0.35">
      <c r="S66" t="s">
        <v>524</v>
      </c>
      <c r="T66">
        <v>150.547</v>
      </c>
      <c r="AB66" t="s">
        <v>544</v>
      </c>
      <c r="AC66" s="8">
        <v>1.1200000000000001</v>
      </c>
      <c r="AD66" s="8">
        <v>0.66</v>
      </c>
      <c r="AE66" s="8">
        <v>0.38</v>
      </c>
      <c r="AF66" s="8">
        <v>0.22</v>
      </c>
      <c r="AG66" s="8">
        <v>0.52</v>
      </c>
      <c r="AI66">
        <f t="shared" si="4"/>
        <v>0.5892857142857143</v>
      </c>
      <c r="AJ66">
        <f t="shared" si="5"/>
        <v>0.46428571428571425</v>
      </c>
    </row>
    <row r="67" spans="1:36" x14ac:dyDescent="0.35">
      <c r="S67" t="s">
        <v>528</v>
      </c>
      <c r="T67">
        <v>80.010800000000003</v>
      </c>
      <c r="AB67" t="s">
        <v>548</v>
      </c>
      <c r="AC67" s="8">
        <v>5.39</v>
      </c>
      <c r="AD67" s="8">
        <v>2.46</v>
      </c>
      <c r="AE67" s="8">
        <v>1.58</v>
      </c>
      <c r="AF67" s="8">
        <v>1.1299999999999999</v>
      </c>
      <c r="AG67" s="8">
        <v>1.24</v>
      </c>
      <c r="AI67">
        <f t="shared" si="4"/>
        <v>0.45640074211502785</v>
      </c>
      <c r="AJ67">
        <f t="shared" si="5"/>
        <v>0.23005565862708721</v>
      </c>
    </row>
    <row r="68" spans="1:36" x14ac:dyDescent="0.35">
      <c r="S68" t="s">
        <v>532</v>
      </c>
      <c r="T68">
        <v>47.6143</v>
      </c>
      <c r="AB68" t="s">
        <v>552</v>
      </c>
      <c r="AC68" s="8">
        <v>2.11</v>
      </c>
      <c r="AD68" s="8">
        <v>0.94</v>
      </c>
      <c r="AE68" s="8">
        <v>1.22</v>
      </c>
      <c r="AF68" s="8">
        <v>0.59</v>
      </c>
      <c r="AG68" s="8">
        <v>0.47</v>
      </c>
      <c r="AI68">
        <f t="shared" ref="AI68:AI73" si="6">AD68/AC68</f>
        <v>0.44549763033175355</v>
      </c>
      <c r="AJ68">
        <f t="shared" ref="AJ68:AJ73" si="7">AG68/AC68</f>
        <v>0.22274881516587677</v>
      </c>
    </row>
    <row r="69" spans="1:36" x14ac:dyDescent="0.35">
      <c r="S69" t="s">
        <v>536</v>
      </c>
      <c r="T69">
        <v>126.066</v>
      </c>
      <c r="AB69" t="s">
        <v>556</v>
      </c>
      <c r="AC69" s="8">
        <v>0.44</v>
      </c>
      <c r="AD69" s="8">
        <v>0.27</v>
      </c>
      <c r="AE69" s="8">
        <v>0.16</v>
      </c>
      <c r="AF69" s="8">
        <v>0.04</v>
      </c>
      <c r="AG69" s="8">
        <v>0.04</v>
      </c>
      <c r="AI69">
        <f t="shared" si="6"/>
        <v>0.61363636363636365</v>
      </c>
      <c r="AJ69">
        <f t="shared" si="7"/>
        <v>9.0909090909090912E-2</v>
      </c>
    </row>
    <row r="70" spans="1:36" x14ac:dyDescent="0.35">
      <c r="S70" t="s">
        <v>540</v>
      </c>
      <c r="T70">
        <v>135.922</v>
      </c>
      <c r="AB70" t="s">
        <v>560</v>
      </c>
      <c r="AC70" s="8">
        <v>4.21</v>
      </c>
      <c r="AD70" s="8">
        <v>2.44</v>
      </c>
      <c r="AE70" s="8">
        <v>3.18</v>
      </c>
      <c r="AF70" s="8">
        <v>2.15</v>
      </c>
      <c r="AG70" s="8">
        <v>3.32</v>
      </c>
      <c r="AI70">
        <f t="shared" si="6"/>
        <v>0.57957244655581952</v>
      </c>
      <c r="AJ70">
        <f t="shared" si="7"/>
        <v>0.78859857482185269</v>
      </c>
    </row>
    <row r="71" spans="1:36" x14ac:dyDescent="0.35">
      <c r="S71" t="s">
        <v>544</v>
      </c>
      <c r="T71">
        <v>130.46199999999999</v>
      </c>
      <c r="AB71" t="s">
        <v>564</v>
      </c>
      <c r="AC71" s="8">
        <v>1.1599999999999999</v>
      </c>
      <c r="AD71" s="8">
        <v>0.49</v>
      </c>
      <c r="AE71" s="8">
        <v>0.3</v>
      </c>
      <c r="AF71" s="8">
        <v>0.3</v>
      </c>
      <c r="AG71" s="8">
        <v>0.26</v>
      </c>
      <c r="AI71">
        <f t="shared" si="6"/>
        <v>0.42241379310344829</v>
      </c>
      <c r="AJ71">
        <f t="shared" si="7"/>
        <v>0.22413793103448279</v>
      </c>
    </row>
    <row r="72" spans="1:36" ht="13.15" x14ac:dyDescent="0.4">
      <c r="A72" s="40">
        <v>50723</v>
      </c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S72" t="s">
        <v>548</v>
      </c>
      <c r="T72">
        <v>22.465699999999998</v>
      </c>
      <c r="AB72" t="s">
        <v>568</v>
      </c>
      <c r="AC72" s="8">
        <v>4.58</v>
      </c>
      <c r="AD72" s="8">
        <v>2.0699999999999998</v>
      </c>
      <c r="AE72" s="8">
        <v>1.04</v>
      </c>
      <c r="AF72" s="8">
        <v>1.33</v>
      </c>
      <c r="AG72" s="8">
        <v>1.0900000000000001</v>
      </c>
      <c r="AI72">
        <f t="shared" si="6"/>
        <v>0.45196506550218335</v>
      </c>
      <c r="AJ72">
        <f t="shared" si="7"/>
        <v>0.23799126637554588</v>
      </c>
    </row>
    <row r="73" spans="1:36" x14ac:dyDescent="0.35">
      <c r="A73" s="42" t="s">
        <v>1167</v>
      </c>
      <c r="B73" s="42"/>
      <c r="C73" s="42"/>
      <c r="D73" s="42"/>
      <c r="E73" s="42"/>
      <c r="G73" s="42" t="s">
        <v>1164</v>
      </c>
      <c r="H73" s="42"/>
      <c r="I73" s="42"/>
      <c r="J73" s="42"/>
      <c r="K73" s="42"/>
      <c r="M73" s="42" t="s">
        <v>1145</v>
      </c>
      <c r="N73" s="42"/>
      <c r="O73" s="42"/>
      <c r="P73" s="42"/>
      <c r="Q73" s="42"/>
      <c r="S73" t="s">
        <v>552</v>
      </c>
      <c r="T73">
        <v>20.091999999999999</v>
      </c>
      <c r="AB73" t="s">
        <v>572</v>
      </c>
      <c r="AC73" s="8">
        <v>5.35</v>
      </c>
      <c r="AD73" s="8">
        <v>2.2000000000000002</v>
      </c>
      <c r="AE73" s="8">
        <v>1.67</v>
      </c>
      <c r="AF73" s="8">
        <v>1.18</v>
      </c>
      <c r="AG73" s="8">
        <v>1.18</v>
      </c>
      <c r="AI73">
        <f t="shared" si="6"/>
        <v>0.41121495327102808</v>
      </c>
      <c r="AJ73">
        <f t="shared" si="7"/>
        <v>0.22056074766355141</v>
      </c>
    </row>
    <row r="74" spans="1:36" ht="14.65" x14ac:dyDescent="0.4">
      <c r="A74" t="s">
        <v>1151</v>
      </c>
      <c r="B74" t="s">
        <v>1152</v>
      </c>
      <c r="C74" t="s">
        <v>1153</v>
      </c>
      <c r="D74" t="s">
        <v>1154</v>
      </c>
      <c r="E74" t="s">
        <v>1155</v>
      </c>
      <c r="G74" t="s">
        <v>1151</v>
      </c>
      <c r="H74" t="s">
        <v>1152</v>
      </c>
      <c r="I74" t="s">
        <v>1153</v>
      </c>
      <c r="J74" t="s">
        <v>1154</v>
      </c>
      <c r="K74" t="s">
        <v>1155</v>
      </c>
      <c r="M74" t="s">
        <v>1151</v>
      </c>
      <c r="N74" t="s">
        <v>1152</v>
      </c>
      <c r="O74" t="s">
        <v>1153</v>
      </c>
      <c r="P74" t="s">
        <v>1154</v>
      </c>
      <c r="Q74" t="s">
        <v>1155</v>
      </c>
      <c r="S74" t="s">
        <v>556</v>
      </c>
      <c r="T74">
        <v>117.875</v>
      </c>
      <c r="AI74" s="1">
        <f>AVERAGE(AI4:AI73)</f>
        <v>0.58726891113067692</v>
      </c>
      <c r="AJ74" s="1">
        <f>AVERAGE(AJ4:AJ73)</f>
        <v>0.33336198957755248</v>
      </c>
    </row>
    <row r="75" spans="1:36" x14ac:dyDescent="0.35">
      <c r="A75">
        <v>0.14000000000000001</v>
      </c>
      <c r="B75">
        <v>0.23</v>
      </c>
      <c r="C75">
        <v>0.14000000000000001</v>
      </c>
      <c r="D75">
        <v>0.11600000000000001</v>
      </c>
      <c r="E75">
        <v>0.19</v>
      </c>
      <c r="G75">
        <v>0.69</v>
      </c>
      <c r="H75">
        <v>1.06</v>
      </c>
      <c r="I75">
        <v>0.99</v>
      </c>
      <c r="J75">
        <v>0.65</v>
      </c>
      <c r="K75">
        <v>0.63</v>
      </c>
      <c r="M75">
        <v>1.38</v>
      </c>
      <c r="N75">
        <v>0.89</v>
      </c>
      <c r="O75">
        <v>0.83</v>
      </c>
      <c r="P75">
        <v>0.5</v>
      </c>
      <c r="Q75">
        <v>0.61</v>
      </c>
      <c r="S75" t="s">
        <v>560</v>
      </c>
    </row>
    <row r="76" spans="1:36" x14ac:dyDescent="0.35">
      <c r="S76" t="s">
        <v>944</v>
      </c>
    </row>
    <row r="77" spans="1:36" x14ac:dyDescent="0.35">
      <c r="S77" t="s">
        <v>945</v>
      </c>
    </row>
    <row r="78" spans="1:36" x14ac:dyDescent="0.35">
      <c r="M78" s="42" t="s">
        <v>1161</v>
      </c>
      <c r="N78" s="42"/>
      <c r="O78" s="42"/>
      <c r="P78" s="42"/>
      <c r="Q78" s="42"/>
      <c r="S78" t="s">
        <v>946</v>
      </c>
    </row>
    <row r="79" spans="1:36" ht="14.25" x14ac:dyDescent="0.35">
      <c r="M79" t="s">
        <v>1151</v>
      </c>
      <c r="N79" t="s">
        <v>1152</v>
      </c>
      <c r="O79" t="s">
        <v>1153</v>
      </c>
      <c r="P79" t="s">
        <v>1154</v>
      </c>
      <c r="Q79" t="s">
        <v>1155</v>
      </c>
      <c r="S79" t="s">
        <v>947</v>
      </c>
    </row>
    <row r="80" spans="1:36" x14ac:dyDescent="0.35">
      <c r="M80">
        <f>SUM(G75,A75)</f>
        <v>0.83</v>
      </c>
      <c r="N80">
        <f>SUM(H75,B75)</f>
        <v>1.29</v>
      </c>
      <c r="O80">
        <f>SUM(I75,C75)</f>
        <v>1.1299999999999999</v>
      </c>
      <c r="P80">
        <f>SUM(J75,D75)</f>
        <v>0.76600000000000001</v>
      </c>
      <c r="Q80">
        <f>SUM(K75,E75)</f>
        <v>0.82000000000000006</v>
      </c>
      <c r="S80" t="s">
        <v>564</v>
      </c>
    </row>
    <row r="81" spans="1:20" x14ac:dyDescent="0.35">
      <c r="S81" t="s">
        <v>568</v>
      </c>
    </row>
    <row r="82" spans="1:20" x14ac:dyDescent="0.35">
      <c r="S82" t="s">
        <v>572</v>
      </c>
    </row>
    <row r="83" spans="1:20" ht="13.15" x14ac:dyDescent="0.4">
      <c r="M83" s="42" t="s">
        <v>1162</v>
      </c>
      <c r="N83" s="42"/>
      <c r="O83" s="42"/>
      <c r="P83" s="42"/>
      <c r="Q83" s="42"/>
      <c r="T83" s="1">
        <f>AVERAGE(Supplementary_Fig8!T3:T71)</f>
        <v>79.657958730158725</v>
      </c>
    </row>
    <row r="84" spans="1:20" ht="14.25" x14ac:dyDescent="0.35">
      <c r="M84" t="s">
        <v>1151</v>
      </c>
      <c r="N84" t="s">
        <v>1152</v>
      </c>
      <c r="O84" t="s">
        <v>1153</v>
      </c>
      <c r="P84" t="s">
        <v>1154</v>
      </c>
      <c r="Q84" t="s">
        <v>1155</v>
      </c>
      <c r="T84">
        <f>STDEV(Supplementary_Fig8!T3:T71)</f>
        <v>40.631264833430883</v>
      </c>
    </row>
    <row r="85" spans="1:20" x14ac:dyDescent="0.35">
      <c r="M85">
        <f>M75*100/M80</f>
        <v>166.26506024096386</v>
      </c>
      <c r="N85">
        <f>N75*100/N80</f>
        <v>68.992248062015506</v>
      </c>
      <c r="O85">
        <f>O75*100/O80</f>
        <v>73.451327433628322</v>
      </c>
      <c r="P85">
        <f>P75*100/P80</f>
        <v>65.274151436031332</v>
      </c>
      <c r="Q85">
        <f>Q75*100/Q80</f>
        <v>74.390243902439025</v>
      </c>
      <c r="T85">
        <f>Supplementary_Fig8!T84/SQRT(63)</f>
        <v>5.11905820015535</v>
      </c>
    </row>
    <row r="88" spans="1:20" ht="13.15" x14ac:dyDescent="0.4">
      <c r="A88" s="41">
        <v>250324</v>
      </c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</row>
    <row r="89" spans="1:20" x14ac:dyDescent="0.35">
      <c r="A89" s="42" t="s">
        <v>1143</v>
      </c>
      <c r="B89" s="42"/>
      <c r="C89" s="42"/>
      <c r="D89" s="42"/>
      <c r="E89" s="42"/>
      <c r="G89" s="42" t="s">
        <v>1170</v>
      </c>
      <c r="H89" s="42"/>
      <c r="I89" s="42"/>
      <c r="J89" s="42"/>
      <c r="K89" s="42"/>
      <c r="M89" s="42" t="s">
        <v>1145</v>
      </c>
      <c r="N89" s="42"/>
      <c r="O89" s="42"/>
      <c r="P89" s="42"/>
      <c r="Q89" s="42"/>
    </row>
    <row r="90" spans="1:20" ht="14.25" x14ac:dyDescent="0.35">
      <c r="A90" t="s">
        <v>1151</v>
      </c>
      <c r="B90" t="s">
        <v>1152</v>
      </c>
      <c r="C90" t="s">
        <v>1153</v>
      </c>
      <c r="D90" t="s">
        <v>1154</v>
      </c>
      <c r="E90" t="s">
        <v>1155</v>
      </c>
      <c r="G90" t="s">
        <v>1151</v>
      </c>
      <c r="H90" t="s">
        <v>1152</v>
      </c>
      <c r="I90" t="s">
        <v>1153</v>
      </c>
      <c r="J90" t="s">
        <v>1154</v>
      </c>
      <c r="K90" t="s">
        <v>1155</v>
      </c>
      <c r="M90" t="s">
        <v>1151</v>
      </c>
      <c r="N90" t="s">
        <v>1152</v>
      </c>
      <c r="O90" t="s">
        <v>1153</v>
      </c>
      <c r="P90" t="s">
        <v>1154</v>
      </c>
      <c r="Q90" t="s">
        <v>1155</v>
      </c>
    </row>
    <row r="91" spans="1:20" x14ac:dyDescent="0.35">
      <c r="A91">
        <v>0.88</v>
      </c>
      <c r="B91">
        <v>0.34</v>
      </c>
      <c r="C91">
        <v>0.08</v>
      </c>
      <c r="D91">
        <v>0.37</v>
      </c>
      <c r="E91">
        <v>0.23</v>
      </c>
      <c r="G91" s="8">
        <v>0.81</v>
      </c>
      <c r="H91" s="8">
        <v>0.38</v>
      </c>
      <c r="I91" s="8">
        <v>0.2</v>
      </c>
      <c r="J91" s="8">
        <v>0.3</v>
      </c>
      <c r="K91" s="8">
        <v>0.16</v>
      </c>
      <c r="M91">
        <v>1.3</v>
      </c>
      <c r="N91">
        <v>1.05</v>
      </c>
      <c r="O91">
        <v>0.82</v>
      </c>
      <c r="P91">
        <v>0.14000000000000001</v>
      </c>
      <c r="Q91">
        <v>0.41</v>
      </c>
    </row>
    <row r="94" spans="1:20" x14ac:dyDescent="0.35">
      <c r="M94" s="42" t="s">
        <v>1161</v>
      </c>
      <c r="N94" s="42"/>
      <c r="O94" s="42"/>
      <c r="P94" s="42"/>
      <c r="Q94" s="42"/>
    </row>
    <row r="95" spans="1:20" ht="14.25" x14ac:dyDescent="0.35">
      <c r="M95" t="s">
        <v>1151</v>
      </c>
      <c r="N95" t="s">
        <v>1152</v>
      </c>
      <c r="O95" t="s">
        <v>1153</v>
      </c>
      <c r="P95" t="s">
        <v>1154</v>
      </c>
      <c r="Q95" t="s">
        <v>1155</v>
      </c>
    </row>
    <row r="96" spans="1:20" x14ac:dyDescent="0.35">
      <c r="M96">
        <f>G91+A91</f>
        <v>1.69</v>
      </c>
      <c r="N96">
        <f>B91+H91</f>
        <v>0.72</v>
      </c>
      <c r="O96">
        <f>I91+C91</f>
        <v>0.28000000000000003</v>
      </c>
      <c r="P96">
        <f>D91</f>
        <v>0.37</v>
      </c>
      <c r="Q96">
        <f>K91+E91</f>
        <v>0.39</v>
      </c>
    </row>
    <row r="98" spans="13:17" x14ac:dyDescent="0.35">
      <c r="M98" s="42" t="s">
        <v>1162</v>
      </c>
      <c r="N98" s="42"/>
      <c r="O98" s="42"/>
      <c r="P98" s="42"/>
      <c r="Q98" s="42"/>
    </row>
    <row r="99" spans="13:17" ht="14.25" x14ac:dyDescent="0.35">
      <c r="M99" t="s">
        <v>1151</v>
      </c>
      <c r="N99" t="s">
        <v>1152</v>
      </c>
      <c r="O99" t="s">
        <v>1153</v>
      </c>
      <c r="P99" t="s">
        <v>1154</v>
      </c>
      <c r="Q99" t="s">
        <v>1155</v>
      </c>
    </row>
    <row r="100" spans="13:17" x14ac:dyDescent="0.35">
      <c r="M100">
        <f>M91*100/M96</f>
        <v>76.92307692307692</v>
      </c>
      <c r="N100">
        <f>N91*100/N96</f>
        <v>145.83333333333334</v>
      </c>
      <c r="O100">
        <f>O91*100/O96</f>
        <v>292.85714285714283</v>
      </c>
      <c r="P100">
        <f>P91*100/P96</f>
        <v>37.837837837837846</v>
      </c>
      <c r="Q100">
        <f>Q91*100/Q96</f>
        <v>105.12820512820512</v>
      </c>
    </row>
  </sheetData>
  <mergeCells count="46">
    <mergeCell ref="M94:Q94"/>
    <mergeCell ref="M98:Q98"/>
    <mergeCell ref="M78:Q78"/>
    <mergeCell ref="M83:Q83"/>
    <mergeCell ref="A88:Q88"/>
    <mergeCell ref="A89:E89"/>
    <mergeCell ref="G89:K89"/>
    <mergeCell ref="M89:Q89"/>
    <mergeCell ref="M57:Q57"/>
    <mergeCell ref="M61:Q61"/>
    <mergeCell ref="A72:Q72"/>
    <mergeCell ref="A73:E73"/>
    <mergeCell ref="G73:K73"/>
    <mergeCell ref="M73:Q73"/>
    <mergeCell ref="M35:Q35"/>
    <mergeCell ref="M41:Q41"/>
    <mergeCell ref="M45:Q45"/>
    <mergeCell ref="A51:Q51"/>
    <mergeCell ref="A52:E52"/>
    <mergeCell ref="G52:K52"/>
    <mergeCell ref="M52:Q52"/>
    <mergeCell ref="M22:Q22"/>
    <mergeCell ref="M26:Q26"/>
    <mergeCell ref="A31:Q31"/>
    <mergeCell ref="A32:E32"/>
    <mergeCell ref="G32:K32"/>
    <mergeCell ref="M32:Q32"/>
    <mergeCell ref="M6:Q6"/>
    <mergeCell ref="M11:Q11"/>
    <mergeCell ref="A16:Q16"/>
    <mergeCell ref="A17:E17"/>
    <mergeCell ref="G17:K17"/>
    <mergeCell ref="M17:Q17"/>
    <mergeCell ref="AL1:AM1"/>
    <mergeCell ref="AV1:AW1"/>
    <mergeCell ref="A2:E2"/>
    <mergeCell ref="G2:K2"/>
    <mergeCell ref="M2:Q2"/>
    <mergeCell ref="AB2:AG2"/>
    <mergeCell ref="AL2:AQ2"/>
    <mergeCell ref="AV2:BA2"/>
    <mergeCell ref="A1:Q1"/>
    <mergeCell ref="S1:T1"/>
    <mergeCell ref="V1:W1"/>
    <mergeCell ref="Y1:Z1"/>
    <mergeCell ref="AB1:AC1"/>
  </mergeCells>
  <pageMargins left="0.78749999999999998" right="0.78749999999999998" top="1.0249999999999999" bottom="1.0249999999999999" header="0.78749999999999998" footer="0.78749999999999998"/>
  <pageSetup firstPageNumber="0" orientation="portrait" horizontalDpi="1200" verticalDpi="1200" r:id="rId1"/>
  <headerFooter>
    <oddHeader>&amp;C&amp;A</oddHeader>
    <oddFooter>&amp;CPage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zoomScale="120" zoomScaleNormal="120" workbookViewId="0"/>
  </sheetViews>
  <sheetFormatPr defaultRowHeight="12.75" x14ac:dyDescent="0.35"/>
  <cols>
    <col min="1" max="1025" width="11.33203125"/>
  </cols>
  <sheetData>
    <row r="1" spans="1:1" ht="13.15" x14ac:dyDescent="0.4">
      <c r="A1" s="38" t="s">
        <v>1178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1200" verticalDpi="1200" r:id="rId1"/>
  <headerFooter>
    <oddHeader>&amp;C&amp;"Times New Roman,Regular"&amp;12&amp;A</oddHeader>
    <oddFooter>&amp;C&amp;"Times New Roman,Regular"&amp;12Page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2"/>
  <sheetViews>
    <sheetView zoomScale="120" zoomScaleNormal="120" workbookViewId="0">
      <selection activeCell="K14" sqref="K14"/>
    </sheetView>
  </sheetViews>
  <sheetFormatPr defaultRowHeight="12.75" x14ac:dyDescent="0.35"/>
  <cols>
    <col min="1" max="1025" width="11.33203125"/>
  </cols>
  <sheetData>
    <row r="1" spans="1:7" ht="13.15" x14ac:dyDescent="0.4">
      <c r="A1" s="1" t="s">
        <v>1171</v>
      </c>
      <c r="E1" s="1" t="s">
        <v>1172</v>
      </c>
    </row>
    <row r="2" spans="1:7" ht="13.15" x14ac:dyDescent="0.4">
      <c r="A2" s="1" t="s">
        <v>1173</v>
      </c>
      <c r="E2" s="1" t="s">
        <v>1174</v>
      </c>
      <c r="F2" s="1" t="s">
        <v>1175</v>
      </c>
      <c r="G2" s="1" t="s">
        <v>1173</v>
      </c>
    </row>
    <row r="3" spans="1:7" x14ac:dyDescent="0.35">
      <c r="A3">
        <v>29338</v>
      </c>
      <c r="B3">
        <v>18958</v>
      </c>
      <c r="C3">
        <v>7375</v>
      </c>
      <c r="E3">
        <v>0.02</v>
      </c>
      <c r="F3">
        <v>1000</v>
      </c>
      <c r="G3">
        <v>0</v>
      </c>
    </row>
    <row r="4" spans="1:7" x14ac:dyDescent="0.35">
      <c r="A4">
        <v>0</v>
      </c>
      <c r="B4">
        <v>2050</v>
      </c>
      <c r="C4">
        <v>574</v>
      </c>
      <c r="E4">
        <v>0.02</v>
      </c>
      <c r="F4">
        <v>2000</v>
      </c>
      <c r="G4">
        <v>0</v>
      </c>
    </row>
    <row r="5" spans="1:7" x14ac:dyDescent="0.35">
      <c r="A5">
        <v>3825</v>
      </c>
      <c r="B5">
        <v>5437</v>
      </c>
      <c r="C5">
        <v>7375</v>
      </c>
      <c r="E5">
        <v>0.02</v>
      </c>
      <c r="F5">
        <v>5000</v>
      </c>
      <c r="G5">
        <v>832.702</v>
      </c>
    </row>
    <row r="6" spans="1:7" x14ac:dyDescent="0.35">
      <c r="A6">
        <v>3681</v>
      </c>
      <c r="B6">
        <v>6800</v>
      </c>
      <c r="C6">
        <v>7375</v>
      </c>
      <c r="E6">
        <v>0.02</v>
      </c>
      <c r="F6">
        <v>7000</v>
      </c>
      <c r="G6">
        <v>4997.3500000000004</v>
      </c>
    </row>
    <row r="7" spans="1:7" x14ac:dyDescent="0.35">
      <c r="E7">
        <v>0.02</v>
      </c>
      <c r="F7">
        <v>10000</v>
      </c>
      <c r="G7">
        <v>15795.2</v>
      </c>
    </row>
    <row r="8" spans="1:7" ht="13.15" x14ac:dyDescent="0.4">
      <c r="A8" s="1" t="s">
        <v>1176</v>
      </c>
      <c r="E8">
        <v>0.02</v>
      </c>
      <c r="F8">
        <v>20000</v>
      </c>
      <c r="G8">
        <v>26761.4</v>
      </c>
    </row>
    <row r="9" spans="1:7" ht="13.15" x14ac:dyDescent="0.4">
      <c r="A9" s="1" t="s">
        <v>1177</v>
      </c>
      <c r="E9">
        <v>0.03</v>
      </c>
      <c r="F9">
        <v>1000</v>
      </c>
      <c r="G9">
        <v>65.857900000000001</v>
      </c>
    </row>
    <row r="10" spans="1:7" x14ac:dyDescent="0.35">
      <c r="A10">
        <v>-6.7314699999999998E-3</v>
      </c>
      <c r="B10">
        <v>-1.7840499999999999E-2</v>
      </c>
      <c r="C10">
        <v>-4.8395800000000003E-2</v>
      </c>
      <c r="E10">
        <v>0.03</v>
      </c>
      <c r="F10">
        <v>2000</v>
      </c>
      <c r="G10">
        <v>2219.9299999999998</v>
      </c>
    </row>
    <row r="11" spans="1:7" x14ac:dyDescent="0.35">
      <c r="A11" t="s">
        <v>1178</v>
      </c>
      <c r="B11">
        <v>-0.27135700000000001</v>
      </c>
      <c r="C11">
        <v>-0.29276200000000002</v>
      </c>
      <c r="E11">
        <v>0.03</v>
      </c>
      <c r="F11">
        <v>5000</v>
      </c>
      <c r="G11">
        <v>16978.5</v>
      </c>
    </row>
    <row r="12" spans="1:7" x14ac:dyDescent="0.35">
      <c r="A12">
        <v>-0.29623100000000002</v>
      </c>
      <c r="B12">
        <v>-0.21282699999999999</v>
      </c>
      <c r="C12">
        <v>-4.8395800000000003E-2</v>
      </c>
      <c r="E12">
        <v>0.03</v>
      </c>
      <c r="F12">
        <v>7000</v>
      </c>
      <c r="G12">
        <v>25411.5</v>
      </c>
    </row>
    <row r="13" spans="1:7" x14ac:dyDescent="0.35">
      <c r="A13">
        <v>-4.31898E-2</v>
      </c>
      <c r="B13">
        <v>-4.3032000000000001E-2</v>
      </c>
      <c r="C13">
        <v>-4.8395800000000003E-2</v>
      </c>
      <c r="E13">
        <v>0.03</v>
      </c>
      <c r="F13">
        <v>10000</v>
      </c>
      <c r="G13">
        <v>35568.5</v>
      </c>
    </row>
    <row r="14" spans="1:7" x14ac:dyDescent="0.35">
      <c r="E14">
        <v>0.03</v>
      </c>
      <c r="F14">
        <v>20000</v>
      </c>
      <c r="G14">
        <v>57698.7</v>
      </c>
    </row>
    <row r="15" spans="1:7" ht="13.15" x14ac:dyDescent="0.4">
      <c r="A15" s="1"/>
      <c r="E15">
        <v>0.05</v>
      </c>
      <c r="F15">
        <v>1000</v>
      </c>
      <c r="G15">
        <v>65.955500000000001</v>
      </c>
    </row>
    <row r="16" spans="1:7" x14ac:dyDescent="0.35">
      <c r="E16">
        <v>0.05</v>
      </c>
      <c r="F16">
        <v>2000</v>
      </c>
      <c r="G16">
        <v>2009.79</v>
      </c>
    </row>
    <row r="17" spans="5:7" x14ac:dyDescent="0.35">
      <c r="E17">
        <v>0.05</v>
      </c>
      <c r="F17">
        <v>5000</v>
      </c>
      <c r="G17">
        <v>18957.5</v>
      </c>
    </row>
    <row r="18" spans="5:7" x14ac:dyDescent="0.35">
      <c r="E18">
        <v>0.05</v>
      </c>
      <c r="F18">
        <v>7000</v>
      </c>
      <c r="G18">
        <v>29929.200000000001</v>
      </c>
    </row>
    <row r="19" spans="5:7" x14ac:dyDescent="0.35">
      <c r="E19">
        <v>0.05</v>
      </c>
      <c r="F19">
        <v>10000</v>
      </c>
      <c r="G19">
        <v>46409.2</v>
      </c>
    </row>
    <row r="20" spans="5:7" x14ac:dyDescent="0.35">
      <c r="E20">
        <v>0.05</v>
      </c>
      <c r="F20">
        <v>20000</v>
      </c>
      <c r="G20">
        <v>82634.8</v>
      </c>
    </row>
    <row r="21" spans="5:7" x14ac:dyDescent="0.35">
      <c r="E21">
        <v>7.0000000000000007E-2</v>
      </c>
      <c r="F21">
        <v>1000</v>
      </c>
      <c r="G21">
        <v>47.914400000000001</v>
      </c>
    </row>
    <row r="22" spans="5:7" x14ac:dyDescent="0.35">
      <c r="E22">
        <v>7.0000000000000007E-2</v>
      </c>
      <c r="F22">
        <v>2000</v>
      </c>
      <c r="G22">
        <v>1889.79</v>
      </c>
    </row>
    <row r="23" spans="5:7" x14ac:dyDescent="0.35">
      <c r="E23">
        <v>7.0000000000000007E-2</v>
      </c>
      <c r="F23">
        <v>5000</v>
      </c>
      <c r="G23">
        <v>16967.5</v>
      </c>
    </row>
    <row r="24" spans="5:7" x14ac:dyDescent="0.35">
      <c r="E24">
        <v>7.0000000000000007E-2</v>
      </c>
      <c r="F24">
        <v>7000</v>
      </c>
      <c r="G24">
        <v>29337.7</v>
      </c>
    </row>
    <row r="25" spans="5:7" x14ac:dyDescent="0.35">
      <c r="E25">
        <v>7.0000000000000007E-2</v>
      </c>
      <c r="F25">
        <v>10000</v>
      </c>
      <c r="G25">
        <v>48910.5</v>
      </c>
    </row>
    <row r="26" spans="5:7" x14ac:dyDescent="0.35">
      <c r="E26">
        <v>7.0000000000000007E-2</v>
      </c>
      <c r="F26">
        <v>20000</v>
      </c>
      <c r="G26">
        <v>91777.600000000006</v>
      </c>
    </row>
    <row r="27" spans="5:7" x14ac:dyDescent="0.35">
      <c r="E27">
        <v>0.1</v>
      </c>
      <c r="F27">
        <v>1000</v>
      </c>
      <c r="G27">
        <v>69.916600000000003</v>
      </c>
    </row>
    <row r="28" spans="5:7" x14ac:dyDescent="0.35">
      <c r="E28">
        <v>0.1</v>
      </c>
      <c r="F28">
        <v>2000</v>
      </c>
      <c r="G28">
        <v>1784.5</v>
      </c>
    </row>
    <row r="29" spans="5:7" x14ac:dyDescent="0.35">
      <c r="E29">
        <v>0.1</v>
      </c>
      <c r="F29">
        <v>5000</v>
      </c>
      <c r="G29">
        <v>14780.6</v>
      </c>
    </row>
    <row r="30" spans="5:7" x14ac:dyDescent="0.35">
      <c r="E30">
        <v>0.1</v>
      </c>
      <c r="F30">
        <v>7000</v>
      </c>
      <c r="G30">
        <v>25489.4</v>
      </c>
    </row>
    <row r="31" spans="5:7" x14ac:dyDescent="0.35">
      <c r="E31">
        <v>0.1</v>
      </c>
      <c r="F31">
        <v>10000</v>
      </c>
      <c r="G31">
        <v>44943</v>
      </c>
    </row>
    <row r="32" spans="5:7" x14ac:dyDescent="0.35">
      <c r="E32">
        <v>0.1</v>
      </c>
      <c r="F32">
        <v>20000</v>
      </c>
      <c r="G32">
        <v>85925.9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1200" verticalDpi="1200" r:id="rId1"/>
  <headerFooter>
    <oddHeader>&amp;C&amp;"Times New Roman,Regular"&amp;12&amp;A</oddHeader>
    <oddFooter>&amp;C&amp;"Times New Roman,Regular"&amp;12Page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S172"/>
  <sheetViews>
    <sheetView zoomScale="120" zoomScaleNormal="120" workbookViewId="0">
      <selection activeCell="BS128" sqref="BS128"/>
    </sheetView>
  </sheetViews>
  <sheetFormatPr defaultRowHeight="12.75" x14ac:dyDescent="0.35"/>
  <cols>
    <col min="1" max="1025" width="11.33203125"/>
  </cols>
  <sheetData>
    <row r="1" spans="1:71" ht="131.25" x14ac:dyDescent="0.4">
      <c r="A1" s="37" t="s">
        <v>1179</v>
      </c>
    </row>
    <row r="2" spans="1:71" ht="13.15" x14ac:dyDescent="0.4">
      <c r="A2" s="43" t="s">
        <v>341</v>
      </c>
      <c r="B2" s="43"/>
      <c r="C2" s="43"/>
      <c r="D2" s="43"/>
      <c r="E2" s="43"/>
      <c r="F2" s="43"/>
      <c r="H2" s="43" t="s">
        <v>881</v>
      </c>
      <c r="I2" s="43"/>
      <c r="J2" s="43"/>
      <c r="K2" s="43"/>
      <c r="L2" s="43"/>
      <c r="M2" s="43"/>
      <c r="O2" s="43" t="s">
        <v>697</v>
      </c>
      <c r="P2" s="43"/>
      <c r="Q2" s="43"/>
      <c r="R2" s="43"/>
      <c r="S2" s="43"/>
      <c r="T2" s="43"/>
      <c r="V2" s="43" t="s">
        <v>1180</v>
      </c>
      <c r="W2" s="43"/>
      <c r="X2" s="43"/>
      <c r="Y2" s="43"/>
      <c r="Z2" s="43"/>
      <c r="AA2" s="43"/>
      <c r="AD2" s="43" t="s">
        <v>1020</v>
      </c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Z2" s="43" t="s">
        <v>1021</v>
      </c>
      <c r="BA2" s="43"/>
      <c r="BB2" s="43" t="s">
        <v>1021</v>
      </c>
      <c r="BC2" s="43"/>
      <c r="BD2" s="43"/>
      <c r="BE2" s="43"/>
      <c r="BG2" s="43" t="s">
        <v>1022</v>
      </c>
      <c r="BH2" s="43"/>
      <c r="BI2" s="43"/>
      <c r="BJ2" s="43"/>
      <c r="BK2" s="43"/>
      <c r="BL2" s="43"/>
      <c r="BN2" s="43" t="s">
        <v>1181</v>
      </c>
      <c r="BO2" s="43"/>
      <c r="BP2" s="43"/>
      <c r="BQ2" s="43"/>
      <c r="BR2" s="43"/>
      <c r="BS2" s="43"/>
    </row>
    <row r="3" spans="1:71" ht="13.15" x14ac:dyDescent="0.4">
      <c r="A3" s="39" t="s">
        <v>1</v>
      </c>
      <c r="B3" s="39"/>
      <c r="C3" s="40" t="s">
        <v>9</v>
      </c>
      <c r="D3" s="40"/>
      <c r="E3" s="41" t="s">
        <v>10</v>
      </c>
      <c r="F3" s="41"/>
      <c r="H3" s="39" t="s">
        <v>1</v>
      </c>
      <c r="I3" s="39"/>
      <c r="J3" s="40" t="s">
        <v>9</v>
      </c>
      <c r="K3" s="40"/>
      <c r="L3" s="41" t="s">
        <v>10</v>
      </c>
      <c r="M3" s="41"/>
      <c r="O3" s="39" t="s">
        <v>1</v>
      </c>
      <c r="P3" s="39"/>
      <c r="Q3" s="40" t="s">
        <v>9</v>
      </c>
      <c r="R3" s="40"/>
      <c r="S3" s="41" t="s">
        <v>10</v>
      </c>
      <c r="T3" s="41"/>
      <c r="V3" s="39" t="s">
        <v>1</v>
      </c>
      <c r="W3" s="39"/>
      <c r="X3" s="40" t="s">
        <v>9</v>
      </c>
      <c r="Y3" s="40"/>
      <c r="Z3" s="41" t="s">
        <v>10</v>
      </c>
      <c r="AA3" s="41"/>
      <c r="AD3" s="49" t="s">
        <v>1031</v>
      </c>
      <c r="AE3" s="49"/>
      <c r="AF3" s="49"/>
      <c r="AG3" s="49"/>
      <c r="AH3" s="43" t="s">
        <v>1032</v>
      </c>
      <c r="AI3" s="43"/>
      <c r="AJ3" s="43"/>
      <c r="AK3" s="50" t="s">
        <v>1033</v>
      </c>
      <c r="AL3" s="50"/>
      <c r="AM3" s="50"/>
      <c r="AN3" s="50"/>
      <c r="AO3" s="43" t="s">
        <v>1032</v>
      </c>
      <c r="AP3" s="43"/>
      <c r="AQ3" s="43"/>
      <c r="AR3" s="51" t="s">
        <v>18</v>
      </c>
      <c r="AS3" s="51"/>
      <c r="AT3" s="51"/>
      <c r="AU3" s="51"/>
      <c r="AV3" s="43" t="s">
        <v>1032</v>
      </c>
      <c r="AW3" s="43"/>
      <c r="AX3" s="43"/>
      <c r="AZ3" s="49" t="s">
        <v>1031</v>
      </c>
      <c r="BA3" s="49"/>
      <c r="BB3" s="50" t="s">
        <v>1033</v>
      </c>
      <c r="BC3" s="50"/>
      <c r="BD3" s="51" t="s">
        <v>1034</v>
      </c>
      <c r="BE3" s="51"/>
      <c r="BG3" s="49" t="s">
        <v>1031</v>
      </c>
      <c r="BH3" s="49"/>
      <c r="BI3" s="50" t="s">
        <v>1033</v>
      </c>
      <c r="BJ3" s="50"/>
      <c r="BK3" s="51" t="s">
        <v>10</v>
      </c>
      <c r="BL3" s="51"/>
      <c r="BN3" s="49" t="s">
        <v>1031</v>
      </c>
      <c r="BO3" s="49"/>
      <c r="BP3" s="50" t="s">
        <v>9</v>
      </c>
      <c r="BQ3" s="50"/>
      <c r="BR3" s="51" t="s">
        <v>10</v>
      </c>
      <c r="BS3" s="51"/>
    </row>
    <row r="4" spans="1:71" ht="13.15" x14ac:dyDescent="0.4">
      <c r="A4" s="1" t="s">
        <v>15</v>
      </c>
      <c r="B4" s="1" t="s">
        <v>341</v>
      </c>
      <c r="C4" s="1" t="s">
        <v>15</v>
      </c>
      <c r="D4" s="1" t="s">
        <v>341</v>
      </c>
      <c r="E4" t="s">
        <v>15</v>
      </c>
      <c r="F4" t="s">
        <v>341</v>
      </c>
      <c r="H4" t="s">
        <v>15</v>
      </c>
      <c r="I4" s="19" t="s">
        <v>696</v>
      </c>
      <c r="J4" t="s">
        <v>15</v>
      </c>
      <c r="K4" s="19" t="s">
        <v>696</v>
      </c>
      <c r="L4" t="s">
        <v>15</v>
      </c>
      <c r="M4" s="19" t="s">
        <v>696</v>
      </c>
      <c r="O4" t="s">
        <v>15</v>
      </c>
      <c r="P4" s="17" t="s">
        <v>697</v>
      </c>
      <c r="Q4" t="s">
        <v>15</v>
      </c>
      <c r="R4" s="17" t="s">
        <v>697</v>
      </c>
      <c r="S4" t="s">
        <v>15</v>
      </c>
      <c r="T4" s="17" t="s">
        <v>697</v>
      </c>
      <c r="V4" t="s">
        <v>15</v>
      </c>
      <c r="W4" s="17" t="s">
        <v>698</v>
      </c>
      <c r="X4" t="s">
        <v>15</v>
      </c>
      <c r="Y4" s="17" t="s">
        <v>698</v>
      </c>
      <c r="Z4" t="s">
        <v>15</v>
      </c>
      <c r="AA4" s="17" t="s">
        <v>698</v>
      </c>
      <c r="AD4" t="s">
        <v>15</v>
      </c>
      <c r="AE4" t="s">
        <v>1048</v>
      </c>
      <c r="AF4" t="s">
        <v>1049</v>
      </c>
      <c r="AG4" t="s">
        <v>1050</v>
      </c>
      <c r="AH4" t="s">
        <v>15</v>
      </c>
      <c r="AI4" t="s">
        <v>1048</v>
      </c>
      <c r="AJ4" t="s">
        <v>1049</v>
      </c>
      <c r="AK4" t="s">
        <v>15</v>
      </c>
      <c r="AL4" t="s">
        <v>1048</v>
      </c>
      <c r="AM4" t="s">
        <v>1049</v>
      </c>
      <c r="AO4" t="s">
        <v>15</v>
      </c>
      <c r="AP4" t="s">
        <v>1048</v>
      </c>
      <c r="AQ4" t="s">
        <v>1049</v>
      </c>
      <c r="AR4" t="s">
        <v>15</v>
      </c>
      <c r="AS4" t="s">
        <v>1048</v>
      </c>
      <c r="AT4" t="s">
        <v>1049</v>
      </c>
      <c r="AV4" t="s">
        <v>15</v>
      </c>
      <c r="AW4" t="s">
        <v>1048</v>
      </c>
      <c r="AX4" t="s">
        <v>1049</v>
      </c>
      <c r="AZ4" t="s">
        <v>15</v>
      </c>
      <c r="BB4" t="s">
        <v>15</v>
      </c>
      <c r="BD4" t="s">
        <v>15</v>
      </c>
      <c r="BG4" t="s">
        <v>15</v>
      </c>
      <c r="BI4" t="s">
        <v>15</v>
      </c>
      <c r="BK4" t="s">
        <v>15</v>
      </c>
      <c r="BN4" t="s">
        <v>15</v>
      </c>
      <c r="BO4" t="s">
        <v>1027</v>
      </c>
      <c r="BP4" t="s">
        <v>15</v>
      </c>
      <c r="BQ4" t="s">
        <v>1027</v>
      </c>
      <c r="BR4" t="s">
        <v>15</v>
      </c>
      <c r="BS4" t="s">
        <v>1027</v>
      </c>
    </row>
    <row r="5" spans="1:71" x14ac:dyDescent="0.35">
      <c r="A5" t="s">
        <v>342</v>
      </c>
      <c r="B5">
        <v>401</v>
      </c>
      <c r="C5" t="s">
        <v>343</v>
      </c>
      <c r="D5">
        <v>188.25</v>
      </c>
      <c r="E5" t="s">
        <v>344</v>
      </c>
      <c r="F5">
        <v>194.3</v>
      </c>
      <c r="H5" t="s">
        <v>342</v>
      </c>
      <c r="I5">
        <v>-61.11</v>
      </c>
      <c r="J5" t="s">
        <v>343</v>
      </c>
      <c r="K5">
        <v>-56.1</v>
      </c>
      <c r="L5" t="s">
        <v>344</v>
      </c>
      <c r="M5">
        <v>-63.48</v>
      </c>
      <c r="O5" t="s">
        <v>699</v>
      </c>
      <c r="P5">
        <v>-40.700000000000003</v>
      </c>
      <c r="Q5" t="s">
        <v>343</v>
      </c>
      <c r="R5">
        <v>-43.494399999999999</v>
      </c>
      <c r="S5" t="s">
        <v>344</v>
      </c>
      <c r="T5">
        <v>-39.881900000000002</v>
      </c>
      <c r="V5" t="s">
        <v>342</v>
      </c>
      <c r="W5">
        <v>21.96</v>
      </c>
      <c r="X5" t="s">
        <v>343</v>
      </c>
      <c r="Y5">
        <v>12.605600000000001</v>
      </c>
      <c r="Z5" t="s">
        <v>344</v>
      </c>
      <c r="AA5">
        <v>23.598099999999999</v>
      </c>
      <c r="AD5" t="s">
        <v>342</v>
      </c>
      <c r="AF5">
        <v>83.21</v>
      </c>
      <c r="AH5" t="s">
        <v>342</v>
      </c>
      <c r="AJ5">
        <f>63*AF5/100</f>
        <v>52.422299999999993</v>
      </c>
      <c r="AK5" t="s">
        <v>343</v>
      </c>
      <c r="AM5">
        <v>93.22</v>
      </c>
      <c r="AO5" t="s">
        <v>343</v>
      </c>
      <c r="AQ5">
        <f t="shared" ref="AQ5:AQ16" si="0">63*AM5/100</f>
        <v>58.7286</v>
      </c>
      <c r="AR5" t="s">
        <v>344</v>
      </c>
      <c r="AS5">
        <v>76.17</v>
      </c>
      <c r="AV5" t="s">
        <v>344</v>
      </c>
      <c r="AW5">
        <f>63*Supplementary_Fig7!AL5/100</f>
        <v>15.435</v>
      </c>
      <c r="AZ5" t="s">
        <v>342</v>
      </c>
      <c r="BA5">
        <v>90.17</v>
      </c>
      <c r="BB5" t="s">
        <v>343</v>
      </c>
      <c r="BC5">
        <v>102.68</v>
      </c>
      <c r="BD5" t="s">
        <v>344</v>
      </c>
      <c r="BE5">
        <v>118.15</v>
      </c>
      <c r="BG5" t="s">
        <v>342</v>
      </c>
      <c r="BH5">
        <v>1.83</v>
      </c>
      <c r="BI5" t="s">
        <v>343</v>
      </c>
      <c r="BJ5">
        <v>1.379</v>
      </c>
      <c r="BK5" t="s">
        <v>344</v>
      </c>
      <c r="BL5">
        <v>1.33</v>
      </c>
      <c r="BN5" t="s">
        <v>342</v>
      </c>
      <c r="BO5">
        <v>284.79899999999998</v>
      </c>
      <c r="BP5" t="s">
        <v>343</v>
      </c>
      <c r="BQ5">
        <v>396.03199999999998</v>
      </c>
      <c r="BR5" t="s">
        <v>344</v>
      </c>
      <c r="BS5">
        <v>312.08800000000002</v>
      </c>
    </row>
    <row r="6" spans="1:71" x14ac:dyDescent="0.35">
      <c r="A6" t="s">
        <v>345</v>
      </c>
      <c r="B6">
        <v>196.16</v>
      </c>
      <c r="C6" t="s">
        <v>346</v>
      </c>
      <c r="D6">
        <v>286.82</v>
      </c>
      <c r="E6" t="s">
        <v>347</v>
      </c>
      <c r="F6">
        <v>253.7</v>
      </c>
      <c r="H6" t="s">
        <v>345</v>
      </c>
      <c r="I6">
        <v>-57.23</v>
      </c>
      <c r="J6" t="s">
        <v>346</v>
      </c>
      <c r="K6">
        <v>-61.63</v>
      </c>
      <c r="L6" t="s">
        <v>347</v>
      </c>
      <c r="M6">
        <v>-63.9</v>
      </c>
      <c r="O6" t="s">
        <v>702</v>
      </c>
      <c r="P6">
        <v>-37.6</v>
      </c>
      <c r="Q6" t="s">
        <v>346</v>
      </c>
      <c r="R6">
        <v>-43.6798</v>
      </c>
      <c r="S6" t="s">
        <v>347</v>
      </c>
      <c r="T6">
        <v>-34.996000000000002</v>
      </c>
      <c r="V6" t="s">
        <v>345</v>
      </c>
      <c r="W6">
        <v>17.72</v>
      </c>
      <c r="X6" t="s">
        <v>346</v>
      </c>
      <c r="Y6">
        <v>17.950199999999999</v>
      </c>
      <c r="Z6" t="s">
        <v>347</v>
      </c>
      <c r="AA6">
        <v>28.904</v>
      </c>
      <c r="AD6" t="s">
        <v>345</v>
      </c>
      <c r="AE6">
        <v>28.69</v>
      </c>
      <c r="AH6" t="s">
        <v>345</v>
      </c>
      <c r="AI6">
        <f>63*AE6/100</f>
        <v>18.0747</v>
      </c>
      <c r="AK6" t="s">
        <v>908</v>
      </c>
      <c r="AM6">
        <v>53.88</v>
      </c>
      <c r="AO6" t="s">
        <v>908</v>
      </c>
      <c r="AQ6">
        <f t="shared" si="0"/>
        <v>33.944400000000002</v>
      </c>
      <c r="AR6" t="s">
        <v>347</v>
      </c>
      <c r="AS6">
        <v>103.1</v>
      </c>
      <c r="AV6" t="s">
        <v>347</v>
      </c>
      <c r="AW6">
        <f>63*Supplementary_Fig7!AL6/100</f>
        <v>15.12</v>
      </c>
      <c r="AZ6" t="s">
        <v>345</v>
      </c>
      <c r="BA6">
        <v>71.86</v>
      </c>
      <c r="BB6" t="s">
        <v>908</v>
      </c>
      <c r="BC6">
        <v>90.25</v>
      </c>
      <c r="BD6" t="s">
        <v>347</v>
      </c>
      <c r="BE6">
        <v>122.09</v>
      </c>
      <c r="BG6" t="s">
        <v>345</v>
      </c>
      <c r="BH6">
        <v>2.4300000000000002</v>
      </c>
      <c r="BI6" t="s">
        <v>908</v>
      </c>
      <c r="BJ6">
        <v>1.7290000000000001</v>
      </c>
      <c r="BK6" t="s">
        <v>347</v>
      </c>
      <c r="BL6">
        <v>1.47</v>
      </c>
      <c r="BN6" t="s">
        <v>345</v>
      </c>
      <c r="BO6">
        <v>125.51900000000001</v>
      </c>
      <c r="BP6" t="s">
        <v>908</v>
      </c>
      <c r="BQ6">
        <v>237.179</v>
      </c>
      <c r="BR6" t="s">
        <v>347</v>
      </c>
      <c r="BS6">
        <v>304.08999999999997</v>
      </c>
    </row>
    <row r="7" spans="1:71" x14ac:dyDescent="0.35">
      <c r="A7" t="s">
        <v>348</v>
      </c>
      <c r="B7">
        <v>499.97</v>
      </c>
      <c r="C7" t="s">
        <v>349</v>
      </c>
      <c r="D7">
        <v>326.92</v>
      </c>
      <c r="E7" t="s">
        <v>350</v>
      </c>
      <c r="F7">
        <v>164.97</v>
      </c>
      <c r="H7" t="s">
        <v>348</v>
      </c>
      <c r="I7">
        <v>-49.55</v>
      </c>
      <c r="J7" t="s">
        <v>349</v>
      </c>
      <c r="K7">
        <v>-63.1</v>
      </c>
      <c r="L7" t="s">
        <v>350</v>
      </c>
      <c r="M7">
        <v>-52.27</v>
      </c>
      <c r="O7" t="s">
        <v>703</v>
      </c>
      <c r="P7">
        <v>-35.700000000000003</v>
      </c>
      <c r="Q7" t="s">
        <v>349</v>
      </c>
      <c r="R7">
        <v>-46.411099999999998</v>
      </c>
      <c r="S7" t="s">
        <v>350</v>
      </c>
      <c r="T7">
        <v>-32.926900000000003</v>
      </c>
      <c r="V7" t="s">
        <v>348</v>
      </c>
      <c r="W7">
        <v>12.29</v>
      </c>
      <c r="X7" t="s">
        <v>349</v>
      </c>
      <c r="Y7">
        <v>16.6889</v>
      </c>
      <c r="Z7" t="s">
        <v>350</v>
      </c>
      <c r="AA7">
        <v>19.3431</v>
      </c>
      <c r="AD7" t="s">
        <v>348</v>
      </c>
      <c r="AE7">
        <v>73.34</v>
      </c>
      <c r="AH7" t="s">
        <v>348</v>
      </c>
      <c r="AI7">
        <f>63*AE7/100</f>
        <v>46.2042</v>
      </c>
      <c r="AK7" t="s">
        <v>346</v>
      </c>
      <c r="AM7">
        <v>80.069999999999993</v>
      </c>
      <c r="AO7" t="s">
        <v>346</v>
      </c>
      <c r="AQ7">
        <f t="shared" si="0"/>
        <v>50.444099999999999</v>
      </c>
      <c r="AR7" t="s">
        <v>350</v>
      </c>
      <c r="AS7">
        <v>58.68</v>
      </c>
      <c r="AV7" t="s">
        <v>350</v>
      </c>
      <c r="AW7">
        <f>63*Supplementary_Fig7!AL7/100</f>
        <v>9.4499999999999993</v>
      </c>
      <c r="AZ7" t="s">
        <v>348</v>
      </c>
      <c r="BA7">
        <v>85.82</v>
      </c>
      <c r="BB7" t="s">
        <v>346</v>
      </c>
      <c r="BC7">
        <v>99.02</v>
      </c>
      <c r="BD7" t="s">
        <v>350</v>
      </c>
      <c r="BE7">
        <v>69.58</v>
      </c>
      <c r="BG7" t="s">
        <v>348</v>
      </c>
      <c r="BH7">
        <v>1.68</v>
      </c>
      <c r="BI7" t="s">
        <v>346</v>
      </c>
      <c r="BJ7">
        <v>1.609</v>
      </c>
      <c r="BK7" t="s">
        <v>350</v>
      </c>
      <c r="BL7">
        <v>1.41</v>
      </c>
      <c r="BN7" t="s">
        <v>348</v>
      </c>
      <c r="BO7">
        <v>218.98699999999999</v>
      </c>
      <c r="BP7" t="s">
        <v>346</v>
      </c>
      <c r="BQ7">
        <v>305.55599999999998</v>
      </c>
      <c r="BR7" t="s">
        <v>350</v>
      </c>
      <c r="BS7">
        <v>197.31399999999999</v>
      </c>
    </row>
    <row r="8" spans="1:71" x14ac:dyDescent="0.35">
      <c r="A8" t="s">
        <v>351</v>
      </c>
      <c r="B8">
        <v>285.2</v>
      </c>
      <c r="C8" t="s">
        <v>352</v>
      </c>
      <c r="D8">
        <v>418</v>
      </c>
      <c r="E8" t="s">
        <v>353</v>
      </c>
      <c r="F8">
        <v>156.9</v>
      </c>
      <c r="H8" t="s">
        <v>351</v>
      </c>
      <c r="I8">
        <v>-48.05</v>
      </c>
      <c r="J8" t="s">
        <v>352</v>
      </c>
      <c r="K8">
        <v>-65.44</v>
      </c>
      <c r="L8" t="s">
        <v>353</v>
      </c>
      <c r="M8">
        <v>-59.22</v>
      </c>
      <c r="O8" t="s">
        <v>704</v>
      </c>
      <c r="P8">
        <v>-34.299999999999997</v>
      </c>
      <c r="Q8" t="s">
        <v>352</v>
      </c>
      <c r="R8">
        <v>-42.069000000000003</v>
      </c>
      <c r="S8" t="s">
        <v>353</v>
      </c>
      <c r="T8">
        <v>-43.011499999999998</v>
      </c>
      <c r="V8" t="s">
        <v>351</v>
      </c>
      <c r="W8">
        <v>9.2799999999999905</v>
      </c>
      <c r="X8" t="s">
        <v>352</v>
      </c>
      <c r="Y8">
        <v>23.370999999999999</v>
      </c>
      <c r="Z8" t="s">
        <v>353</v>
      </c>
      <c r="AA8">
        <v>16.208500000000001</v>
      </c>
      <c r="AD8" t="s">
        <v>351</v>
      </c>
      <c r="AE8">
        <v>36.17</v>
      </c>
      <c r="AH8" t="s">
        <v>351</v>
      </c>
      <c r="AI8">
        <f>63*AE8/100</f>
        <v>22.787099999999999</v>
      </c>
      <c r="AK8" t="s">
        <v>349</v>
      </c>
      <c r="AM8">
        <v>77.010000000000005</v>
      </c>
      <c r="AO8" t="s">
        <v>349</v>
      </c>
      <c r="AQ8">
        <f t="shared" si="0"/>
        <v>48.516300000000001</v>
      </c>
      <c r="AR8" t="s">
        <v>353</v>
      </c>
      <c r="AT8">
        <v>71.3</v>
      </c>
      <c r="AV8" t="s">
        <v>353</v>
      </c>
      <c r="AX8">
        <f>63*Supplementary_Fig7!AM8/100</f>
        <v>7.56</v>
      </c>
      <c r="AZ8" t="s">
        <v>351</v>
      </c>
      <c r="BA8">
        <v>75.75</v>
      </c>
      <c r="BB8" t="s">
        <v>349</v>
      </c>
      <c r="BC8">
        <v>107.75</v>
      </c>
      <c r="BD8" t="s">
        <v>353</v>
      </c>
      <c r="BE8">
        <v>94.2</v>
      </c>
      <c r="BG8" t="s">
        <v>351</v>
      </c>
      <c r="BH8">
        <v>2.23</v>
      </c>
      <c r="BI8" t="s">
        <v>349</v>
      </c>
      <c r="BJ8">
        <v>1.613</v>
      </c>
      <c r="BK8" t="s">
        <v>353</v>
      </c>
      <c r="BL8">
        <v>1.17</v>
      </c>
      <c r="BN8" t="s">
        <v>351</v>
      </c>
      <c r="BO8">
        <v>126.541</v>
      </c>
      <c r="BP8" t="s">
        <v>349</v>
      </c>
      <c r="BQ8">
        <v>332.459</v>
      </c>
      <c r="BR8" t="s">
        <v>353</v>
      </c>
      <c r="BS8">
        <v>379.24299999999999</v>
      </c>
    </row>
    <row r="9" spans="1:71" x14ac:dyDescent="0.35">
      <c r="A9" t="s">
        <v>354</v>
      </c>
      <c r="B9">
        <v>824</v>
      </c>
      <c r="C9" t="s">
        <v>355</v>
      </c>
      <c r="D9">
        <v>350.37</v>
      </c>
      <c r="E9" t="s">
        <v>356</v>
      </c>
      <c r="F9">
        <v>213.35</v>
      </c>
      <c r="H9" t="s">
        <v>354</v>
      </c>
      <c r="I9">
        <v>-55.35</v>
      </c>
      <c r="J9" t="s">
        <v>355</v>
      </c>
      <c r="K9">
        <v>-65.52</v>
      </c>
      <c r="L9" t="s">
        <v>356</v>
      </c>
      <c r="M9">
        <v>-73.41</v>
      </c>
      <c r="O9" t="s">
        <v>705</v>
      </c>
      <c r="P9">
        <v>-38.799999999999997</v>
      </c>
      <c r="Q9" t="s">
        <v>355</v>
      </c>
      <c r="R9">
        <v>-57.691000000000003</v>
      </c>
      <c r="S9" t="s">
        <v>356</v>
      </c>
      <c r="T9">
        <v>-42.619300000000003</v>
      </c>
      <c r="V9" t="s">
        <v>354</v>
      </c>
      <c r="W9">
        <v>19.489999999999998</v>
      </c>
      <c r="X9" t="s">
        <v>355</v>
      </c>
      <c r="Y9">
        <v>7.82899999999999</v>
      </c>
      <c r="Z9" t="s">
        <v>356</v>
      </c>
      <c r="AA9">
        <v>30.790700000000001</v>
      </c>
      <c r="AD9" t="s">
        <v>354</v>
      </c>
      <c r="AF9">
        <v>57.17</v>
      </c>
      <c r="AH9" t="s">
        <v>354</v>
      </c>
      <c r="AJ9">
        <f t="shared" ref="AJ9:AJ20" si="1">63*AF9/100</f>
        <v>36.017099999999999</v>
      </c>
      <c r="AK9" t="s">
        <v>352</v>
      </c>
      <c r="AM9">
        <v>99.43</v>
      </c>
      <c r="AO9" t="s">
        <v>352</v>
      </c>
      <c r="AQ9">
        <f t="shared" si="0"/>
        <v>62.640900000000002</v>
      </c>
      <c r="AR9" t="s">
        <v>356</v>
      </c>
      <c r="AT9">
        <v>72.7</v>
      </c>
      <c r="AV9" t="s">
        <v>356</v>
      </c>
      <c r="AX9">
        <f>63*Supplementary_Fig7!AM9/100</f>
        <v>8.19</v>
      </c>
      <c r="AZ9" t="s">
        <v>354</v>
      </c>
      <c r="BA9">
        <v>86.78</v>
      </c>
      <c r="BB9" t="s">
        <v>352</v>
      </c>
      <c r="BC9">
        <v>100.16</v>
      </c>
      <c r="BD9" t="s">
        <v>356</v>
      </c>
      <c r="BE9">
        <v>93.74</v>
      </c>
      <c r="BG9" t="s">
        <v>354</v>
      </c>
      <c r="BH9">
        <v>2.08</v>
      </c>
      <c r="BI9" t="s">
        <v>352</v>
      </c>
      <c r="BJ9">
        <v>1.6140000000000001</v>
      </c>
      <c r="BK9" t="s">
        <v>356</v>
      </c>
      <c r="BL9">
        <v>1.49</v>
      </c>
      <c r="BN9" t="s">
        <v>354</v>
      </c>
      <c r="BO9">
        <v>180.03700000000001</v>
      </c>
      <c r="BP9" t="s">
        <v>352</v>
      </c>
      <c r="BQ9">
        <v>344.322</v>
      </c>
      <c r="BR9" t="s">
        <v>356</v>
      </c>
      <c r="BS9">
        <v>313.37</v>
      </c>
    </row>
    <row r="10" spans="1:71" x14ac:dyDescent="0.35">
      <c r="A10" t="s">
        <v>358</v>
      </c>
      <c r="B10">
        <v>344.35</v>
      </c>
      <c r="C10" t="s">
        <v>359</v>
      </c>
      <c r="D10">
        <v>196.47</v>
      </c>
      <c r="E10" t="s">
        <v>360</v>
      </c>
      <c r="F10">
        <v>263.77</v>
      </c>
      <c r="H10" t="s">
        <v>358</v>
      </c>
      <c r="I10">
        <v>-49.83</v>
      </c>
      <c r="J10" t="s">
        <v>359</v>
      </c>
      <c r="K10">
        <v>-54.17</v>
      </c>
      <c r="L10" t="s">
        <v>360</v>
      </c>
      <c r="M10">
        <v>-70.41</v>
      </c>
      <c r="O10" t="s">
        <v>706</v>
      </c>
      <c r="P10">
        <v>-34.200000000000003</v>
      </c>
      <c r="Q10" t="s">
        <v>359</v>
      </c>
      <c r="R10">
        <v>-44.439700000000002</v>
      </c>
      <c r="S10" t="s">
        <v>360</v>
      </c>
      <c r="T10">
        <v>-37.919600000000003</v>
      </c>
      <c r="V10" t="s">
        <v>358</v>
      </c>
      <c r="W10">
        <v>8.8000000000000007</v>
      </c>
      <c r="X10" t="s">
        <v>359</v>
      </c>
      <c r="Y10">
        <v>9.7302999999999997</v>
      </c>
      <c r="Z10" t="s">
        <v>360</v>
      </c>
      <c r="AA10">
        <v>32.490400000000001</v>
      </c>
      <c r="AD10" t="s">
        <v>358</v>
      </c>
      <c r="AF10">
        <v>47.01</v>
      </c>
      <c r="AH10" t="s">
        <v>358</v>
      </c>
      <c r="AJ10">
        <f t="shared" si="1"/>
        <v>29.616299999999995</v>
      </c>
      <c r="AK10" t="s">
        <v>355</v>
      </c>
      <c r="AM10">
        <v>66.400000000000006</v>
      </c>
      <c r="AO10" t="s">
        <v>355</v>
      </c>
      <c r="AQ10">
        <f t="shared" si="0"/>
        <v>41.832000000000008</v>
      </c>
      <c r="AR10" t="s">
        <v>360</v>
      </c>
      <c r="AT10">
        <v>72.78</v>
      </c>
      <c r="AV10" t="s">
        <v>360</v>
      </c>
      <c r="AX10">
        <f>63*Supplementary_Fig7!AM10/100</f>
        <v>8.5050000000000008</v>
      </c>
      <c r="AZ10" t="s">
        <v>358</v>
      </c>
      <c r="BA10">
        <v>90.92</v>
      </c>
      <c r="BB10" t="s">
        <v>355</v>
      </c>
      <c r="BC10">
        <v>109.71</v>
      </c>
      <c r="BD10" t="s">
        <v>360</v>
      </c>
      <c r="BE10">
        <v>114.82</v>
      </c>
      <c r="BG10" t="s">
        <v>358</v>
      </c>
      <c r="BH10">
        <v>1.93</v>
      </c>
      <c r="BI10" t="s">
        <v>355</v>
      </c>
      <c r="BJ10">
        <v>1.56</v>
      </c>
      <c r="BK10" t="s">
        <v>360</v>
      </c>
      <c r="BL10">
        <v>1.41</v>
      </c>
      <c r="BN10" t="s">
        <v>358</v>
      </c>
      <c r="BO10">
        <v>209.15799999999999</v>
      </c>
      <c r="BP10" t="s">
        <v>355</v>
      </c>
      <c r="BQ10">
        <v>302.83800000000002</v>
      </c>
      <c r="BR10" t="s">
        <v>360</v>
      </c>
      <c r="BS10">
        <v>343.89499999999998</v>
      </c>
    </row>
    <row r="11" spans="1:71" x14ac:dyDescent="0.35">
      <c r="A11" t="s">
        <v>362</v>
      </c>
      <c r="B11">
        <v>415.17</v>
      </c>
      <c r="C11" t="s">
        <v>363</v>
      </c>
      <c r="D11">
        <v>282.35000000000002</v>
      </c>
      <c r="E11" t="s">
        <v>364</v>
      </c>
      <c r="F11">
        <v>242.7</v>
      </c>
      <c r="H11" t="s">
        <v>362</v>
      </c>
      <c r="I11">
        <v>-45.08</v>
      </c>
      <c r="J11" t="s">
        <v>363</v>
      </c>
      <c r="K11">
        <v>-63.83</v>
      </c>
      <c r="L11" t="s">
        <v>364</v>
      </c>
      <c r="M11">
        <v>-57.98</v>
      </c>
      <c r="O11" t="s">
        <v>707</v>
      </c>
      <c r="P11">
        <v>-36.5</v>
      </c>
      <c r="Q11" t="s">
        <v>363</v>
      </c>
      <c r="R11">
        <v>-40.609000000000002</v>
      </c>
      <c r="S11" t="s">
        <v>364</v>
      </c>
      <c r="T11">
        <v>-45.498699999999999</v>
      </c>
      <c r="V11" t="s">
        <v>362</v>
      </c>
      <c r="W11">
        <v>9.73</v>
      </c>
      <c r="X11" t="s">
        <v>363</v>
      </c>
      <c r="Y11">
        <v>23.221</v>
      </c>
      <c r="Z11" t="s">
        <v>364</v>
      </c>
      <c r="AA11">
        <v>12.481299999999999</v>
      </c>
      <c r="AD11" t="s">
        <v>362</v>
      </c>
      <c r="AF11">
        <v>33.96</v>
      </c>
      <c r="AH11" t="s">
        <v>362</v>
      </c>
      <c r="AJ11">
        <f t="shared" si="1"/>
        <v>21.3948</v>
      </c>
      <c r="AK11" t="s">
        <v>359</v>
      </c>
      <c r="AM11">
        <v>54.03</v>
      </c>
      <c r="AO11" t="s">
        <v>359</v>
      </c>
      <c r="AQ11">
        <f t="shared" si="0"/>
        <v>34.038899999999998</v>
      </c>
      <c r="AR11" t="s">
        <v>364</v>
      </c>
      <c r="AT11">
        <v>69.25</v>
      </c>
      <c r="AV11" t="s">
        <v>364</v>
      </c>
      <c r="AX11">
        <f>63*Supplementary_Fig7!AM11/100</f>
        <v>0</v>
      </c>
      <c r="AZ11" t="s">
        <v>362</v>
      </c>
      <c r="BA11">
        <v>75.52</v>
      </c>
      <c r="BB11" t="s">
        <v>359</v>
      </c>
      <c r="BC11">
        <v>89.08</v>
      </c>
      <c r="BD11" t="s">
        <v>364</v>
      </c>
      <c r="BE11">
        <v>108.55</v>
      </c>
      <c r="BG11" t="s">
        <v>362</v>
      </c>
      <c r="BH11">
        <v>2.5499999999999998</v>
      </c>
      <c r="BI11" t="s">
        <v>359</v>
      </c>
      <c r="BJ11">
        <v>1.91</v>
      </c>
      <c r="BK11" t="s">
        <v>364</v>
      </c>
      <c r="BL11">
        <v>1.43</v>
      </c>
      <c r="BN11" t="s">
        <v>362</v>
      </c>
      <c r="BO11">
        <v>110.128</v>
      </c>
      <c r="BP11" t="s">
        <v>359</v>
      </c>
      <c r="BQ11">
        <v>168.761</v>
      </c>
      <c r="BR11" t="s">
        <v>364</v>
      </c>
      <c r="BS11">
        <v>304.51499999999999</v>
      </c>
    </row>
    <row r="12" spans="1:71" x14ac:dyDescent="0.35">
      <c r="A12" t="s">
        <v>366</v>
      </c>
      <c r="B12">
        <v>907.8</v>
      </c>
      <c r="C12" t="s">
        <v>367</v>
      </c>
      <c r="D12">
        <v>228.82</v>
      </c>
      <c r="E12" t="s">
        <v>368</v>
      </c>
      <c r="F12">
        <v>185.35</v>
      </c>
      <c r="H12" t="s">
        <v>366</v>
      </c>
      <c r="I12">
        <v>-53.08</v>
      </c>
      <c r="J12" t="s">
        <v>367</v>
      </c>
      <c r="K12">
        <v>-61.24</v>
      </c>
      <c r="L12" t="s">
        <v>368</v>
      </c>
      <c r="M12">
        <v>-64.75</v>
      </c>
      <c r="O12" t="s">
        <v>205</v>
      </c>
      <c r="P12">
        <v>-39.9</v>
      </c>
      <c r="Q12" t="s">
        <v>367</v>
      </c>
      <c r="R12">
        <v>-42.905999999999999</v>
      </c>
      <c r="S12" t="s">
        <v>368</v>
      </c>
      <c r="T12">
        <v>-26.6052</v>
      </c>
      <c r="V12" t="s">
        <v>366</v>
      </c>
      <c r="W12">
        <v>14.63</v>
      </c>
      <c r="X12" t="s">
        <v>367</v>
      </c>
      <c r="Y12">
        <v>18.334</v>
      </c>
      <c r="Z12" t="s">
        <v>368</v>
      </c>
      <c r="AA12">
        <v>38.144799999999996</v>
      </c>
      <c r="AD12" t="s">
        <v>366</v>
      </c>
      <c r="AF12">
        <v>66.28</v>
      </c>
      <c r="AH12" t="s">
        <v>366</v>
      </c>
      <c r="AJ12">
        <f t="shared" si="1"/>
        <v>41.756400000000006</v>
      </c>
      <c r="AK12" t="s">
        <v>363</v>
      </c>
      <c r="AM12">
        <v>78.38</v>
      </c>
      <c r="AO12" t="s">
        <v>363</v>
      </c>
      <c r="AQ12">
        <f t="shared" si="0"/>
        <v>49.379399999999997</v>
      </c>
      <c r="AR12" t="s">
        <v>368</v>
      </c>
      <c r="AT12">
        <v>59.27</v>
      </c>
      <c r="AV12" t="s">
        <v>368</v>
      </c>
      <c r="AX12">
        <f>63*Supplementary_Fig7!AM12/100</f>
        <v>0</v>
      </c>
      <c r="AZ12" t="s">
        <v>366</v>
      </c>
      <c r="BA12">
        <v>88.01</v>
      </c>
      <c r="BB12" t="s">
        <v>363</v>
      </c>
      <c r="BC12">
        <v>123.07</v>
      </c>
      <c r="BD12" t="s">
        <v>368</v>
      </c>
      <c r="BE12">
        <v>79.11</v>
      </c>
      <c r="BG12" t="s">
        <v>366</v>
      </c>
      <c r="BH12">
        <v>2.14</v>
      </c>
      <c r="BI12" t="s">
        <v>363</v>
      </c>
      <c r="BJ12">
        <v>1.49</v>
      </c>
      <c r="BK12" t="s">
        <v>368</v>
      </c>
      <c r="BL12">
        <v>1.48</v>
      </c>
      <c r="BN12" t="s">
        <v>366</v>
      </c>
      <c r="BO12">
        <v>158.20599999999999</v>
      </c>
      <c r="BP12" t="s">
        <v>363</v>
      </c>
      <c r="BQ12">
        <v>396.524</v>
      </c>
      <c r="BR12" t="s">
        <v>368</v>
      </c>
      <c r="BS12">
        <v>296.15600000000001</v>
      </c>
    </row>
    <row r="13" spans="1:71" x14ac:dyDescent="0.35">
      <c r="A13" t="s">
        <v>370</v>
      </c>
      <c r="B13">
        <v>672.1</v>
      </c>
      <c r="C13" t="s">
        <v>371</v>
      </c>
      <c r="D13">
        <v>285.95</v>
      </c>
      <c r="E13" t="s">
        <v>372</v>
      </c>
      <c r="F13">
        <v>107.25</v>
      </c>
      <c r="H13" t="s">
        <v>370</v>
      </c>
      <c r="I13">
        <v>-42.01</v>
      </c>
      <c r="J13" t="s">
        <v>371</v>
      </c>
      <c r="K13">
        <v>-71</v>
      </c>
      <c r="L13" t="s">
        <v>372</v>
      </c>
      <c r="M13">
        <v>-50.47</v>
      </c>
      <c r="O13" t="s">
        <v>708</v>
      </c>
      <c r="P13">
        <v>-36.799999999999997</v>
      </c>
      <c r="Q13" t="s">
        <v>371</v>
      </c>
      <c r="R13">
        <v>-43.791899999999998</v>
      </c>
      <c r="S13" t="s">
        <v>372</v>
      </c>
      <c r="T13">
        <v>-40.699800000000003</v>
      </c>
      <c r="V13" t="s">
        <v>370</v>
      </c>
      <c r="W13">
        <v>8.1699999999999893</v>
      </c>
      <c r="X13" t="s">
        <v>371</v>
      </c>
      <c r="Y13">
        <v>27.208100000000002</v>
      </c>
      <c r="Z13" t="s">
        <v>372</v>
      </c>
      <c r="AA13">
        <v>9.7702000000000009</v>
      </c>
      <c r="AD13" t="s">
        <v>370</v>
      </c>
      <c r="AF13">
        <v>47.76</v>
      </c>
      <c r="AH13" t="s">
        <v>370</v>
      </c>
      <c r="AJ13">
        <f t="shared" si="1"/>
        <v>30.088799999999996</v>
      </c>
      <c r="AK13" t="s">
        <v>367</v>
      </c>
      <c r="AM13">
        <v>85.27</v>
      </c>
      <c r="AO13" t="s">
        <v>367</v>
      </c>
      <c r="AQ13">
        <f t="shared" si="0"/>
        <v>53.720099999999995</v>
      </c>
      <c r="AR13" t="s">
        <v>372</v>
      </c>
      <c r="AV13" t="s">
        <v>372</v>
      </c>
      <c r="AZ13" t="s">
        <v>370</v>
      </c>
      <c r="BA13">
        <v>79.55</v>
      </c>
      <c r="BB13" t="s">
        <v>367</v>
      </c>
      <c r="BC13">
        <v>90.72</v>
      </c>
      <c r="BD13" t="s">
        <v>372</v>
      </c>
      <c r="BE13">
        <v>94.28</v>
      </c>
      <c r="BG13" t="s">
        <v>370</v>
      </c>
      <c r="BH13">
        <v>2.74</v>
      </c>
      <c r="BI13" t="s">
        <v>367</v>
      </c>
      <c r="BJ13">
        <v>1.58</v>
      </c>
      <c r="BK13" t="s">
        <v>372</v>
      </c>
      <c r="BL13">
        <v>1.61</v>
      </c>
      <c r="BN13" t="s">
        <v>370</v>
      </c>
      <c r="BO13">
        <v>84.065899999999999</v>
      </c>
      <c r="BP13" t="s">
        <v>367</v>
      </c>
      <c r="BQ13">
        <v>264.10300000000001</v>
      </c>
      <c r="BR13" t="s">
        <v>372</v>
      </c>
      <c r="BS13">
        <v>379.74400000000003</v>
      </c>
    </row>
    <row r="14" spans="1:71" x14ac:dyDescent="0.35">
      <c r="A14" t="s">
        <v>374</v>
      </c>
      <c r="B14">
        <v>301.60000000000002</v>
      </c>
      <c r="C14" t="s">
        <v>375</v>
      </c>
      <c r="D14">
        <v>229.65</v>
      </c>
      <c r="E14" t="s">
        <v>376</v>
      </c>
      <c r="F14">
        <v>184.47</v>
      </c>
      <c r="H14" t="s">
        <v>374</v>
      </c>
      <c r="I14">
        <v>-52.29</v>
      </c>
      <c r="J14" t="s">
        <v>375</v>
      </c>
      <c r="K14">
        <v>-67.53</v>
      </c>
      <c r="L14" t="s">
        <v>376</v>
      </c>
      <c r="M14">
        <v>-50</v>
      </c>
      <c r="O14" t="s">
        <v>208</v>
      </c>
      <c r="P14">
        <v>-38.9</v>
      </c>
      <c r="Q14" t="s">
        <v>375</v>
      </c>
      <c r="R14">
        <v>-55.677</v>
      </c>
      <c r="S14" t="s">
        <v>376</v>
      </c>
      <c r="T14">
        <v>-40.6158</v>
      </c>
      <c r="V14" t="s">
        <v>374</v>
      </c>
      <c r="W14">
        <v>12.48</v>
      </c>
      <c r="X14" t="s">
        <v>375</v>
      </c>
      <c r="Y14">
        <v>11.853</v>
      </c>
      <c r="Z14" t="s">
        <v>376</v>
      </c>
      <c r="AA14">
        <v>9.3841999999999999</v>
      </c>
      <c r="AD14" t="s">
        <v>374</v>
      </c>
      <c r="AF14">
        <v>28.84</v>
      </c>
      <c r="AH14" t="s">
        <v>374</v>
      </c>
      <c r="AJ14">
        <f t="shared" si="1"/>
        <v>18.1692</v>
      </c>
      <c r="AK14" t="s">
        <v>371</v>
      </c>
      <c r="AM14">
        <v>61.64</v>
      </c>
      <c r="AO14" t="s">
        <v>371</v>
      </c>
      <c r="AQ14">
        <f t="shared" si="0"/>
        <v>38.833200000000005</v>
      </c>
      <c r="AR14" t="s">
        <v>376</v>
      </c>
      <c r="AS14">
        <v>30.04</v>
      </c>
      <c r="AV14" t="s">
        <v>376</v>
      </c>
      <c r="AW14">
        <f>63*Supplementary_Fig7!AL14/100</f>
        <v>0</v>
      </c>
      <c r="AZ14" t="s">
        <v>374</v>
      </c>
      <c r="BA14">
        <v>57.56</v>
      </c>
      <c r="BB14" t="s">
        <v>371</v>
      </c>
      <c r="BC14">
        <v>122.72</v>
      </c>
      <c r="BD14" t="s">
        <v>376</v>
      </c>
      <c r="BE14">
        <v>57.69</v>
      </c>
      <c r="BG14" t="s">
        <v>374</v>
      </c>
      <c r="BH14">
        <v>3.61</v>
      </c>
      <c r="BI14" t="s">
        <v>371</v>
      </c>
      <c r="BJ14">
        <v>1.56</v>
      </c>
      <c r="BK14" t="s">
        <v>376</v>
      </c>
      <c r="BL14">
        <v>2.0099999999999998</v>
      </c>
      <c r="BN14" t="s">
        <v>374</v>
      </c>
      <c r="BO14">
        <v>74.496600000000001</v>
      </c>
      <c r="BP14" t="s">
        <v>371</v>
      </c>
      <c r="BQ14">
        <v>335.59199999999998</v>
      </c>
      <c r="BR14" t="s">
        <v>376</v>
      </c>
      <c r="BS14">
        <v>94.993899999999996</v>
      </c>
    </row>
    <row r="15" spans="1:71" x14ac:dyDescent="0.35">
      <c r="A15" t="s">
        <v>378</v>
      </c>
      <c r="B15">
        <v>498.2</v>
      </c>
      <c r="C15" t="s">
        <v>379</v>
      </c>
      <c r="D15">
        <v>297.27</v>
      </c>
      <c r="E15" t="s">
        <v>380</v>
      </c>
      <c r="F15">
        <v>195.95</v>
      </c>
      <c r="H15" t="s">
        <v>378</v>
      </c>
      <c r="I15">
        <v>-58.42</v>
      </c>
      <c r="J15" t="s">
        <v>379</v>
      </c>
      <c r="K15">
        <v>-59.3</v>
      </c>
      <c r="L15" t="s">
        <v>380</v>
      </c>
      <c r="M15">
        <v>-61.06</v>
      </c>
      <c r="O15" t="s">
        <v>213</v>
      </c>
      <c r="P15">
        <v>-39.6</v>
      </c>
      <c r="Q15" t="s">
        <v>379</v>
      </c>
      <c r="R15">
        <v>-42.966000000000001</v>
      </c>
      <c r="S15" t="s">
        <v>380</v>
      </c>
      <c r="T15">
        <v>-48.707599999999999</v>
      </c>
      <c r="V15" t="s">
        <v>378</v>
      </c>
      <c r="W15">
        <v>20.63</v>
      </c>
      <c r="X15" t="s">
        <v>379</v>
      </c>
      <c r="Y15">
        <v>16.334</v>
      </c>
      <c r="Z15" t="s">
        <v>380</v>
      </c>
      <c r="AA15">
        <v>12.352399999999999</v>
      </c>
      <c r="AD15" t="s">
        <v>378</v>
      </c>
      <c r="AF15">
        <v>76.75</v>
      </c>
      <c r="AH15" t="s">
        <v>378</v>
      </c>
      <c r="AJ15">
        <f t="shared" si="1"/>
        <v>48.352499999999999</v>
      </c>
      <c r="AK15" t="s">
        <v>375</v>
      </c>
      <c r="AM15">
        <v>64.02</v>
      </c>
      <c r="AO15" t="s">
        <v>375</v>
      </c>
      <c r="AQ15">
        <f t="shared" si="0"/>
        <v>40.332599999999999</v>
      </c>
      <c r="AR15" t="s">
        <v>380</v>
      </c>
      <c r="AS15">
        <v>59.91</v>
      </c>
      <c r="AV15" t="s">
        <v>380</v>
      </c>
      <c r="AW15">
        <f>63*Supplementary_Fig7!AL15/100</f>
        <v>0</v>
      </c>
      <c r="AZ15" t="s">
        <v>378</v>
      </c>
      <c r="BA15">
        <v>101.35</v>
      </c>
      <c r="BB15" t="s">
        <v>375</v>
      </c>
      <c r="BC15">
        <v>106.63</v>
      </c>
      <c r="BD15" t="s">
        <v>380</v>
      </c>
      <c r="BE15">
        <v>117.4</v>
      </c>
      <c r="BG15" t="s">
        <v>378</v>
      </c>
      <c r="BH15">
        <v>1.85</v>
      </c>
      <c r="BI15" t="s">
        <v>375</v>
      </c>
      <c r="BJ15">
        <v>1.49</v>
      </c>
      <c r="BK15" t="s">
        <v>380</v>
      </c>
      <c r="BL15">
        <v>1.28</v>
      </c>
      <c r="BN15" t="s">
        <v>378</v>
      </c>
      <c r="BO15">
        <v>210.928</v>
      </c>
      <c r="BP15" t="s">
        <v>375</v>
      </c>
      <c r="BQ15">
        <v>332.459</v>
      </c>
      <c r="BR15" t="s">
        <v>380</v>
      </c>
      <c r="BS15">
        <v>401.70800000000003</v>
      </c>
    </row>
    <row r="16" spans="1:71" x14ac:dyDescent="0.35">
      <c r="A16" t="s">
        <v>382</v>
      </c>
      <c r="B16">
        <v>630.29999999999995</v>
      </c>
      <c r="C16" t="s">
        <v>383</v>
      </c>
      <c r="D16">
        <v>421.9</v>
      </c>
      <c r="E16" t="s">
        <v>384</v>
      </c>
      <c r="F16">
        <v>287.07</v>
      </c>
      <c r="H16" t="s">
        <v>382</v>
      </c>
      <c r="I16">
        <v>-61.61</v>
      </c>
      <c r="J16" t="s">
        <v>383</v>
      </c>
      <c r="K16">
        <v>-67.42</v>
      </c>
      <c r="L16" t="s">
        <v>384</v>
      </c>
      <c r="M16">
        <v>-61.78</v>
      </c>
      <c r="O16" t="s">
        <v>216</v>
      </c>
      <c r="P16">
        <v>-43.3</v>
      </c>
      <c r="Q16" t="s">
        <v>383</v>
      </c>
      <c r="R16">
        <v>-45.091999999999999</v>
      </c>
      <c r="S16" t="s">
        <v>384</v>
      </c>
      <c r="T16">
        <v>-41.877699999999997</v>
      </c>
      <c r="V16" t="s">
        <v>382</v>
      </c>
      <c r="W16">
        <v>29.3</v>
      </c>
      <c r="X16" t="s">
        <v>383</v>
      </c>
      <c r="Y16">
        <v>22.327999999999999</v>
      </c>
      <c r="Z16" t="s">
        <v>384</v>
      </c>
      <c r="AA16">
        <v>19.9023</v>
      </c>
      <c r="AD16" t="s">
        <v>382</v>
      </c>
      <c r="AF16">
        <v>76.239999999999995</v>
      </c>
      <c r="AH16" t="s">
        <v>382</v>
      </c>
      <c r="AJ16">
        <f t="shared" si="1"/>
        <v>48.031199999999998</v>
      </c>
      <c r="AK16" t="s">
        <v>1024</v>
      </c>
      <c r="AM16">
        <v>50.89</v>
      </c>
      <c r="AO16" t="s">
        <v>1024</v>
      </c>
      <c r="AQ16">
        <f t="shared" si="0"/>
        <v>32.060700000000004</v>
      </c>
      <c r="AR16" t="s">
        <v>384</v>
      </c>
      <c r="AT16">
        <v>74.400000000000006</v>
      </c>
      <c r="AV16" t="s">
        <v>384</v>
      </c>
      <c r="AX16" t="e">
        <f>63*Supplementary_Fig7!AM16/100</f>
        <v>#VALUE!</v>
      </c>
      <c r="AZ16" t="s">
        <v>382</v>
      </c>
      <c r="BA16">
        <v>96.4</v>
      </c>
      <c r="BB16" t="s">
        <v>1024</v>
      </c>
      <c r="BC16">
        <v>93.26</v>
      </c>
      <c r="BD16" t="s">
        <v>384</v>
      </c>
      <c r="BE16">
        <v>106.71</v>
      </c>
      <c r="BG16" t="s">
        <v>382</v>
      </c>
      <c r="BH16">
        <v>4.4000000000000004</v>
      </c>
      <c r="BI16" t="s">
        <v>1024</v>
      </c>
      <c r="BJ16">
        <v>1.34</v>
      </c>
      <c r="BK16" t="s">
        <v>384</v>
      </c>
      <c r="BL16">
        <v>1.34</v>
      </c>
      <c r="BN16" t="s">
        <v>382</v>
      </c>
      <c r="BO16">
        <v>107.322</v>
      </c>
      <c r="BP16" t="s">
        <v>1024</v>
      </c>
      <c r="BR16" t="s">
        <v>384</v>
      </c>
      <c r="BS16">
        <v>313.30900000000003</v>
      </c>
    </row>
    <row r="17" spans="1:71" x14ac:dyDescent="0.35">
      <c r="A17" t="s">
        <v>385</v>
      </c>
      <c r="B17">
        <v>381.8</v>
      </c>
      <c r="C17" t="s">
        <v>386</v>
      </c>
      <c r="D17">
        <v>387.25</v>
      </c>
      <c r="E17" t="s">
        <v>387</v>
      </c>
      <c r="F17">
        <v>244.67</v>
      </c>
      <c r="H17" t="s">
        <v>385</v>
      </c>
      <c r="I17">
        <v>-58.91</v>
      </c>
      <c r="J17" t="s">
        <v>386</v>
      </c>
      <c r="K17">
        <v>-51.63</v>
      </c>
      <c r="L17" t="s">
        <v>387</v>
      </c>
      <c r="M17">
        <v>-63.69</v>
      </c>
      <c r="O17" t="s">
        <v>219</v>
      </c>
      <c r="P17">
        <v>-41.8</v>
      </c>
      <c r="Q17" t="s">
        <v>386</v>
      </c>
      <c r="R17">
        <v>-41.587800000000001</v>
      </c>
      <c r="S17" t="s">
        <v>387</v>
      </c>
      <c r="T17">
        <v>-43.5349</v>
      </c>
      <c r="V17" t="s">
        <v>385</v>
      </c>
      <c r="W17">
        <v>20.21</v>
      </c>
      <c r="X17" t="s">
        <v>386</v>
      </c>
      <c r="Y17">
        <v>10.042199999999999</v>
      </c>
      <c r="Z17" t="s">
        <v>387</v>
      </c>
      <c r="AA17">
        <v>20.155100000000001</v>
      </c>
      <c r="AD17" t="s">
        <v>385</v>
      </c>
      <c r="AF17">
        <v>29.41</v>
      </c>
      <c r="AH17" t="s">
        <v>385</v>
      </c>
      <c r="AJ17">
        <f t="shared" si="1"/>
        <v>18.528299999999998</v>
      </c>
      <c r="AK17" t="s">
        <v>1051</v>
      </c>
      <c r="AO17" t="s">
        <v>1051</v>
      </c>
      <c r="AR17" t="s">
        <v>387</v>
      </c>
      <c r="AT17">
        <v>62.76</v>
      </c>
      <c r="AV17" t="s">
        <v>387</v>
      </c>
      <c r="AX17">
        <f>63*Supplementary_Fig7!AM17/100</f>
        <v>0</v>
      </c>
      <c r="AZ17" t="s">
        <v>385</v>
      </c>
      <c r="BA17">
        <v>83.34</v>
      </c>
      <c r="BB17" t="s">
        <v>1051</v>
      </c>
      <c r="BD17" t="s">
        <v>387</v>
      </c>
      <c r="BE17">
        <v>121.2</v>
      </c>
      <c r="BG17" t="s">
        <v>385</v>
      </c>
      <c r="BH17">
        <v>1.96</v>
      </c>
      <c r="BI17" t="s">
        <v>1051</v>
      </c>
      <c r="BK17" t="s">
        <v>387</v>
      </c>
      <c r="BL17">
        <v>1.42</v>
      </c>
      <c r="BN17" t="s">
        <v>385</v>
      </c>
      <c r="BO17">
        <v>200.244</v>
      </c>
      <c r="BP17" t="s">
        <v>1051</v>
      </c>
      <c r="BR17" t="s">
        <v>387</v>
      </c>
      <c r="BS17">
        <v>346.58100000000002</v>
      </c>
    </row>
    <row r="18" spans="1:71" x14ac:dyDescent="0.35">
      <c r="A18" t="s">
        <v>388</v>
      </c>
      <c r="B18">
        <v>941</v>
      </c>
      <c r="C18" t="s">
        <v>389</v>
      </c>
      <c r="D18">
        <v>339.17</v>
      </c>
      <c r="E18" t="s">
        <v>390</v>
      </c>
      <c r="F18">
        <v>191.07</v>
      </c>
      <c r="H18" t="s">
        <v>388</v>
      </c>
      <c r="I18">
        <v>-54.51</v>
      </c>
      <c r="J18" t="s">
        <v>389</v>
      </c>
      <c r="K18">
        <v>-65.739999999999995</v>
      </c>
      <c r="L18" t="s">
        <v>390</v>
      </c>
      <c r="M18">
        <v>-58.25</v>
      </c>
      <c r="O18" t="s">
        <v>709</v>
      </c>
      <c r="P18">
        <v>-42.7</v>
      </c>
      <c r="Q18" t="s">
        <v>389</v>
      </c>
      <c r="R18">
        <v>-32.436999999999998</v>
      </c>
      <c r="S18" t="s">
        <v>390</v>
      </c>
      <c r="T18">
        <v>-41.371200000000002</v>
      </c>
      <c r="V18" t="s">
        <v>388</v>
      </c>
      <c r="W18">
        <v>25.59</v>
      </c>
      <c r="X18" t="s">
        <v>389</v>
      </c>
      <c r="Y18">
        <v>33.302999999999997</v>
      </c>
      <c r="Z18" t="s">
        <v>390</v>
      </c>
      <c r="AA18">
        <v>16.878799999999998</v>
      </c>
      <c r="AD18" t="s">
        <v>388</v>
      </c>
      <c r="AF18">
        <v>75.59</v>
      </c>
      <c r="AH18" t="s">
        <v>388</v>
      </c>
      <c r="AJ18">
        <f t="shared" si="1"/>
        <v>47.621700000000004</v>
      </c>
      <c r="AK18" t="s">
        <v>379</v>
      </c>
      <c r="AM18">
        <v>67.12</v>
      </c>
      <c r="AO18" t="s">
        <v>379</v>
      </c>
      <c r="AQ18">
        <f>63*AM18/100</f>
        <v>42.285600000000002</v>
      </c>
      <c r="AR18" t="s">
        <v>390</v>
      </c>
      <c r="AS18">
        <v>56.18</v>
      </c>
      <c r="AV18" t="s">
        <v>390</v>
      </c>
      <c r="AW18">
        <f>63*Supplementary_Fig7!AL18/100</f>
        <v>3.4649999999999999</v>
      </c>
      <c r="AZ18" t="s">
        <v>388</v>
      </c>
      <c r="BA18">
        <v>88.33</v>
      </c>
      <c r="BB18" t="s">
        <v>379</v>
      </c>
      <c r="BC18">
        <v>106.53</v>
      </c>
      <c r="BD18" t="s">
        <v>390</v>
      </c>
      <c r="BE18">
        <v>105.7</v>
      </c>
      <c r="BG18" t="s">
        <v>388</v>
      </c>
      <c r="BH18">
        <v>4.42</v>
      </c>
      <c r="BI18" t="s">
        <v>379</v>
      </c>
      <c r="BJ18">
        <v>1.68</v>
      </c>
      <c r="BK18" t="s">
        <v>390</v>
      </c>
      <c r="BL18">
        <v>1.33</v>
      </c>
      <c r="BN18" t="s">
        <v>388</v>
      </c>
      <c r="BO18">
        <v>61.3553</v>
      </c>
      <c r="BP18" t="s">
        <v>379</v>
      </c>
      <c r="BQ18">
        <v>336.142</v>
      </c>
      <c r="BR18" t="s">
        <v>390</v>
      </c>
      <c r="BS18">
        <v>325.76299999999998</v>
      </c>
    </row>
    <row r="19" spans="1:71" x14ac:dyDescent="0.35">
      <c r="A19" t="s">
        <v>391</v>
      </c>
      <c r="B19">
        <v>717</v>
      </c>
      <c r="C19" t="s">
        <v>392</v>
      </c>
      <c r="D19">
        <v>348.2</v>
      </c>
      <c r="E19" t="s">
        <v>393</v>
      </c>
      <c r="F19">
        <v>238.47</v>
      </c>
      <c r="H19" t="s">
        <v>391</v>
      </c>
      <c r="I19">
        <v>-53.42</v>
      </c>
      <c r="J19" t="s">
        <v>392</v>
      </c>
      <c r="K19">
        <v>-59.47</v>
      </c>
      <c r="L19" t="s">
        <v>393</v>
      </c>
      <c r="M19">
        <v>-53.65</v>
      </c>
      <c r="O19" t="s">
        <v>710</v>
      </c>
      <c r="P19">
        <v>-43.2</v>
      </c>
      <c r="Q19" t="s">
        <v>392</v>
      </c>
      <c r="R19">
        <v>-40.549399999999999</v>
      </c>
      <c r="S19" t="s">
        <v>393</v>
      </c>
      <c r="T19">
        <v>-34.715299999999999</v>
      </c>
      <c r="V19" t="s">
        <v>391</v>
      </c>
      <c r="W19">
        <v>12.05</v>
      </c>
      <c r="X19" t="s">
        <v>392</v>
      </c>
      <c r="Y19">
        <v>18.9206</v>
      </c>
      <c r="Z19" t="s">
        <v>393</v>
      </c>
      <c r="AA19">
        <v>18.934699999999999</v>
      </c>
      <c r="AD19" t="s">
        <v>391</v>
      </c>
      <c r="AF19">
        <v>86.19</v>
      </c>
      <c r="AH19" t="s">
        <v>391</v>
      </c>
      <c r="AJ19">
        <f t="shared" si="1"/>
        <v>54.299700000000001</v>
      </c>
      <c r="AK19" t="s">
        <v>383</v>
      </c>
      <c r="AL19">
        <v>95.46</v>
      </c>
      <c r="AO19" t="s">
        <v>383</v>
      </c>
      <c r="AP19">
        <f>63*AL19/100</f>
        <v>60.139799999999994</v>
      </c>
      <c r="AR19" t="s">
        <v>393</v>
      </c>
      <c r="AT19">
        <v>58.57</v>
      </c>
      <c r="AV19" t="s">
        <v>393</v>
      </c>
      <c r="AX19">
        <f>63*Supplementary_Fig7!AM19/100</f>
        <v>0.63</v>
      </c>
      <c r="AZ19" t="s">
        <v>391</v>
      </c>
      <c r="BA19">
        <v>94.85</v>
      </c>
      <c r="BB19" t="s">
        <v>383</v>
      </c>
      <c r="BC19">
        <v>12.29</v>
      </c>
      <c r="BD19" t="s">
        <v>393</v>
      </c>
      <c r="BE19">
        <v>108.65</v>
      </c>
      <c r="BG19" t="s">
        <v>391</v>
      </c>
      <c r="BH19">
        <v>1.78</v>
      </c>
      <c r="BI19" t="s">
        <v>383</v>
      </c>
      <c r="BJ19">
        <v>1.93</v>
      </c>
      <c r="BK19" t="s">
        <v>393</v>
      </c>
      <c r="BL19">
        <v>1.31</v>
      </c>
      <c r="BN19" t="s">
        <v>391</v>
      </c>
      <c r="BO19">
        <v>199.81700000000001</v>
      </c>
      <c r="BP19" t="s">
        <v>383</v>
      </c>
      <c r="BQ19">
        <v>281.452</v>
      </c>
      <c r="BR19" t="s">
        <v>393</v>
      </c>
      <c r="BS19">
        <v>274.61900000000003</v>
      </c>
    </row>
    <row r="20" spans="1:71" x14ac:dyDescent="0.35">
      <c r="A20" t="s">
        <v>394</v>
      </c>
      <c r="B20">
        <v>474.4</v>
      </c>
      <c r="C20" t="s">
        <v>395</v>
      </c>
      <c r="D20">
        <v>513.4</v>
      </c>
      <c r="E20" t="s">
        <v>396</v>
      </c>
      <c r="F20">
        <v>117.15</v>
      </c>
      <c r="H20" t="s">
        <v>711</v>
      </c>
      <c r="I20">
        <v>-61.23</v>
      </c>
      <c r="J20" t="s">
        <v>395</v>
      </c>
      <c r="K20">
        <v>-64.34</v>
      </c>
      <c r="L20" t="s">
        <v>396</v>
      </c>
      <c r="M20">
        <v>-53.29</v>
      </c>
      <c r="O20" t="s">
        <v>712</v>
      </c>
      <c r="P20">
        <v>-41.3</v>
      </c>
      <c r="Q20" t="s">
        <v>395</v>
      </c>
      <c r="R20">
        <v>-49.143999999999998</v>
      </c>
      <c r="S20" t="s">
        <v>396</v>
      </c>
      <c r="T20">
        <v>-40.013100000000001</v>
      </c>
      <c r="V20" t="s">
        <v>394</v>
      </c>
      <c r="W20">
        <v>22.73</v>
      </c>
      <c r="X20" t="s">
        <v>395</v>
      </c>
      <c r="Y20">
        <v>15.196</v>
      </c>
      <c r="Z20" t="s">
        <v>396</v>
      </c>
      <c r="AA20">
        <v>13.276899999999999</v>
      </c>
      <c r="AD20" t="s">
        <v>394</v>
      </c>
      <c r="AF20">
        <v>67.989999999999995</v>
      </c>
      <c r="AH20" t="s">
        <v>394</v>
      </c>
      <c r="AJ20">
        <f t="shared" si="1"/>
        <v>42.8337</v>
      </c>
      <c r="AK20" t="s">
        <v>386</v>
      </c>
      <c r="AL20">
        <v>88.75</v>
      </c>
      <c r="AO20" t="s">
        <v>386</v>
      </c>
      <c r="AP20">
        <f>63*AL20/100</f>
        <v>55.912500000000001</v>
      </c>
      <c r="AR20" t="s">
        <v>396</v>
      </c>
      <c r="AT20">
        <v>39.700000000000003</v>
      </c>
      <c r="AV20" t="s">
        <v>396</v>
      </c>
      <c r="AX20">
        <f>63*Supplementary_Fig7!AM20/100</f>
        <v>1.26</v>
      </c>
      <c r="AZ20" t="s">
        <v>711</v>
      </c>
      <c r="BA20">
        <v>77.150000000000006</v>
      </c>
      <c r="BB20" t="s">
        <v>386</v>
      </c>
      <c r="BC20">
        <v>96.01</v>
      </c>
      <c r="BD20" t="s">
        <v>396</v>
      </c>
      <c r="BE20">
        <v>95.89</v>
      </c>
      <c r="BG20" t="s">
        <v>711</v>
      </c>
      <c r="BH20">
        <v>2.3199999999999998</v>
      </c>
      <c r="BI20" t="s">
        <v>386</v>
      </c>
      <c r="BJ20">
        <v>1.93</v>
      </c>
      <c r="BK20" t="s">
        <v>396</v>
      </c>
      <c r="BL20">
        <v>1.26</v>
      </c>
      <c r="BN20" t="s">
        <v>394</v>
      </c>
      <c r="BO20">
        <v>144.23400000000001</v>
      </c>
      <c r="BP20" t="s">
        <v>386</v>
      </c>
      <c r="BQ20">
        <v>237.05699999999999</v>
      </c>
      <c r="BR20" t="s">
        <v>396</v>
      </c>
      <c r="BS20">
        <v>345.54300000000001</v>
      </c>
    </row>
    <row r="21" spans="1:71" x14ac:dyDescent="0.35">
      <c r="A21" t="s">
        <v>398</v>
      </c>
      <c r="B21">
        <v>147.69999999999999</v>
      </c>
      <c r="C21" t="s">
        <v>399</v>
      </c>
      <c r="D21">
        <v>379.25</v>
      </c>
      <c r="E21" t="s">
        <v>400</v>
      </c>
      <c r="F21">
        <v>218.32</v>
      </c>
      <c r="H21" t="s">
        <v>394</v>
      </c>
      <c r="I21">
        <v>-61.89</v>
      </c>
      <c r="J21" t="s">
        <v>399</v>
      </c>
      <c r="K21">
        <v>-59.57</v>
      </c>
      <c r="L21" t="s">
        <v>400</v>
      </c>
      <c r="M21">
        <v>-60.49</v>
      </c>
      <c r="O21" t="s">
        <v>713</v>
      </c>
      <c r="P21">
        <v>-46.6</v>
      </c>
      <c r="Q21" t="s">
        <v>399</v>
      </c>
      <c r="R21">
        <v>-42.749699999999997</v>
      </c>
      <c r="S21" t="s">
        <v>400</v>
      </c>
      <c r="T21">
        <v>-46.441699999999997</v>
      </c>
      <c r="V21" t="s">
        <v>398</v>
      </c>
      <c r="W21">
        <v>25.84</v>
      </c>
      <c r="X21" t="s">
        <v>399</v>
      </c>
      <c r="Y21">
        <v>16.8203</v>
      </c>
      <c r="Z21" t="s">
        <v>400</v>
      </c>
      <c r="AA21">
        <v>14.048299999999999</v>
      </c>
      <c r="AD21" t="s">
        <v>398</v>
      </c>
      <c r="AE21">
        <v>20.43</v>
      </c>
      <c r="AH21" t="s">
        <v>398</v>
      </c>
      <c r="AI21">
        <f>63*AE21/100</f>
        <v>12.870899999999999</v>
      </c>
      <c r="AK21" t="s">
        <v>1025</v>
      </c>
      <c r="AM21">
        <v>50.44</v>
      </c>
      <c r="AO21" t="s">
        <v>1025</v>
      </c>
      <c r="AQ21">
        <f>63*AM21/100</f>
        <v>31.777199999999997</v>
      </c>
      <c r="AR21" t="s">
        <v>400</v>
      </c>
      <c r="AT21">
        <v>41.87</v>
      </c>
      <c r="AV21" t="s">
        <v>400</v>
      </c>
      <c r="AX21">
        <f>63*Supplementary_Fig7!AM21/100</f>
        <v>2.2050000000000001</v>
      </c>
      <c r="AZ21" t="s">
        <v>394</v>
      </c>
      <c r="BA21">
        <v>84.45</v>
      </c>
      <c r="BB21" t="s">
        <v>1025</v>
      </c>
      <c r="BC21">
        <v>97.25</v>
      </c>
      <c r="BD21" t="s">
        <v>400</v>
      </c>
      <c r="BE21">
        <v>95.4</v>
      </c>
      <c r="BG21" t="s">
        <v>394</v>
      </c>
      <c r="BH21">
        <v>2.0099999999999998</v>
      </c>
      <c r="BI21" t="s">
        <v>1025</v>
      </c>
      <c r="BJ21">
        <v>1.74</v>
      </c>
      <c r="BK21" t="s">
        <v>400</v>
      </c>
      <c r="BL21">
        <v>1.06</v>
      </c>
      <c r="BN21" t="s">
        <v>398</v>
      </c>
      <c r="BO21">
        <v>136.447</v>
      </c>
      <c r="BP21" t="s">
        <v>1025</v>
      </c>
      <c r="BQ21">
        <v>274.07</v>
      </c>
      <c r="BR21" t="s">
        <v>400</v>
      </c>
      <c r="BS21">
        <v>299.57299999999998</v>
      </c>
    </row>
    <row r="22" spans="1:71" x14ac:dyDescent="0.35">
      <c r="A22" t="s">
        <v>401</v>
      </c>
      <c r="B22">
        <v>399.57</v>
      </c>
      <c r="C22" t="s">
        <v>402</v>
      </c>
      <c r="D22">
        <v>307.67</v>
      </c>
      <c r="E22" t="s">
        <v>403</v>
      </c>
      <c r="F22">
        <v>102.37</v>
      </c>
      <c r="H22" t="s">
        <v>398</v>
      </c>
      <c r="I22">
        <v>-64.23</v>
      </c>
      <c r="J22" t="s">
        <v>402</v>
      </c>
      <c r="K22">
        <v>-58.47</v>
      </c>
      <c r="L22" t="s">
        <v>403</v>
      </c>
      <c r="M22">
        <v>-53.48</v>
      </c>
      <c r="O22" t="s">
        <v>714</v>
      </c>
      <c r="P22">
        <v>-42.8</v>
      </c>
      <c r="Q22" t="s">
        <v>402</v>
      </c>
      <c r="R22">
        <v>-41.889000000000003</v>
      </c>
      <c r="S22" t="s">
        <v>403</v>
      </c>
      <c r="T22">
        <v>-45.259099999999997</v>
      </c>
      <c r="V22" t="s">
        <v>401</v>
      </c>
      <c r="W22">
        <v>12.74</v>
      </c>
      <c r="X22" t="s">
        <v>402</v>
      </c>
      <c r="Y22">
        <v>16.581</v>
      </c>
      <c r="Z22" t="s">
        <v>403</v>
      </c>
      <c r="AA22">
        <v>8.2209000000000003</v>
      </c>
      <c r="AD22" t="s">
        <v>401</v>
      </c>
      <c r="AE22">
        <v>47.53</v>
      </c>
      <c r="AH22" t="s">
        <v>401</v>
      </c>
      <c r="AI22">
        <f>63*AE22/100</f>
        <v>29.943899999999999</v>
      </c>
      <c r="AK22" t="s">
        <v>1026</v>
      </c>
      <c r="AO22" t="s">
        <v>1026</v>
      </c>
      <c r="AR22" t="s">
        <v>403</v>
      </c>
      <c r="AT22">
        <v>40.450000000000003</v>
      </c>
      <c r="AV22" t="s">
        <v>403</v>
      </c>
      <c r="AX22">
        <f>63*Supplementary_Fig7!AM22/100</f>
        <v>2.2050000000000001</v>
      </c>
      <c r="AZ22" t="s">
        <v>398</v>
      </c>
      <c r="BA22">
        <v>77.209999999999994</v>
      </c>
      <c r="BB22" t="s">
        <v>1026</v>
      </c>
      <c r="BD22" t="s">
        <v>403</v>
      </c>
      <c r="BE22">
        <v>97.8</v>
      </c>
      <c r="BG22" t="s">
        <v>398</v>
      </c>
      <c r="BH22">
        <v>2.0499999999999998</v>
      </c>
      <c r="BI22" t="s">
        <v>1026</v>
      </c>
      <c r="BJ22">
        <v>1.29</v>
      </c>
      <c r="BK22" t="s">
        <v>403</v>
      </c>
      <c r="BL22">
        <v>1.2</v>
      </c>
      <c r="BN22" t="s">
        <v>401</v>
      </c>
      <c r="BO22">
        <v>157.22999999999999</v>
      </c>
      <c r="BP22" t="s">
        <v>1026</v>
      </c>
      <c r="BR22" t="s">
        <v>403</v>
      </c>
      <c r="BS22">
        <v>332.58100000000002</v>
      </c>
    </row>
    <row r="23" spans="1:71" x14ac:dyDescent="0.35">
      <c r="A23" t="s">
        <v>404</v>
      </c>
      <c r="B23">
        <v>352.75</v>
      </c>
      <c r="C23" t="s">
        <v>405</v>
      </c>
      <c r="D23">
        <v>243.75</v>
      </c>
      <c r="E23" t="s">
        <v>406</v>
      </c>
      <c r="F23">
        <v>71.17</v>
      </c>
      <c r="H23" t="s">
        <v>401</v>
      </c>
      <c r="I23">
        <v>-53.65</v>
      </c>
      <c r="J23" t="s">
        <v>405</v>
      </c>
      <c r="K23">
        <v>-55.03</v>
      </c>
      <c r="L23" t="s">
        <v>406</v>
      </c>
      <c r="M23">
        <v>-46.81</v>
      </c>
      <c r="O23" t="s">
        <v>715</v>
      </c>
      <c r="P23">
        <v>-44.7</v>
      </c>
      <c r="Q23" t="s">
        <v>405</v>
      </c>
      <c r="R23">
        <v>-42.662799999999997</v>
      </c>
      <c r="S23" t="s">
        <v>406</v>
      </c>
      <c r="T23">
        <v>-37.077300000000001</v>
      </c>
      <c r="V23" t="s">
        <v>404</v>
      </c>
      <c r="W23">
        <v>9.93</v>
      </c>
      <c r="X23" t="s">
        <v>405</v>
      </c>
      <c r="Y23">
        <v>12.3672</v>
      </c>
      <c r="Z23" t="s">
        <v>406</v>
      </c>
      <c r="AA23">
        <v>9.7326999999999995</v>
      </c>
      <c r="AD23" t="s">
        <v>404</v>
      </c>
      <c r="AF23">
        <v>48.02</v>
      </c>
      <c r="AH23" t="s">
        <v>404</v>
      </c>
      <c r="AJ23">
        <f t="shared" ref="AJ23:AJ37" si="2">63*AF23/100</f>
        <v>30.252600000000001</v>
      </c>
      <c r="AK23" t="s">
        <v>389</v>
      </c>
      <c r="AL23">
        <v>63.16</v>
      </c>
      <c r="AO23" t="s">
        <v>389</v>
      </c>
      <c r="AP23">
        <f>63*AL23/100</f>
        <v>39.790799999999997</v>
      </c>
      <c r="AR23" t="s">
        <v>406</v>
      </c>
      <c r="AV23" t="s">
        <v>406</v>
      </c>
      <c r="AZ23" t="s">
        <v>401</v>
      </c>
      <c r="BA23">
        <v>78.86</v>
      </c>
      <c r="BB23" t="s">
        <v>389</v>
      </c>
      <c r="BC23">
        <v>105.49</v>
      </c>
      <c r="BD23" t="s">
        <v>406</v>
      </c>
      <c r="BG23" t="s">
        <v>401</v>
      </c>
      <c r="BH23">
        <v>2.09</v>
      </c>
      <c r="BI23" t="s">
        <v>389</v>
      </c>
      <c r="BJ23">
        <v>2.66</v>
      </c>
      <c r="BK23" t="s">
        <v>406</v>
      </c>
      <c r="BN23" t="s">
        <v>404</v>
      </c>
      <c r="BO23">
        <v>120.818</v>
      </c>
      <c r="BP23" t="s">
        <v>389</v>
      </c>
      <c r="BQ23">
        <v>186.26400000000001</v>
      </c>
      <c r="BR23" t="s">
        <v>406</v>
      </c>
    </row>
    <row r="24" spans="1:71" x14ac:dyDescent="0.35">
      <c r="A24" t="s">
        <v>407</v>
      </c>
      <c r="B24">
        <v>360.2</v>
      </c>
      <c r="C24" t="s">
        <v>408</v>
      </c>
      <c r="D24">
        <v>294.5</v>
      </c>
      <c r="E24" t="s">
        <v>409</v>
      </c>
      <c r="F24">
        <v>47.12</v>
      </c>
      <c r="H24" t="s">
        <v>404</v>
      </c>
      <c r="I24">
        <v>-50.25</v>
      </c>
      <c r="J24" t="s">
        <v>408</v>
      </c>
      <c r="K24">
        <v>-61.84</v>
      </c>
      <c r="L24" t="s">
        <v>409</v>
      </c>
      <c r="M24">
        <v>-42.74</v>
      </c>
      <c r="O24" t="s">
        <v>716</v>
      </c>
      <c r="P24">
        <v>-42.8</v>
      </c>
      <c r="Q24" t="s">
        <v>408</v>
      </c>
      <c r="R24">
        <v>-44.055100000000003</v>
      </c>
      <c r="S24" t="s">
        <v>409</v>
      </c>
      <c r="T24">
        <v>-35.310400000000001</v>
      </c>
      <c r="V24" t="s">
        <v>407</v>
      </c>
      <c r="W24">
        <v>11.99</v>
      </c>
      <c r="X24" t="s">
        <v>408</v>
      </c>
      <c r="Y24">
        <v>17.7849</v>
      </c>
      <c r="Z24" t="s">
        <v>409</v>
      </c>
      <c r="AA24">
        <v>7.4295999999999998</v>
      </c>
      <c r="AD24" t="s">
        <v>407</v>
      </c>
      <c r="AF24">
        <v>37.46</v>
      </c>
      <c r="AH24" t="s">
        <v>407</v>
      </c>
      <c r="AJ24">
        <f t="shared" si="2"/>
        <v>23.599800000000002</v>
      </c>
      <c r="AK24" t="s">
        <v>392</v>
      </c>
      <c r="AM24">
        <v>84.99</v>
      </c>
      <c r="AO24" t="s">
        <v>392</v>
      </c>
      <c r="AQ24">
        <f t="shared" ref="AQ24:AQ38" si="3">63*AM24/100</f>
        <v>53.543700000000001</v>
      </c>
      <c r="AR24" t="s">
        <v>409</v>
      </c>
      <c r="AV24" t="s">
        <v>409</v>
      </c>
      <c r="AZ24" t="s">
        <v>404</v>
      </c>
      <c r="BA24">
        <v>70.510000000000005</v>
      </c>
      <c r="BB24" t="s">
        <v>392</v>
      </c>
      <c r="BC24">
        <v>115.46</v>
      </c>
      <c r="BD24" t="s">
        <v>409</v>
      </c>
      <c r="BG24" t="s">
        <v>404</v>
      </c>
      <c r="BH24">
        <v>2.56</v>
      </c>
      <c r="BI24" t="s">
        <v>392</v>
      </c>
      <c r="BJ24">
        <v>1.91</v>
      </c>
      <c r="BK24" t="s">
        <v>409</v>
      </c>
      <c r="BN24" t="s">
        <v>407</v>
      </c>
      <c r="BO24">
        <v>85.836399999999998</v>
      </c>
      <c r="BP24" t="s">
        <v>392</v>
      </c>
      <c r="BQ24">
        <v>262.27100000000002</v>
      </c>
      <c r="BR24" t="s">
        <v>409</v>
      </c>
    </row>
    <row r="25" spans="1:71" x14ac:dyDescent="0.35">
      <c r="A25" t="s">
        <v>411</v>
      </c>
      <c r="B25">
        <v>173.57</v>
      </c>
      <c r="C25" t="s">
        <v>412</v>
      </c>
      <c r="D25">
        <v>459.6</v>
      </c>
      <c r="E25" t="s">
        <v>413</v>
      </c>
      <c r="F25">
        <v>176.8</v>
      </c>
      <c r="H25" t="s">
        <v>407</v>
      </c>
      <c r="I25">
        <v>-50.5</v>
      </c>
      <c r="J25" t="s">
        <v>412</v>
      </c>
      <c r="K25">
        <v>-76.47</v>
      </c>
      <c r="L25" t="s">
        <v>413</v>
      </c>
      <c r="M25">
        <v>-55.36</v>
      </c>
      <c r="O25" t="s">
        <v>717</v>
      </c>
      <c r="P25">
        <v>-47.8</v>
      </c>
      <c r="Q25" t="s">
        <v>412</v>
      </c>
      <c r="R25">
        <v>-44.081000000000003</v>
      </c>
      <c r="S25" t="s">
        <v>413</v>
      </c>
      <c r="T25">
        <v>-42.970300000000002</v>
      </c>
      <c r="V25" t="s">
        <v>411</v>
      </c>
      <c r="W25">
        <v>8.7200000000000006</v>
      </c>
      <c r="X25" t="s">
        <v>412</v>
      </c>
      <c r="Y25">
        <v>32.389000000000003</v>
      </c>
      <c r="Z25" t="s">
        <v>413</v>
      </c>
      <c r="AA25">
        <v>12.389699999999999</v>
      </c>
      <c r="AD25" t="s">
        <v>411</v>
      </c>
      <c r="AF25">
        <v>12.89</v>
      </c>
      <c r="AH25" t="s">
        <v>411</v>
      </c>
      <c r="AJ25">
        <f t="shared" si="2"/>
        <v>8.1207000000000011</v>
      </c>
      <c r="AK25" t="s">
        <v>395</v>
      </c>
      <c r="AM25">
        <v>87.7</v>
      </c>
      <c r="AO25" t="s">
        <v>395</v>
      </c>
      <c r="AQ25">
        <f t="shared" si="3"/>
        <v>55.251000000000005</v>
      </c>
      <c r="AR25" t="s">
        <v>413</v>
      </c>
      <c r="AS25">
        <v>50.16</v>
      </c>
      <c r="AV25" t="s">
        <v>413</v>
      </c>
      <c r="AW25">
        <f>63*Supplementary_Fig7!AL25/100</f>
        <v>0</v>
      </c>
      <c r="AZ25" t="s">
        <v>407</v>
      </c>
      <c r="BA25">
        <v>61.33</v>
      </c>
      <c r="BB25" t="s">
        <v>395</v>
      </c>
      <c r="BC25">
        <v>119.43</v>
      </c>
      <c r="BD25" t="s">
        <v>413</v>
      </c>
      <c r="BE25">
        <v>100.16</v>
      </c>
      <c r="BG25" t="s">
        <v>407</v>
      </c>
      <c r="BH25">
        <v>3.16</v>
      </c>
      <c r="BI25" t="s">
        <v>395</v>
      </c>
      <c r="BJ25">
        <v>1.865</v>
      </c>
      <c r="BK25" t="s">
        <v>413</v>
      </c>
      <c r="BL25">
        <v>1.1499999999999999</v>
      </c>
      <c r="BN25" t="s">
        <v>411</v>
      </c>
      <c r="BO25">
        <v>116.789</v>
      </c>
      <c r="BP25" t="s">
        <v>395</v>
      </c>
      <c r="BQ25">
        <v>311.60000000000002</v>
      </c>
      <c r="BR25" t="s">
        <v>413</v>
      </c>
      <c r="BS25">
        <v>408.48099999999999</v>
      </c>
    </row>
    <row r="26" spans="1:71" x14ac:dyDescent="0.35">
      <c r="A26" t="s">
        <v>414</v>
      </c>
      <c r="B26">
        <v>836.5</v>
      </c>
      <c r="C26" t="s">
        <v>415</v>
      </c>
      <c r="D26">
        <v>353.95</v>
      </c>
      <c r="E26" t="s">
        <v>416</v>
      </c>
      <c r="F26">
        <v>146</v>
      </c>
      <c r="H26" t="s">
        <v>411</v>
      </c>
      <c r="I26">
        <v>-55</v>
      </c>
      <c r="J26" t="s">
        <v>415</v>
      </c>
      <c r="K26">
        <v>-62.63</v>
      </c>
      <c r="L26" t="s">
        <v>416</v>
      </c>
      <c r="M26">
        <v>-64.97</v>
      </c>
      <c r="O26" t="s">
        <v>718</v>
      </c>
      <c r="P26">
        <v>-44.9</v>
      </c>
      <c r="Q26" t="s">
        <v>415</v>
      </c>
      <c r="R26">
        <v>-42.718499999999999</v>
      </c>
      <c r="S26" t="s">
        <v>416</v>
      </c>
      <c r="T26">
        <v>-35.028100000000002</v>
      </c>
      <c r="V26" t="s">
        <v>414</v>
      </c>
      <c r="W26">
        <v>13.76</v>
      </c>
      <c r="X26" t="s">
        <v>415</v>
      </c>
      <c r="Y26">
        <v>19.9115</v>
      </c>
      <c r="Z26" t="s">
        <v>416</v>
      </c>
      <c r="AA26">
        <v>29.9419</v>
      </c>
      <c r="AD26" t="s">
        <v>414</v>
      </c>
      <c r="AF26">
        <v>81.400000000000006</v>
      </c>
      <c r="AH26" t="s">
        <v>414</v>
      </c>
      <c r="AJ26">
        <f t="shared" si="2"/>
        <v>51.282000000000011</v>
      </c>
      <c r="AK26" t="s">
        <v>399</v>
      </c>
      <c r="AM26">
        <v>79.13</v>
      </c>
      <c r="AO26" t="s">
        <v>399</v>
      </c>
      <c r="AQ26">
        <f t="shared" si="3"/>
        <v>49.851899999999993</v>
      </c>
      <c r="AR26" t="s">
        <v>416</v>
      </c>
      <c r="AV26" t="s">
        <v>416</v>
      </c>
      <c r="AZ26" t="s">
        <v>411</v>
      </c>
      <c r="BA26">
        <v>75.66</v>
      </c>
      <c r="BB26" t="s">
        <v>399</v>
      </c>
      <c r="BC26">
        <v>96.41</v>
      </c>
      <c r="BD26" t="s">
        <v>416</v>
      </c>
      <c r="BE26">
        <v>76.400000000000006</v>
      </c>
      <c r="BG26" t="s">
        <v>411</v>
      </c>
      <c r="BH26">
        <v>2.93</v>
      </c>
      <c r="BI26" t="s">
        <v>399</v>
      </c>
      <c r="BJ26">
        <v>1.64</v>
      </c>
      <c r="BK26" t="s">
        <v>416</v>
      </c>
      <c r="BL26">
        <v>1.4</v>
      </c>
      <c r="BN26" t="s">
        <v>414</v>
      </c>
      <c r="BO26">
        <v>118.742</v>
      </c>
      <c r="BP26" t="s">
        <v>399</v>
      </c>
      <c r="BQ26">
        <v>282.11200000000002</v>
      </c>
      <c r="BR26" t="s">
        <v>416</v>
      </c>
      <c r="BS26">
        <v>189.316</v>
      </c>
    </row>
    <row r="27" spans="1:71" x14ac:dyDescent="0.35">
      <c r="A27" t="s">
        <v>417</v>
      </c>
      <c r="B27">
        <v>516.5</v>
      </c>
      <c r="C27" t="s">
        <v>418</v>
      </c>
      <c r="D27">
        <v>181.6</v>
      </c>
      <c r="E27" t="s">
        <v>419</v>
      </c>
      <c r="F27">
        <v>55.3</v>
      </c>
      <c r="H27" t="s">
        <v>414</v>
      </c>
      <c r="I27">
        <v>-52.06</v>
      </c>
      <c r="J27" t="s">
        <v>418</v>
      </c>
      <c r="K27">
        <v>-57.11</v>
      </c>
      <c r="L27" t="s">
        <v>419</v>
      </c>
      <c r="M27">
        <v>-52.48</v>
      </c>
      <c r="O27" t="s">
        <v>719</v>
      </c>
      <c r="P27">
        <v>-43.7</v>
      </c>
      <c r="Q27" t="s">
        <v>418</v>
      </c>
      <c r="R27">
        <v>-48.033000000000001</v>
      </c>
      <c r="S27" t="s">
        <v>419</v>
      </c>
      <c r="T27">
        <v>-44.099400000000003</v>
      </c>
      <c r="V27" t="s">
        <v>417</v>
      </c>
      <c r="W27">
        <v>18.749199999999998</v>
      </c>
      <c r="X27" t="s">
        <v>418</v>
      </c>
      <c r="Y27">
        <v>9.077</v>
      </c>
      <c r="Z27" t="s">
        <v>419</v>
      </c>
      <c r="AA27">
        <v>8.3805999999999905</v>
      </c>
      <c r="AD27" t="s">
        <v>417</v>
      </c>
      <c r="AF27">
        <v>84.93</v>
      </c>
      <c r="AH27" t="s">
        <v>417</v>
      </c>
      <c r="AJ27">
        <f t="shared" si="2"/>
        <v>53.505900000000004</v>
      </c>
      <c r="AK27" t="s">
        <v>402</v>
      </c>
      <c r="AM27">
        <v>58.91</v>
      </c>
      <c r="AO27" t="s">
        <v>402</v>
      </c>
      <c r="AQ27">
        <f t="shared" si="3"/>
        <v>37.113300000000002</v>
      </c>
      <c r="AR27" t="s">
        <v>419</v>
      </c>
      <c r="AT27">
        <v>39.19</v>
      </c>
      <c r="AV27" t="s">
        <v>419</v>
      </c>
      <c r="AX27">
        <f>63*Supplementary_Fig7!AM27/100</f>
        <v>0</v>
      </c>
      <c r="AZ27" t="s">
        <v>414</v>
      </c>
      <c r="BA27">
        <v>85.89</v>
      </c>
      <c r="BB27" t="s">
        <v>402</v>
      </c>
      <c r="BC27">
        <v>84.49</v>
      </c>
      <c r="BD27" t="s">
        <v>419</v>
      </c>
      <c r="BE27">
        <v>101.39</v>
      </c>
      <c r="BG27" t="s">
        <v>414</v>
      </c>
      <c r="BH27">
        <v>2.56</v>
      </c>
      <c r="BI27" t="s">
        <v>402</v>
      </c>
      <c r="BJ27">
        <v>1.59</v>
      </c>
      <c r="BK27" t="s">
        <v>419</v>
      </c>
      <c r="BL27">
        <v>1.1499999999999999</v>
      </c>
      <c r="BN27" t="s">
        <v>417</v>
      </c>
      <c r="BO27">
        <v>254.05699999999999</v>
      </c>
      <c r="BP27" t="s">
        <v>402</v>
      </c>
      <c r="BQ27">
        <v>231.136</v>
      </c>
      <c r="BR27" t="s">
        <v>419</v>
      </c>
      <c r="BS27">
        <v>338.95</v>
      </c>
    </row>
    <row r="28" spans="1:71" x14ac:dyDescent="0.35">
      <c r="A28" t="s">
        <v>421</v>
      </c>
      <c r="B28">
        <v>466.02</v>
      </c>
      <c r="C28" t="s">
        <v>422</v>
      </c>
      <c r="D28">
        <v>243.17</v>
      </c>
      <c r="E28" t="s">
        <v>423</v>
      </c>
      <c r="F28">
        <v>76.62</v>
      </c>
      <c r="H28" t="s">
        <v>417</v>
      </c>
      <c r="I28">
        <v>-57.74</v>
      </c>
      <c r="J28" t="s">
        <v>422</v>
      </c>
      <c r="K28">
        <v>-71.83</v>
      </c>
      <c r="L28" t="s">
        <v>423</v>
      </c>
      <c r="M28">
        <v>-52</v>
      </c>
      <c r="O28" t="s">
        <v>720</v>
      </c>
      <c r="P28">
        <v>-43.5</v>
      </c>
      <c r="Q28" t="s">
        <v>422</v>
      </c>
      <c r="R28">
        <v>-46.237200000000001</v>
      </c>
      <c r="S28" t="s">
        <v>423</v>
      </c>
      <c r="T28">
        <v>-43.930100000000003</v>
      </c>
      <c r="V28" t="s">
        <v>421</v>
      </c>
      <c r="W28">
        <v>11.9109</v>
      </c>
      <c r="X28" t="s">
        <v>422</v>
      </c>
      <c r="Y28">
        <v>25.5928</v>
      </c>
      <c r="Z28" t="s">
        <v>423</v>
      </c>
      <c r="AA28">
        <v>8.0699000000000005</v>
      </c>
      <c r="AD28" t="s">
        <v>421</v>
      </c>
      <c r="AF28">
        <v>61.26</v>
      </c>
      <c r="AH28" t="s">
        <v>421</v>
      </c>
      <c r="AJ28">
        <f t="shared" si="2"/>
        <v>38.593799999999995</v>
      </c>
      <c r="AK28" t="s">
        <v>405</v>
      </c>
      <c r="AM28">
        <v>95.68</v>
      </c>
      <c r="AO28" t="s">
        <v>405</v>
      </c>
      <c r="AQ28">
        <f t="shared" si="3"/>
        <v>60.278400000000005</v>
      </c>
      <c r="AR28" t="s">
        <v>423</v>
      </c>
      <c r="AV28" t="s">
        <v>423</v>
      </c>
      <c r="AZ28" t="s">
        <v>417</v>
      </c>
      <c r="BA28">
        <v>89.13</v>
      </c>
      <c r="BB28" t="s">
        <v>405</v>
      </c>
      <c r="BC28">
        <v>95.52</v>
      </c>
      <c r="BD28" t="s">
        <v>423</v>
      </c>
      <c r="BE28">
        <v>84.78</v>
      </c>
      <c r="BG28" t="s">
        <v>417</v>
      </c>
      <c r="BH28">
        <v>1.706</v>
      </c>
      <c r="BI28" t="s">
        <v>405</v>
      </c>
      <c r="BJ28">
        <v>1.55</v>
      </c>
      <c r="BK28" t="s">
        <v>423</v>
      </c>
      <c r="BL28">
        <v>1.65</v>
      </c>
      <c r="BN28" t="s">
        <v>421</v>
      </c>
      <c r="BO28">
        <v>107.261</v>
      </c>
      <c r="BP28" t="s">
        <v>405</v>
      </c>
      <c r="BQ28">
        <v>302.80500000000001</v>
      </c>
      <c r="BR28" t="s">
        <v>423</v>
      </c>
      <c r="BS28">
        <v>151.58699999999999</v>
      </c>
    </row>
    <row r="29" spans="1:71" x14ac:dyDescent="0.35">
      <c r="A29" t="s">
        <v>425</v>
      </c>
      <c r="B29">
        <v>545.35</v>
      </c>
      <c r="C29" t="s">
        <v>426</v>
      </c>
      <c r="D29">
        <v>409.4</v>
      </c>
      <c r="E29" t="s">
        <v>427</v>
      </c>
      <c r="F29">
        <v>119.5</v>
      </c>
      <c r="H29" t="s">
        <v>421</v>
      </c>
      <c r="I29">
        <v>-47</v>
      </c>
      <c r="J29" t="s">
        <v>426</v>
      </c>
      <c r="K29">
        <v>-71.599999999999994</v>
      </c>
      <c r="L29" t="s">
        <v>427</v>
      </c>
      <c r="M29">
        <v>-73.91</v>
      </c>
      <c r="O29" t="s">
        <v>721</v>
      </c>
      <c r="P29">
        <v>-43.2</v>
      </c>
      <c r="Q29" t="s">
        <v>426</v>
      </c>
      <c r="R29">
        <v>-56.1218</v>
      </c>
      <c r="S29" t="s">
        <v>430</v>
      </c>
      <c r="T29">
        <v>-39.1327</v>
      </c>
      <c r="V29" t="s">
        <v>425</v>
      </c>
      <c r="W29">
        <v>12.0435</v>
      </c>
      <c r="X29" t="s">
        <v>426</v>
      </c>
      <c r="Y29">
        <v>15.478199999999999</v>
      </c>
      <c r="Z29" t="s">
        <v>430</v>
      </c>
      <c r="AA29">
        <v>34.347299999999997</v>
      </c>
      <c r="AD29" t="s">
        <v>425</v>
      </c>
      <c r="AF29">
        <v>46.31</v>
      </c>
      <c r="AH29" t="s">
        <v>425</v>
      </c>
      <c r="AJ29">
        <f t="shared" si="2"/>
        <v>29.175300000000004</v>
      </c>
      <c r="AK29" t="s">
        <v>408</v>
      </c>
      <c r="AM29">
        <v>66.72</v>
      </c>
      <c r="AO29" t="s">
        <v>408</v>
      </c>
      <c r="AQ29">
        <f t="shared" si="3"/>
        <v>42.0336</v>
      </c>
      <c r="AR29" t="s">
        <v>427</v>
      </c>
      <c r="AT29">
        <v>32.15</v>
      </c>
      <c r="AV29" t="s">
        <v>427</v>
      </c>
      <c r="AX29">
        <f>63*Supplementary_Fig7!AM29/100</f>
        <v>0</v>
      </c>
      <c r="AZ29" t="s">
        <v>421</v>
      </c>
      <c r="BA29">
        <v>73.37</v>
      </c>
      <c r="BB29" t="s">
        <v>408</v>
      </c>
      <c r="BC29">
        <v>99.78</v>
      </c>
      <c r="BD29" t="s">
        <v>427</v>
      </c>
      <c r="BG29" t="s">
        <v>421</v>
      </c>
      <c r="BH29">
        <v>2.72</v>
      </c>
      <c r="BI29" t="s">
        <v>408</v>
      </c>
      <c r="BJ29">
        <v>1.49</v>
      </c>
      <c r="BK29" t="s">
        <v>427</v>
      </c>
      <c r="BN29" t="s">
        <v>425</v>
      </c>
      <c r="BO29">
        <v>110.928</v>
      </c>
      <c r="BP29" t="s">
        <v>408</v>
      </c>
      <c r="BQ29">
        <v>344.53899999999999</v>
      </c>
      <c r="BR29" t="s">
        <v>427</v>
      </c>
    </row>
    <row r="30" spans="1:71" x14ac:dyDescent="0.35">
      <c r="A30" t="s">
        <v>428</v>
      </c>
      <c r="B30">
        <v>650.29999999999995</v>
      </c>
      <c r="C30" t="s">
        <v>429</v>
      </c>
      <c r="D30">
        <v>331.77</v>
      </c>
      <c r="E30" t="s">
        <v>430</v>
      </c>
      <c r="F30">
        <v>139.57</v>
      </c>
      <c r="H30" t="s">
        <v>425</v>
      </c>
      <c r="I30">
        <v>-49.13</v>
      </c>
      <c r="J30" t="s">
        <v>429</v>
      </c>
      <c r="K30">
        <v>-68.72</v>
      </c>
      <c r="L30" t="s">
        <v>430</v>
      </c>
      <c r="M30">
        <v>-73.48</v>
      </c>
      <c r="O30" t="s">
        <v>722</v>
      </c>
      <c r="P30">
        <v>-43.2</v>
      </c>
      <c r="Q30" t="s">
        <v>429</v>
      </c>
      <c r="R30">
        <v>-46.0792</v>
      </c>
      <c r="S30" t="s">
        <v>433</v>
      </c>
      <c r="T30">
        <v>-45.791600000000003</v>
      </c>
      <c r="V30" t="s">
        <v>428</v>
      </c>
      <c r="W30">
        <v>17.410900000000002</v>
      </c>
      <c r="X30" t="s">
        <v>429</v>
      </c>
      <c r="Y30">
        <v>22.640799999999999</v>
      </c>
      <c r="Z30" t="s">
        <v>433</v>
      </c>
      <c r="AA30">
        <v>20.288399999999999</v>
      </c>
      <c r="AD30" t="s">
        <v>428</v>
      </c>
      <c r="AF30">
        <v>95.02</v>
      </c>
      <c r="AH30" t="s">
        <v>428</v>
      </c>
      <c r="AJ30">
        <f t="shared" si="2"/>
        <v>59.862599999999993</v>
      </c>
      <c r="AK30" t="s">
        <v>1060</v>
      </c>
      <c r="AM30">
        <v>88.52</v>
      </c>
      <c r="AO30" t="s">
        <v>1060</v>
      </c>
      <c r="AQ30">
        <f t="shared" si="3"/>
        <v>55.767599999999995</v>
      </c>
      <c r="AR30" t="s">
        <v>430</v>
      </c>
      <c r="AS30">
        <v>42.94</v>
      </c>
      <c r="AV30" t="s">
        <v>430</v>
      </c>
      <c r="AW30" t="e">
        <f>63*Supplementary_Fig7!AL30/100</f>
        <v>#VALUE!</v>
      </c>
      <c r="AZ30" t="s">
        <v>425</v>
      </c>
      <c r="BA30">
        <v>68.650000000000006</v>
      </c>
      <c r="BB30" t="s">
        <v>1060</v>
      </c>
      <c r="BD30" t="s">
        <v>430</v>
      </c>
      <c r="BE30">
        <v>129.14099999999999</v>
      </c>
      <c r="BG30" t="s">
        <v>425</v>
      </c>
      <c r="BH30">
        <v>2.2000000000000002</v>
      </c>
      <c r="BI30" t="s">
        <v>1060</v>
      </c>
      <c r="BK30" t="s">
        <v>430</v>
      </c>
      <c r="BL30">
        <v>1.5</v>
      </c>
      <c r="BN30" t="s">
        <v>428</v>
      </c>
      <c r="BO30">
        <v>213.43100000000001</v>
      </c>
      <c r="BP30" t="s">
        <v>1060</v>
      </c>
      <c r="BQ30">
        <v>120.14700000000001</v>
      </c>
      <c r="BR30" t="s">
        <v>430</v>
      </c>
      <c r="BS30">
        <v>309.39600000000002</v>
      </c>
    </row>
    <row r="31" spans="1:71" x14ac:dyDescent="0.35">
      <c r="A31" t="s">
        <v>431</v>
      </c>
      <c r="B31">
        <v>483.2</v>
      </c>
      <c r="C31" t="s">
        <v>432</v>
      </c>
      <c r="D31">
        <v>350.1</v>
      </c>
      <c r="E31" t="s">
        <v>433</v>
      </c>
      <c r="F31">
        <v>180.22</v>
      </c>
      <c r="H31" t="s">
        <v>428</v>
      </c>
      <c r="I31">
        <v>-57.63</v>
      </c>
      <c r="J31" t="s">
        <v>432</v>
      </c>
      <c r="K31">
        <v>-81.709999999999994</v>
      </c>
      <c r="L31" t="s">
        <v>433</v>
      </c>
      <c r="M31">
        <v>-66.08</v>
      </c>
      <c r="O31" t="s">
        <v>723</v>
      </c>
      <c r="P31">
        <v>-43.5</v>
      </c>
      <c r="Q31" t="s">
        <v>432</v>
      </c>
      <c r="R31">
        <v>-53.945900000000002</v>
      </c>
      <c r="S31" t="s">
        <v>436</v>
      </c>
      <c r="T31">
        <v>-42.2592</v>
      </c>
      <c r="V31" t="s">
        <v>431</v>
      </c>
      <c r="W31">
        <v>15.8269</v>
      </c>
      <c r="X31" t="s">
        <v>432</v>
      </c>
      <c r="Y31">
        <v>27.764099999999999</v>
      </c>
      <c r="Z31" t="s">
        <v>436</v>
      </c>
      <c r="AA31">
        <v>27.070799999999998</v>
      </c>
      <c r="AD31" t="s">
        <v>431</v>
      </c>
      <c r="AF31">
        <v>71.13</v>
      </c>
      <c r="AH31" t="s">
        <v>431</v>
      </c>
      <c r="AJ31">
        <f t="shared" si="2"/>
        <v>44.811899999999994</v>
      </c>
      <c r="AK31" t="s">
        <v>412</v>
      </c>
      <c r="AM31">
        <v>96.89</v>
      </c>
      <c r="AO31" t="s">
        <v>412</v>
      </c>
      <c r="AQ31">
        <f t="shared" si="3"/>
        <v>61.040699999999994</v>
      </c>
      <c r="AR31" t="s">
        <v>433</v>
      </c>
      <c r="AS31">
        <v>47.87</v>
      </c>
      <c r="AV31" t="s">
        <v>433</v>
      </c>
      <c r="AW31">
        <f>63*Supplementary_Fig7!AL31/100</f>
        <v>0</v>
      </c>
      <c r="AZ31" t="s">
        <v>428</v>
      </c>
      <c r="BA31">
        <v>90.96</v>
      </c>
      <c r="BB31" t="s">
        <v>412</v>
      </c>
      <c r="BC31">
        <v>103.67</v>
      </c>
      <c r="BD31" t="s">
        <v>433</v>
      </c>
      <c r="BE31">
        <v>115.93</v>
      </c>
      <c r="BG31" t="s">
        <v>428</v>
      </c>
      <c r="BH31">
        <v>1.92</v>
      </c>
      <c r="BI31" t="s">
        <v>412</v>
      </c>
      <c r="BJ31">
        <v>1.679</v>
      </c>
      <c r="BK31" t="s">
        <v>433</v>
      </c>
      <c r="BL31">
        <v>1.1399999999999999</v>
      </c>
      <c r="BN31" t="s">
        <v>431</v>
      </c>
      <c r="BO31">
        <v>159.28</v>
      </c>
      <c r="BP31" t="s">
        <v>412</v>
      </c>
      <c r="BQ31">
        <v>330.28100000000001</v>
      </c>
      <c r="BR31" t="s">
        <v>433</v>
      </c>
      <c r="BS31">
        <v>321.66000000000003</v>
      </c>
    </row>
    <row r="32" spans="1:71" x14ac:dyDescent="0.35">
      <c r="A32" t="s">
        <v>434</v>
      </c>
      <c r="B32">
        <v>555.70000000000005</v>
      </c>
      <c r="C32" t="s">
        <v>435</v>
      </c>
      <c r="D32">
        <v>477.8</v>
      </c>
      <c r="E32" t="s">
        <v>436</v>
      </c>
      <c r="F32">
        <v>312.82</v>
      </c>
      <c r="H32" t="s">
        <v>431</v>
      </c>
      <c r="I32">
        <v>-54.54</v>
      </c>
      <c r="J32" t="s">
        <v>435</v>
      </c>
      <c r="K32">
        <v>-64.41</v>
      </c>
      <c r="L32" t="s">
        <v>436</v>
      </c>
      <c r="M32">
        <v>-69.33</v>
      </c>
      <c r="O32" t="s">
        <v>724</v>
      </c>
      <c r="P32">
        <v>-43.1</v>
      </c>
      <c r="Q32" t="s">
        <v>435</v>
      </c>
      <c r="R32">
        <v>-43.243400000000001</v>
      </c>
      <c r="S32" t="s">
        <v>439</v>
      </c>
      <c r="T32">
        <v>-33.102400000000003</v>
      </c>
      <c r="V32" t="s">
        <v>434</v>
      </c>
      <c r="W32">
        <v>29.836099999999998</v>
      </c>
      <c r="X32" t="s">
        <v>435</v>
      </c>
      <c r="Y32">
        <v>21.166599999999999</v>
      </c>
      <c r="Z32" t="s">
        <v>439</v>
      </c>
      <c r="AA32">
        <v>32.2776</v>
      </c>
      <c r="AD32" t="s">
        <v>434</v>
      </c>
      <c r="AF32">
        <v>85.68</v>
      </c>
      <c r="AH32" t="s">
        <v>434</v>
      </c>
      <c r="AJ32">
        <f t="shared" si="2"/>
        <v>53.978400000000001</v>
      </c>
      <c r="AK32" t="s">
        <v>1061</v>
      </c>
      <c r="AM32">
        <v>22.17</v>
      </c>
      <c r="AO32" t="s">
        <v>1061</v>
      </c>
      <c r="AQ32">
        <f t="shared" si="3"/>
        <v>13.9671</v>
      </c>
      <c r="AR32" t="s">
        <v>436</v>
      </c>
      <c r="AT32">
        <v>40.549999999999997</v>
      </c>
      <c r="AV32" t="s">
        <v>436</v>
      </c>
      <c r="AX32">
        <f>63*Supplementary_Fig7!AM32/100</f>
        <v>0.315</v>
      </c>
      <c r="AZ32" t="s">
        <v>431</v>
      </c>
      <c r="BA32">
        <v>79.650000000000006</v>
      </c>
      <c r="BB32" t="s">
        <v>1061</v>
      </c>
      <c r="BD32" t="s">
        <v>436</v>
      </c>
      <c r="BE32">
        <v>110.89</v>
      </c>
      <c r="BG32" t="s">
        <v>431</v>
      </c>
      <c r="BH32">
        <v>2.2999999999999998</v>
      </c>
      <c r="BI32" t="s">
        <v>1061</v>
      </c>
      <c r="BK32" t="s">
        <v>436</v>
      </c>
      <c r="BL32">
        <v>1.59</v>
      </c>
      <c r="BN32" t="s">
        <v>434</v>
      </c>
      <c r="BO32">
        <v>204.75899999999999</v>
      </c>
      <c r="BP32" t="s">
        <v>1061</v>
      </c>
      <c r="BQ32">
        <v>297.25400000000002</v>
      </c>
      <c r="BR32" t="s">
        <v>436</v>
      </c>
      <c r="BS32">
        <v>256.53199999999998</v>
      </c>
    </row>
    <row r="33" spans="1:71" x14ac:dyDescent="0.35">
      <c r="A33" t="s">
        <v>437</v>
      </c>
      <c r="B33">
        <v>349.87</v>
      </c>
      <c r="C33" t="s">
        <v>438</v>
      </c>
      <c r="D33">
        <v>587.5</v>
      </c>
      <c r="E33" t="s">
        <v>439</v>
      </c>
      <c r="F33">
        <v>176</v>
      </c>
      <c r="H33" t="s">
        <v>434</v>
      </c>
      <c r="I33">
        <v>-64.06</v>
      </c>
      <c r="J33" t="s">
        <v>438</v>
      </c>
      <c r="K33">
        <v>-57.72</v>
      </c>
      <c r="L33" t="s">
        <v>439</v>
      </c>
      <c r="M33">
        <v>-65.38</v>
      </c>
      <c r="O33" t="s">
        <v>725</v>
      </c>
      <c r="P33">
        <v>-44.8</v>
      </c>
      <c r="Q33" t="s">
        <v>438</v>
      </c>
      <c r="R33">
        <v>-46.586599999999997</v>
      </c>
      <c r="S33" t="s">
        <v>442</v>
      </c>
      <c r="T33">
        <v>-46.929900000000004</v>
      </c>
      <c r="V33" t="s">
        <v>437</v>
      </c>
      <c r="W33">
        <v>10.9376</v>
      </c>
      <c r="X33" t="s">
        <v>438</v>
      </c>
      <c r="Y33">
        <v>11.1334</v>
      </c>
      <c r="Z33" t="s">
        <v>442</v>
      </c>
      <c r="AA33">
        <v>15.5801</v>
      </c>
      <c r="AD33" t="s">
        <v>437</v>
      </c>
      <c r="AF33">
        <v>45.29</v>
      </c>
      <c r="AH33" t="s">
        <v>437</v>
      </c>
      <c r="AJ33">
        <f t="shared" si="2"/>
        <v>28.532699999999998</v>
      </c>
      <c r="AK33" t="s">
        <v>415</v>
      </c>
      <c r="AM33">
        <v>60.95</v>
      </c>
      <c r="AO33" t="s">
        <v>415</v>
      </c>
      <c r="AQ33">
        <f t="shared" si="3"/>
        <v>38.398500000000006</v>
      </c>
      <c r="AR33" t="s">
        <v>439</v>
      </c>
      <c r="AT33">
        <v>66.55</v>
      </c>
      <c r="AV33" t="s">
        <v>439</v>
      </c>
      <c r="AX33">
        <f>63*Supplementary_Fig7!AM33/100</f>
        <v>1.575</v>
      </c>
      <c r="AZ33" t="s">
        <v>434</v>
      </c>
      <c r="BA33">
        <v>94.39</v>
      </c>
      <c r="BB33" t="s">
        <v>415</v>
      </c>
      <c r="BC33">
        <v>91.97</v>
      </c>
      <c r="BD33" t="s">
        <v>439</v>
      </c>
      <c r="BE33">
        <v>121.16</v>
      </c>
      <c r="BG33" t="s">
        <v>434</v>
      </c>
      <c r="BH33">
        <v>2.109</v>
      </c>
      <c r="BI33" t="s">
        <v>415</v>
      </c>
      <c r="BJ33">
        <v>1.76</v>
      </c>
      <c r="BK33" t="s">
        <v>439</v>
      </c>
      <c r="BL33">
        <v>1.52</v>
      </c>
      <c r="BN33" t="s">
        <v>437</v>
      </c>
      <c r="BO33">
        <v>175.15299999999999</v>
      </c>
      <c r="BP33" t="s">
        <v>415</v>
      </c>
      <c r="BQ33">
        <v>273.82600000000002</v>
      </c>
      <c r="BR33" t="s">
        <v>439</v>
      </c>
      <c r="BS33">
        <v>288.339</v>
      </c>
    </row>
    <row r="34" spans="1:71" x14ac:dyDescent="0.35">
      <c r="A34" t="s">
        <v>440</v>
      </c>
      <c r="B34">
        <v>692.4</v>
      </c>
      <c r="C34" t="s">
        <v>441</v>
      </c>
      <c r="D34">
        <v>354.42</v>
      </c>
      <c r="E34" t="s">
        <v>442</v>
      </c>
      <c r="F34">
        <v>183.47</v>
      </c>
      <c r="H34" t="s">
        <v>437</v>
      </c>
      <c r="I34">
        <v>-48.05</v>
      </c>
      <c r="J34" t="s">
        <v>441</v>
      </c>
      <c r="K34">
        <v>-59.39</v>
      </c>
      <c r="L34" t="s">
        <v>442</v>
      </c>
      <c r="M34">
        <v>-62.51</v>
      </c>
      <c r="O34" t="s">
        <v>726</v>
      </c>
      <c r="P34">
        <v>-44.6</v>
      </c>
      <c r="Q34" t="s">
        <v>441</v>
      </c>
      <c r="R34">
        <v>-40.820300000000003</v>
      </c>
      <c r="S34" t="s">
        <v>445</v>
      </c>
      <c r="T34">
        <v>-46.763599999999997</v>
      </c>
      <c r="V34" t="s">
        <v>440</v>
      </c>
      <c r="W34">
        <v>14.9237</v>
      </c>
      <c r="X34" t="s">
        <v>441</v>
      </c>
      <c r="Y34">
        <v>18.569700000000001</v>
      </c>
      <c r="Z34" t="s">
        <v>445</v>
      </c>
      <c r="AA34">
        <v>11.9864</v>
      </c>
      <c r="AD34" t="s">
        <v>440</v>
      </c>
      <c r="AF34">
        <v>75.16</v>
      </c>
      <c r="AH34" t="s">
        <v>440</v>
      </c>
      <c r="AJ34">
        <f t="shared" si="2"/>
        <v>47.3508</v>
      </c>
      <c r="AK34" t="s">
        <v>418</v>
      </c>
      <c r="AM34">
        <v>49.45</v>
      </c>
      <c r="AO34" t="s">
        <v>418</v>
      </c>
      <c r="AQ34">
        <f t="shared" si="3"/>
        <v>31.153500000000005</v>
      </c>
      <c r="AR34" t="s">
        <v>442</v>
      </c>
      <c r="AT34">
        <v>56.7</v>
      </c>
      <c r="AV34" t="s">
        <v>442</v>
      </c>
      <c r="AX34">
        <f>63*Supplementary_Fig7!AM34/100</f>
        <v>2.835</v>
      </c>
      <c r="AZ34" t="s">
        <v>437</v>
      </c>
      <c r="BA34">
        <v>82.38</v>
      </c>
      <c r="BB34" t="s">
        <v>418</v>
      </c>
      <c r="BC34">
        <v>93.77</v>
      </c>
      <c r="BD34" t="s">
        <v>442</v>
      </c>
      <c r="BE34">
        <v>95.05</v>
      </c>
      <c r="BG34" t="s">
        <v>437</v>
      </c>
      <c r="BH34">
        <v>2.06</v>
      </c>
      <c r="BI34" t="s">
        <v>418</v>
      </c>
      <c r="BJ34">
        <v>1.75</v>
      </c>
      <c r="BK34" t="s">
        <v>442</v>
      </c>
      <c r="BL34">
        <v>1.8</v>
      </c>
      <c r="BN34" t="s">
        <v>440</v>
      </c>
      <c r="BO34">
        <v>114.95699999999999</v>
      </c>
      <c r="BP34" t="s">
        <v>418</v>
      </c>
      <c r="BQ34">
        <v>222.161</v>
      </c>
      <c r="BR34" t="s">
        <v>442</v>
      </c>
      <c r="BS34">
        <v>173.01599999999999</v>
      </c>
    </row>
    <row r="35" spans="1:71" x14ac:dyDescent="0.35">
      <c r="A35" t="s">
        <v>443</v>
      </c>
      <c r="B35">
        <v>641.5</v>
      </c>
      <c r="C35" t="s">
        <v>444</v>
      </c>
      <c r="D35">
        <v>365.62</v>
      </c>
      <c r="E35" t="s">
        <v>445</v>
      </c>
      <c r="F35">
        <v>171.15</v>
      </c>
      <c r="H35" t="s">
        <v>440</v>
      </c>
      <c r="I35">
        <v>-51.47</v>
      </c>
      <c r="J35" t="s">
        <v>444</v>
      </c>
      <c r="K35">
        <v>-66.400000000000006</v>
      </c>
      <c r="L35" t="s">
        <v>445</v>
      </c>
      <c r="M35">
        <v>-58.75</v>
      </c>
      <c r="O35" t="s">
        <v>727</v>
      </c>
      <c r="P35">
        <v>-42.3</v>
      </c>
      <c r="Q35" t="s">
        <v>444</v>
      </c>
      <c r="R35">
        <v>-34.067500000000003</v>
      </c>
      <c r="S35" t="s">
        <v>448</v>
      </c>
      <c r="T35">
        <v>-37.174999999999997</v>
      </c>
      <c r="V35" t="s">
        <v>443</v>
      </c>
      <c r="W35">
        <v>22.999199999999998</v>
      </c>
      <c r="X35" t="s">
        <v>444</v>
      </c>
      <c r="Y35">
        <v>32.332500000000003</v>
      </c>
      <c r="Z35" t="s">
        <v>448</v>
      </c>
      <c r="AA35">
        <v>27.215</v>
      </c>
      <c r="AD35" t="s">
        <v>443</v>
      </c>
      <c r="AF35">
        <v>70.61</v>
      </c>
      <c r="AH35" t="s">
        <v>443</v>
      </c>
      <c r="AJ35">
        <f t="shared" si="2"/>
        <v>44.484300000000005</v>
      </c>
      <c r="AK35" t="s">
        <v>422</v>
      </c>
      <c r="AM35">
        <v>70.89</v>
      </c>
      <c r="AO35" t="s">
        <v>422</v>
      </c>
      <c r="AQ35">
        <f t="shared" si="3"/>
        <v>44.660699999999999</v>
      </c>
      <c r="AR35" t="s">
        <v>445</v>
      </c>
      <c r="AT35">
        <v>58.33</v>
      </c>
      <c r="AV35" t="s">
        <v>445</v>
      </c>
      <c r="AX35">
        <f>63*Supplementary_Fig7!AM35/100</f>
        <v>3.78</v>
      </c>
      <c r="AZ35" t="s">
        <v>440</v>
      </c>
      <c r="BA35">
        <v>82.34</v>
      </c>
      <c r="BB35" t="s">
        <v>422</v>
      </c>
      <c r="BC35">
        <v>97.25</v>
      </c>
      <c r="BD35" t="s">
        <v>445</v>
      </c>
      <c r="BE35">
        <v>95.4</v>
      </c>
      <c r="BG35" t="s">
        <v>440</v>
      </c>
      <c r="BH35">
        <v>3.05</v>
      </c>
      <c r="BI35" t="s">
        <v>422</v>
      </c>
      <c r="BJ35">
        <v>1.93</v>
      </c>
      <c r="BK35" t="s">
        <v>445</v>
      </c>
      <c r="BL35">
        <v>1.4</v>
      </c>
      <c r="BN35" t="s">
        <v>443</v>
      </c>
      <c r="BO35">
        <v>228.69399999999999</v>
      </c>
      <c r="BP35" t="s">
        <v>422</v>
      </c>
      <c r="BQ35">
        <v>284.93</v>
      </c>
      <c r="BR35" t="s">
        <v>445</v>
      </c>
      <c r="BS35">
        <v>288.83499999999998</v>
      </c>
    </row>
    <row r="36" spans="1:71" x14ac:dyDescent="0.35">
      <c r="A36" t="s">
        <v>446</v>
      </c>
      <c r="B36">
        <v>267.12</v>
      </c>
      <c r="C36" t="s">
        <v>447</v>
      </c>
      <c r="D36">
        <v>282.55</v>
      </c>
      <c r="E36" t="s">
        <v>448</v>
      </c>
      <c r="F36">
        <v>240.27</v>
      </c>
      <c r="H36" t="s">
        <v>443</v>
      </c>
      <c r="I36">
        <v>-60.31</v>
      </c>
      <c r="J36" t="s">
        <v>447</v>
      </c>
      <c r="K36">
        <v>-66.650000000000006</v>
      </c>
      <c r="L36" t="s">
        <v>448</v>
      </c>
      <c r="M36">
        <v>-64.39</v>
      </c>
      <c r="O36" t="s">
        <v>728</v>
      </c>
      <c r="P36">
        <v>-41.8</v>
      </c>
      <c r="Q36" t="s">
        <v>447</v>
      </c>
      <c r="R36">
        <v>-40.341900000000003</v>
      </c>
      <c r="S36" t="s">
        <v>451</v>
      </c>
      <c r="T36">
        <v>-42.277500000000003</v>
      </c>
      <c r="V36" t="s">
        <v>446</v>
      </c>
      <c r="W36">
        <v>27.5716</v>
      </c>
      <c r="X36" t="s">
        <v>447</v>
      </c>
      <c r="Y36">
        <v>26.3081</v>
      </c>
      <c r="Z36" t="s">
        <v>451</v>
      </c>
      <c r="AA36">
        <v>21.532499999999999</v>
      </c>
      <c r="AD36" t="s">
        <v>446</v>
      </c>
      <c r="AF36">
        <v>31.68</v>
      </c>
      <c r="AH36" t="s">
        <v>446</v>
      </c>
      <c r="AJ36">
        <f t="shared" si="2"/>
        <v>19.958399999999997</v>
      </c>
      <c r="AK36" t="s">
        <v>1058</v>
      </c>
      <c r="AM36">
        <v>50.54</v>
      </c>
      <c r="AO36" t="s">
        <v>1058</v>
      </c>
      <c r="AQ36">
        <f t="shared" si="3"/>
        <v>31.840199999999999</v>
      </c>
      <c r="AR36" t="s">
        <v>448</v>
      </c>
      <c r="AT36">
        <v>78.680000000000007</v>
      </c>
      <c r="AV36" t="s">
        <v>448</v>
      </c>
      <c r="AX36">
        <f>63*Supplementary_Fig7!AM36/100</f>
        <v>5.04</v>
      </c>
      <c r="AZ36" t="s">
        <v>443</v>
      </c>
      <c r="BA36">
        <v>79.77</v>
      </c>
      <c r="BB36" t="s">
        <v>1058</v>
      </c>
      <c r="BC36">
        <v>85.17</v>
      </c>
      <c r="BD36" t="s">
        <v>448</v>
      </c>
      <c r="BE36">
        <v>90.42</v>
      </c>
      <c r="BG36" t="s">
        <v>443</v>
      </c>
      <c r="BH36">
        <v>1.75</v>
      </c>
      <c r="BI36" t="s">
        <v>1058</v>
      </c>
      <c r="BJ36">
        <v>1.93</v>
      </c>
      <c r="BK36" t="s">
        <v>448</v>
      </c>
      <c r="BL36">
        <v>1.41</v>
      </c>
      <c r="BN36" t="s">
        <v>446</v>
      </c>
      <c r="BO36">
        <v>191.27</v>
      </c>
      <c r="BP36" t="s">
        <v>1058</v>
      </c>
      <c r="BQ36">
        <v>139.56</v>
      </c>
      <c r="BR36" t="s">
        <v>448</v>
      </c>
      <c r="BS36">
        <v>351.404</v>
      </c>
    </row>
    <row r="37" spans="1:71" x14ac:dyDescent="0.35">
      <c r="A37" s="8" t="s">
        <v>449</v>
      </c>
      <c r="B37">
        <v>351.27</v>
      </c>
      <c r="C37" t="s">
        <v>450</v>
      </c>
      <c r="D37">
        <v>346.15</v>
      </c>
      <c r="E37" t="s">
        <v>451</v>
      </c>
      <c r="F37">
        <v>236.2</v>
      </c>
      <c r="H37" t="s">
        <v>446</v>
      </c>
      <c r="I37">
        <v>-61.91</v>
      </c>
      <c r="J37" t="s">
        <v>450</v>
      </c>
      <c r="K37">
        <v>-61.38</v>
      </c>
      <c r="L37" t="s">
        <v>451</v>
      </c>
      <c r="M37">
        <v>-63.81</v>
      </c>
      <c r="O37" t="s">
        <v>729</v>
      </c>
      <c r="P37">
        <v>-35.700000000000003</v>
      </c>
      <c r="Q37" t="s">
        <v>450</v>
      </c>
      <c r="R37">
        <v>-41.102600000000002</v>
      </c>
      <c r="S37" t="s">
        <v>454</v>
      </c>
      <c r="T37">
        <v>-44.753999999999998</v>
      </c>
      <c r="V37" s="8" t="s">
        <v>449</v>
      </c>
      <c r="W37">
        <v>10.8444</v>
      </c>
      <c r="X37" t="s">
        <v>450</v>
      </c>
      <c r="Y37">
        <v>20.2774</v>
      </c>
      <c r="Z37" t="s">
        <v>454</v>
      </c>
      <c r="AA37">
        <v>9.5559999999999992</v>
      </c>
      <c r="AD37" s="8" t="s">
        <v>449</v>
      </c>
      <c r="AF37">
        <v>45.63</v>
      </c>
      <c r="AH37" s="8" t="s">
        <v>449</v>
      </c>
      <c r="AJ37">
        <f t="shared" si="2"/>
        <v>28.7469</v>
      </c>
      <c r="AK37" t="s">
        <v>426</v>
      </c>
      <c r="AM37">
        <v>111.57</v>
      </c>
      <c r="AO37" t="s">
        <v>426</v>
      </c>
      <c r="AQ37">
        <f t="shared" si="3"/>
        <v>70.289100000000005</v>
      </c>
      <c r="AR37" t="s">
        <v>451</v>
      </c>
      <c r="AT37">
        <v>60.46</v>
      </c>
      <c r="AV37" t="s">
        <v>451</v>
      </c>
      <c r="AX37">
        <f>63*Supplementary_Fig7!AM37/100</f>
        <v>5.67</v>
      </c>
      <c r="AZ37" t="s">
        <v>446</v>
      </c>
      <c r="BA37">
        <v>86.94</v>
      </c>
      <c r="BB37" t="s">
        <v>426</v>
      </c>
      <c r="BC37">
        <v>98.97</v>
      </c>
      <c r="BD37" t="s">
        <v>451</v>
      </c>
      <c r="BE37">
        <v>97.99</v>
      </c>
      <c r="BG37" t="s">
        <v>446</v>
      </c>
      <c r="BH37">
        <v>1.87</v>
      </c>
      <c r="BI37" t="s">
        <v>426</v>
      </c>
      <c r="BJ37">
        <v>1.8</v>
      </c>
      <c r="BK37" t="s">
        <v>451</v>
      </c>
      <c r="BL37">
        <v>1.5</v>
      </c>
      <c r="BN37" s="8" t="s">
        <v>449</v>
      </c>
      <c r="BO37">
        <v>192.55199999999999</v>
      </c>
      <c r="BP37" t="s">
        <v>426</v>
      </c>
      <c r="BQ37">
        <v>276.69299999999998</v>
      </c>
      <c r="BR37" t="s">
        <v>451</v>
      </c>
      <c r="BS37">
        <v>334.32900000000001</v>
      </c>
    </row>
    <row r="38" spans="1:71" x14ac:dyDescent="0.35">
      <c r="A38" t="s">
        <v>452</v>
      </c>
      <c r="B38">
        <v>351.05</v>
      </c>
      <c r="C38" t="s">
        <v>453</v>
      </c>
      <c r="D38">
        <v>307.64999999999998</v>
      </c>
      <c r="E38" t="s">
        <v>454</v>
      </c>
      <c r="F38">
        <v>245.5</v>
      </c>
      <c r="H38" s="8" t="s">
        <v>449</v>
      </c>
      <c r="I38">
        <v>-50.18</v>
      </c>
      <c r="J38" t="s">
        <v>453</v>
      </c>
      <c r="K38">
        <v>-57.46</v>
      </c>
      <c r="L38" t="s">
        <v>454</v>
      </c>
      <c r="M38">
        <v>-54.31</v>
      </c>
      <c r="O38" t="s">
        <v>730</v>
      </c>
      <c r="P38">
        <v>-41.3</v>
      </c>
      <c r="Q38" t="s">
        <v>453</v>
      </c>
      <c r="R38">
        <v>-38.666499999999999</v>
      </c>
      <c r="S38" t="s">
        <v>457</v>
      </c>
      <c r="T38">
        <v>-42.614699999999999</v>
      </c>
      <c r="V38" t="s">
        <v>452</v>
      </c>
      <c r="W38">
        <v>12.3644</v>
      </c>
      <c r="X38" t="s">
        <v>453</v>
      </c>
      <c r="Y38">
        <v>18.793500000000002</v>
      </c>
      <c r="Z38" t="s">
        <v>457</v>
      </c>
      <c r="AA38">
        <v>13.625299999999999</v>
      </c>
      <c r="AD38" t="s">
        <v>452</v>
      </c>
      <c r="AE38">
        <v>56</v>
      </c>
      <c r="AH38" t="s">
        <v>452</v>
      </c>
      <c r="AI38">
        <f>63*AE38/100</f>
        <v>35.28</v>
      </c>
      <c r="AK38" t="s">
        <v>429</v>
      </c>
      <c r="AM38">
        <v>87.73</v>
      </c>
      <c r="AO38" t="s">
        <v>429</v>
      </c>
      <c r="AQ38">
        <f t="shared" si="3"/>
        <v>55.269900000000007</v>
      </c>
      <c r="AR38" t="s">
        <v>454</v>
      </c>
      <c r="AT38">
        <v>59.02</v>
      </c>
      <c r="AV38" t="s">
        <v>454</v>
      </c>
      <c r="AX38">
        <f>63*Supplementary_Fig7!AM38/100</f>
        <v>6.93</v>
      </c>
      <c r="AZ38" s="8" t="s">
        <v>449</v>
      </c>
      <c r="BA38">
        <v>82.17</v>
      </c>
      <c r="BB38" t="s">
        <v>429</v>
      </c>
      <c r="BC38">
        <v>114.73</v>
      </c>
      <c r="BD38" t="s">
        <v>454</v>
      </c>
      <c r="BE38">
        <v>99.52</v>
      </c>
      <c r="BG38" s="8" t="s">
        <v>449</v>
      </c>
      <c r="BH38">
        <v>1.68</v>
      </c>
      <c r="BI38" t="s">
        <v>429</v>
      </c>
      <c r="BJ38">
        <v>1.76</v>
      </c>
      <c r="BK38" t="s">
        <v>454</v>
      </c>
      <c r="BL38">
        <v>1.55</v>
      </c>
      <c r="BN38" t="s">
        <v>452</v>
      </c>
      <c r="BO38">
        <v>195.238</v>
      </c>
      <c r="BP38" t="s">
        <v>429</v>
      </c>
      <c r="BQ38">
        <v>346.24799999999999</v>
      </c>
      <c r="BR38" t="s">
        <v>454</v>
      </c>
      <c r="BS38">
        <v>288.16399999999999</v>
      </c>
    </row>
    <row r="39" spans="1:71" x14ac:dyDescent="0.35">
      <c r="A39" t="s">
        <v>455</v>
      </c>
      <c r="B39">
        <v>712.4</v>
      </c>
      <c r="C39" t="s">
        <v>456</v>
      </c>
      <c r="D39">
        <v>400.66</v>
      </c>
      <c r="E39" t="s">
        <v>457</v>
      </c>
      <c r="F39">
        <v>218.87</v>
      </c>
      <c r="H39" t="s">
        <v>452</v>
      </c>
      <c r="I39">
        <v>-51.7</v>
      </c>
      <c r="J39" t="s">
        <v>456</v>
      </c>
      <c r="K39">
        <v>-57.83</v>
      </c>
      <c r="L39" t="s">
        <v>457</v>
      </c>
      <c r="M39">
        <v>-56.24</v>
      </c>
      <c r="O39" t="s">
        <v>731</v>
      </c>
      <c r="P39">
        <v>-41.3</v>
      </c>
      <c r="Q39" t="s">
        <v>456</v>
      </c>
      <c r="R39">
        <v>-30.176500000000001</v>
      </c>
      <c r="S39" t="s">
        <v>460</v>
      </c>
      <c r="T39">
        <v>-37.512900000000002</v>
      </c>
      <c r="V39" t="s">
        <v>455</v>
      </c>
      <c r="W39">
        <v>23.032399999999999</v>
      </c>
      <c r="X39" t="s">
        <v>456</v>
      </c>
      <c r="Y39">
        <v>27.653500000000001</v>
      </c>
      <c r="Z39" t="s">
        <v>460</v>
      </c>
      <c r="AA39">
        <v>33.187100000000001</v>
      </c>
      <c r="AD39" t="s">
        <v>455</v>
      </c>
      <c r="AE39">
        <v>76.67</v>
      </c>
      <c r="AH39" t="s">
        <v>455</v>
      </c>
      <c r="AI39">
        <f>63*AE39/100</f>
        <v>48.302100000000003</v>
      </c>
      <c r="AK39" t="s">
        <v>432</v>
      </c>
      <c r="AO39" t="s">
        <v>432</v>
      </c>
      <c r="AR39" t="s">
        <v>457</v>
      </c>
      <c r="AT39">
        <v>52.1</v>
      </c>
      <c r="AV39" t="s">
        <v>457</v>
      </c>
      <c r="AX39">
        <f>63*Supplementary_Fig7!AM39/100</f>
        <v>0</v>
      </c>
      <c r="AZ39" t="s">
        <v>452</v>
      </c>
      <c r="BA39">
        <v>79.06</v>
      </c>
      <c r="BB39" t="s">
        <v>432</v>
      </c>
      <c r="BC39">
        <v>115.17</v>
      </c>
      <c r="BD39" t="s">
        <v>457</v>
      </c>
      <c r="BE39">
        <v>106.19</v>
      </c>
      <c r="BG39" t="s">
        <v>452</v>
      </c>
      <c r="BH39">
        <v>1.69</v>
      </c>
      <c r="BI39" t="s">
        <v>432</v>
      </c>
      <c r="BJ39">
        <v>1.88</v>
      </c>
      <c r="BK39" t="s">
        <v>457</v>
      </c>
      <c r="BL39">
        <v>1.2</v>
      </c>
      <c r="BN39" t="s">
        <v>455</v>
      </c>
      <c r="BO39">
        <v>223.185</v>
      </c>
      <c r="BP39" t="s">
        <v>432</v>
      </c>
      <c r="BQ39">
        <v>321.79500000000002</v>
      </c>
      <c r="BR39" t="s">
        <v>457</v>
      </c>
      <c r="BS39">
        <v>379.07299999999998</v>
      </c>
    </row>
    <row r="40" spans="1:71" x14ac:dyDescent="0.35">
      <c r="A40" t="s">
        <v>458</v>
      </c>
      <c r="B40">
        <v>459.82</v>
      </c>
      <c r="C40" t="s">
        <v>459</v>
      </c>
      <c r="D40">
        <v>494</v>
      </c>
      <c r="E40" t="s">
        <v>460</v>
      </c>
      <c r="F40">
        <v>160.44999999999999</v>
      </c>
      <c r="H40" t="s">
        <v>455</v>
      </c>
      <c r="I40">
        <v>-57.56</v>
      </c>
      <c r="J40" t="s">
        <v>459</v>
      </c>
      <c r="K40">
        <v>-54.15</v>
      </c>
      <c r="L40" t="s">
        <v>460</v>
      </c>
      <c r="M40">
        <v>-70.7</v>
      </c>
      <c r="O40" t="s">
        <v>732</v>
      </c>
      <c r="P40">
        <v>-31.8</v>
      </c>
      <c r="Q40" t="s">
        <v>459</v>
      </c>
      <c r="R40">
        <v>-26.4617</v>
      </c>
      <c r="S40" t="s">
        <v>463</v>
      </c>
      <c r="T40">
        <v>-43.260100000000001</v>
      </c>
      <c r="V40" t="s">
        <v>458</v>
      </c>
      <c r="W40">
        <v>9.7620000000000005</v>
      </c>
      <c r="X40" t="s">
        <v>459</v>
      </c>
      <c r="Y40">
        <v>27.688300000000002</v>
      </c>
      <c r="Z40" t="s">
        <v>463</v>
      </c>
      <c r="AA40">
        <v>9.4598999999999993</v>
      </c>
      <c r="AD40" t="s">
        <v>458</v>
      </c>
      <c r="AF40">
        <v>61.21</v>
      </c>
      <c r="AH40" t="s">
        <v>458</v>
      </c>
      <c r="AJ40">
        <f t="shared" ref="AJ40:AJ46" si="4">63*AF40/100</f>
        <v>38.5623</v>
      </c>
      <c r="AK40" t="s">
        <v>435</v>
      </c>
      <c r="AM40">
        <v>84.48</v>
      </c>
      <c r="AO40" t="s">
        <v>435</v>
      </c>
      <c r="AQ40">
        <f t="shared" ref="AQ40:AQ47" si="5">63*AM40/100</f>
        <v>53.222400000000007</v>
      </c>
      <c r="AR40" t="s">
        <v>460</v>
      </c>
      <c r="AT40">
        <v>32.92</v>
      </c>
      <c r="AV40" t="s">
        <v>460</v>
      </c>
      <c r="AX40">
        <f>63*Supplementary_Fig7!AM40/100</f>
        <v>0</v>
      </c>
      <c r="AZ40" t="s">
        <v>455</v>
      </c>
      <c r="BA40">
        <v>77.34</v>
      </c>
      <c r="BB40" t="s">
        <v>435</v>
      </c>
      <c r="BC40">
        <v>106.54</v>
      </c>
      <c r="BD40" t="s">
        <v>460</v>
      </c>
      <c r="BE40">
        <v>110.18</v>
      </c>
      <c r="BG40" t="s">
        <v>455</v>
      </c>
      <c r="BH40">
        <v>1.768</v>
      </c>
      <c r="BI40" t="s">
        <v>435</v>
      </c>
      <c r="BJ40">
        <v>1.76</v>
      </c>
      <c r="BK40" t="s">
        <v>460</v>
      </c>
      <c r="BL40">
        <v>1.29</v>
      </c>
      <c r="BN40" t="s">
        <v>458</v>
      </c>
      <c r="BO40">
        <v>255.86099999999999</v>
      </c>
      <c r="BP40" t="s">
        <v>435</v>
      </c>
      <c r="BQ40">
        <v>323.99299999999999</v>
      </c>
      <c r="BR40" t="s">
        <v>460</v>
      </c>
      <c r="BS40">
        <v>424.03899999999999</v>
      </c>
    </row>
    <row r="41" spans="1:71" x14ac:dyDescent="0.35">
      <c r="A41" t="s">
        <v>461</v>
      </c>
      <c r="B41">
        <v>711.2</v>
      </c>
      <c r="C41" t="s">
        <v>462</v>
      </c>
      <c r="D41">
        <v>366.4</v>
      </c>
      <c r="E41" t="s">
        <v>463</v>
      </c>
      <c r="F41">
        <v>79.12</v>
      </c>
      <c r="H41" t="s">
        <v>458</v>
      </c>
      <c r="I41">
        <v>-49.18</v>
      </c>
      <c r="J41" t="s">
        <v>462</v>
      </c>
      <c r="K41">
        <v>-71.22</v>
      </c>
      <c r="L41" t="s">
        <v>463</v>
      </c>
      <c r="M41">
        <v>-52.72</v>
      </c>
      <c r="O41" t="s">
        <v>733</v>
      </c>
      <c r="P41">
        <v>-41.2</v>
      </c>
      <c r="Q41" t="s">
        <v>462</v>
      </c>
      <c r="R41">
        <v>-47.363999999999997</v>
      </c>
      <c r="S41" t="s">
        <v>466</v>
      </c>
      <c r="T41">
        <v>-37.379399999999997</v>
      </c>
      <c r="V41" t="s">
        <v>461</v>
      </c>
      <c r="W41">
        <v>17.171800000000001</v>
      </c>
      <c r="X41" t="s">
        <v>462</v>
      </c>
      <c r="Y41">
        <v>23.856000000000002</v>
      </c>
      <c r="Z41" t="s">
        <v>466</v>
      </c>
      <c r="AA41">
        <v>21.4206</v>
      </c>
      <c r="AD41" t="s">
        <v>461</v>
      </c>
      <c r="AF41">
        <v>66.22</v>
      </c>
      <c r="AH41" t="s">
        <v>461</v>
      </c>
      <c r="AJ41">
        <f t="shared" si="4"/>
        <v>41.718599999999995</v>
      </c>
      <c r="AK41" t="s">
        <v>438</v>
      </c>
      <c r="AM41">
        <v>77.63</v>
      </c>
      <c r="AO41" t="s">
        <v>438</v>
      </c>
      <c r="AQ41">
        <f t="shared" si="5"/>
        <v>48.906899999999993</v>
      </c>
      <c r="AR41" t="s">
        <v>463</v>
      </c>
      <c r="AT41">
        <v>23.78</v>
      </c>
      <c r="AV41" t="s">
        <v>463</v>
      </c>
      <c r="AX41">
        <f>63*Supplementary_Fig7!AM41/100</f>
        <v>0</v>
      </c>
      <c r="AZ41" t="s">
        <v>458</v>
      </c>
      <c r="BA41">
        <v>95.14</v>
      </c>
      <c r="BB41" t="s">
        <v>438</v>
      </c>
      <c r="BC41">
        <v>97.13</v>
      </c>
      <c r="BD41" t="s">
        <v>463</v>
      </c>
      <c r="BE41">
        <v>97.69</v>
      </c>
      <c r="BG41" t="s">
        <v>458</v>
      </c>
      <c r="BH41">
        <v>1.63</v>
      </c>
      <c r="BI41" t="s">
        <v>438</v>
      </c>
      <c r="BJ41">
        <v>1.88</v>
      </c>
      <c r="BK41" t="s">
        <v>463</v>
      </c>
      <c r="BL41">
        <v>1.29</v>
      </c>
      <c r="BN41" t="s">
        <v>461</v>
      </c>
      <c r="BO41">
        <v>76.510099999999994</v>
      </c>
      <c r="BP41" t="s">
        <v>438</v>
      </c>
      <c r="BQ41">
        <v>197.071</v>
      </c>
      <c r="BR41" t="s">
        <v>463</v>
      </c>
      <c r="BS41">
        <v>321.30599999999998</v>
      </c>
    </row>
    <row r="42" spans="1:71" x14ac:dyDescent="0.35">
      <c r="A42" t="s">
        <v>464</v>
      </c>
      <c r="B42">
        <v>406.63</v>
      </c>
      <c r="C42" t="s">
        <v>465</v>
      </c>
      <c r="D42">
        <v>291.7</v>
      </c>
      <c r="E42" t="s">
        <v>466</v>
      </c>
      <c r="F42">
        <v>210.9</v>
      </c>
      <c r="H42" t="s">
        <v>461</v>
      </c>
      <c r="I42">
        <v>-48.55</v>
      </c>
      <c r="J42" t="s">
        <v>465</v>
      </c>
      <c r="K42">
        <v>-71.48</v>
      </c>
      <c r="L42" t="s">
        <v>466</v>
      </c>
      <c r="M42">
        <v>-58.8</v>
      </c>
      <c r="O42" t="s">
        <v>734</v>
      </c>
      <c r="P42">
        <v>-36.72</v>
      </c>
      <c r="Q42" t="s">
        <v>465</v>
      </c>
      <c r="R42">
        <v>-50.0824</v>
      </c>
      <c r="S42" t="s">
        <v>469</v>
      </c>
      <c r="T42">
        <v>-40.5319</v>
      </c>
      <c r="V42" t="s">
        <v>464</v>
      </c>
      <c r="W42">
        <v>23.520299999999999</v>
      </c>
      <c r="X42" t="s">
        <v>465</v>
      </c>
      <c r="Y42">
        <v>21.397600000000001</v>
      </c>
      <c r="Z42" t="s">
        <v>469</v>
      </c>
      <c r="AA42">
        <v>22.868099999999998</v>
      </c>
      <c r="AD42" t="s">
        <v>464</v>
      </c>
      <c r="AF42">
        <v>65.97</v>
      </c>
      <c r="AH42" t="s">
        <v>464</v>
      </c>
      <c r="AJ42">
        <f t="shared" si="4"/>
        <v>41.561099999999996</v>
      </c>
      <c r="AK42" t="s">
        <v>441</v>
      </c>
      <c r="AM42">
        <v>51.67</v>
      </c>
      <c r="AO42" t="s">
        <v>441</v>
      </c>
      <c r="AQ42">
        <f t="shared" si="5"/>
        <v>32.552100000000003</v>
      </c>
      <c r="AR42" t="s">
        <v>466</v>
      </c>
      <c r="AT42">
        <v>41.65</v>
      </c>
      <c r="AV42" t="s">
        <v>466</v>
      </c>
      <c r="AX42">
        <f>63*Supplementary_Fig7!AM42/100</f>
        <v>0</v>
      </c>
      <c r="AZ42" t="s">
        <v>461</v>
      </c>
      <c r="BA42">
        <v>71.790000000000006</v>
      </c>
      <c r="BB42" t="s">
        <v>441</v>
      </c>
      <c r="BC42">
        <v>99.68</v>
      </c>
      <c r="BD42" t="s">
        <v>466</v>
      </c>
      <c r="BE42">
        <v>87.28</v>
      </c>
      <c r="BG42" t="s">
        <v>461</v>
      </c>
      <c r="BH42">
        <v>3.68</v>
      </c>
      <c r="BI42" t="s">
        <v>441</v>
      </c>
      <c r="BJ42">
        <v>1.82</v>
      </c>
      <c r="BK42" t="s">
        <v>466</v>
      </c>
      <c r="BL42">
        <v>1.48</v>
      </c>
      <c r="BN42" t="s">
        <v>464</v>
      </c>
      <c r="BO42">
        <v>302.01499999999999</v>
      </c>
      <c r="BP42" t="s">
        <v>441</v>
      </c>
      <c r="BQ42">
        <v>202.31800000000001</v>
      </c>
      <c r="BR42" t="s">
        <v>466</v>
      </c>
      <c r="BS42">
        <v>292.00700000000001</v>
      </c>
    </row>
    <row r="43" spans="1:71" x14ac:dyDescent="0.35">
      <c r="A43" t="s">
        <v>467</v>
      </c>
      <c r="B43">
        <v>660.4</v>
      </c>
      <c r="C43" t="s">
        <v>468</v>
      </c>
      <c r="D43">
        <v>395.1</v>
      </c>
      <c r="E43" t="s">
        <v>469</v>
      </c>
      <c r="F43">
        <v>143.5</v>
      </c>
      <c r="H43" t="s">
        <v>464</v>
      </c>
      <c r="I43">
        <v>-58.17</v>
      </c>
      <c r="J43" t="s">
        <v>468</v>
      </c>
      <c r="K43">
        <v>-75.959999999999994</v>
      </c>
      <c r="L43" t="s">
        <v>469</v>
      </c>
      <c r="M43">
        <v>-63.4</v>
      </c>
      <c r="O43" t="s">
        <v>735</v>
      </c>
      <c r="P43">
        <v>-36.78</v>
      </c>
      <c r="Q43" t="s">
        <v>468</v>
      </c>
      <c r="R43">
        <v>-47.550199999999997</v>
      </c>
      <c r="S43" t="s">
        <v>472</v>
      </c>
      <c r="T43">
        <v>-43.226599999999998</v>
      </c>
      <c r="V43" t="s">
        <v>467</v>
      </c>
      <c r="W43">
        <v>13.086600000000001</v>
      </c>
      <c r="X43" t="s">
        <v>468</v>
      </c>
      <c r="Y43">
        <v>28.409800000000001</v>
      </c>
      <c r="Z43" t="s">
        <v>472</v>
      </c>
      <c r="AA43">
        <v>13.423400000000001</v>
      </c>
      <c r="AD43" t="s">
        <v>467</v>
      </c>
      <c r="AF43">
        <v>71.900000000000006</v>
      </c>
      <c r="AH43" t="s">
        <v>467</v>
      </c>
      <c r="AJ43">
        <f t="shared" si="4"/>
        <v>45.297000000000004</v>
      </c>
      <c r="AK43" t="s">
        <v>444</v>
      </c>
      <c r="AM43">
        <v>46.06</v>
      </c>
      <c r="AO43" t="s">
        <v>444</v>
      </c>
      <c r="AQ43">
        <f t="shared" si="5"/>
        <v>29.017800000000001</v>
      </c>
      <c r="AR43" t="s">
        <v>469</v>
      </c>
      <c r="AT43">
        <v>40.36</v>
      </c>
      <c r="AV43" t="s">
        <v>469</v>
      </c>
      <c r="AX43">
        <f>63*Supplementary_Fig7!AM43/100</f>
        <v>0</v>
      </c>
      <c r="AZ43" t="s">
        <v>464</v>
      </c>
      <c r="BA43">
        <v>102.09</v>
      </c>
      <c r="BB43" t="s">
        <v>444</v>
      </c>
      <c r="BC43">
        <v>99.4</v>
      </c>
      <c r="BD43" t="s">
        <v>469</v>
      </c>
      <c r="BE43">
        <v>108.13</v>
      </c>
      <c r="BG43" t="s">
        <v>464</v>
      </c>
      <c r="BH43">
        <v>1.69</v>
      </c>
      <c r="BI43" t="s">
        <v>444</v>
      </c>
      <c r="BJ43">
        <v>1.63</v>
      </c>
      <c r="BK43" t="s">
        <v>469</v>
      </c>
      <c r="BL43">
        <v>1.24</v>
      </c>
      <c r="BN43" t="s">
        <v>467</v>
      </c>
      <c r="BO43">
        <v>122.161</v>
      </c>
      <c r="BP43" t="s">
        <v>444</v>
      </c>
      <c r="BQ43">
        <v>309.21899999999999</v>
      </c>
      <c r="BR43" t="s">
        <v>469</v>
      </c>
      <c r="BS43">
        <v>416.60599999999999</v>
      </c>
    </row>
    <row r="44" spans="1:71" x14ac:dyDescent="0.35">
      <c r="A44" t="s">
        <v>470</v>
      </c>
      <c r="B44">
        <v>499.47</v>
      </c>
      <c r="C44" t="s">
        <v>471</v>
      </c>
      <c r="D44">
        <v>394.5</v>
      </c>
      <c r="E44" t="s">
        <v>472</v>
      </c>
      <c r="F44">
        <v>133.6</v>
      </c>
      <c r="H44" t="s">
        <v>467</v>
      </c>
      <c r="I44">
        <v>-52.41</v>
      </c>
      <c r="J44" t="s">
        <v>471</v>
      </c>
      <c r="K44">
        <v>-76.5</v>
      </c>
      <c r="L44" t="s">
        <v>472</v>
      </c>
      <c r="M44">
        <v>-56.65</v>
      </c>
      <c r="O44" t="s">
        <v>736</v>
      </c>
      <c r="P44">
        <v>-37.5</v>
      </c>
      <c r="Q44" t="s">
        <v>471</v>
      </c>
      <c r="R44">
        <v>-45.606000000000002</v>
      </c>
      <c r="S44" t="s">
        <v>475</v>
      </c>
      <c r="T44">
        <v>-42.548400000000001</v>
      </c>
      <c r="V44" t="s">
        <v>470</v>
      </c>
      <c r="W44">
        <v>11.098800000000001</v>
      </c>
      <c r="X44" t="s">
        <v>471</v>
      </c>
      <c r="Y44">
        <v>30.893999999999998</v>
      </c>
      <c r="Z44" t="s">
        <v>475</v>
      </c>
      <c r="AA44">
        <v>13.021599999999999</v>
      </c>
      <c r="AD44" t="s">
        <v>470</v>
      </c>
      <c r="AF44">
        <v>51.55</v>
      </c>
      <c r="AH44" t="s">
        <v>470</v>
      </c>
      <c r="AJ44">
        <f t="shared" si="4"/>
        <v>32.476499999999994</v>
      </c>
      <c r="AK44" t="s">
        <v>447</v>
      </c>
      <c r="AM44">
        <v>63</v>
      </c>
      <c r="AO44" t="s">
        <v>447</v>
      </c>
      <c r="AQ44">
        <f t="shared" si="5"/>
        <v>39.69</v>
      </c>
      <c r="AR44" t="s">
        <v>472</v>
      </c>
      <c r="AT44">
        <v>46.07</v>
      </c>
      <c r="AV44" t="s">
        <v>472</v>
      </c>
      <c r="AX44">
        <f>63*Supplementary_Fig7!AM44/100</f>
        <v>0</v>
      </c>
      <c r="AZ44" t="s">
        <v>467</v>
      </c>
      <c r="BA44">
        <v>71.31</v>
      </c>
      <c r="BB44" t="s">
        <v>447</v>
      </c>
      <c r="BC44">
        <v>123.35</v>
      </c>
      <c r="BD44" t="s">
        <v>472</v>
      </c>
      <c r="BE44">
        <v>108.35</v>
      </c>
      <c r="BG44" t="s">
        <v>467</v>
      </c>
      <c r="BH44">
        <v>2.41</v>
      </c>
      <c r="BI44" t="s">
        <v>447</v>
      </c>
      <c r="BJ44">
        <v>1.49</v>
      </c>
      <c r="BK44" t="s">
        <v>472</v>
      </c>
      <c r="BL44">
        <v>1.21</v>
      </c>
      <c r="BN44" t="s">
        <v>470</v>
      </c>
      <c r="BO44">
        <v>67.968299999999999</v>
      </c>
      <c r="BP44" t="s">
        <v>447</v>
      </c>
      <c r="BQ44">
        <v>397.863</v>
      </c>
      <c r="BR44" t="s">
        <v>472</v>
      </c>
      <c r="BS44">
        <v>391.524</v>
      </c>
    </row>
    <row r="45" spans="1:71" x14ac:dyDescent="0.35">
      <c r="A45" t="s">
        <v>473</v>
      </c>
      <c r="B45">
        <v>689.5</v>
      </c>
      <c r="C45" t="s">
        <v>474</v>
      </c>
      <c r="D45">
        <v>360.5</v>
      </c>
      <c r="E45" t="s">
        <v>475</v>
      </c>
      <c r="F45">
        <v>179.1</v>
      </c>
      <c r="H45" t="s">
        <v>470</v>
      </c>
      <c r="I45">
        <v>-42.48</v>
      </c>
      <c r="J45" t="s">
        <v>474</v>
      </c>
      <c r="K45">
        <v>-71.040000000000006</v>
      </c>
      <c r="L45" t="s">
        <v>475</v>
      </c>
      <c r="M45">
        <v>-55.57</v>
      </c>
      <c r="O45" t="s">
        <v>737</v>
      </c>
      <c r="P45">
        <v>-38.299999999999997</v>
      </c>
      <c r="Q45" t="s">
        <v>474</v>
      </c>
      <c r="R45">
        <v>-45.439100000000003</v>
      </c>
      <c r="S45" t="s">
        <v>478</v>
      </c>
      <c r="T45">
        <v>-45.947299999999998</v>
      </c>
      <c r="V45" t="s">
        <v>473</v>
      </c>
      <c r="W45">
        <v>14.7334</v>
      </c>
      <c r="X45" t="s">
        <v>474</v>
      </c>
      <c r="Y45">
        <v>25.600899999999999</v>
      </c>
      <c r="Z45" t="s">
        <v>478</v>
      </c>
      <c r="AA45">
        <v>11.6427</v>
      </c>
      <c r="AD45" t="s">
        <v>473</v>
      </c>
      <c r="AF45">
        <v>38.68</v>
      </c>
      <c r="AH45" t="s">
        <v>473</v>
      </c>
      <c r="AJ45">
        <f t="shared" si="4"/>
        <v>24.368400000000001</v>
      </c>
      <c r="AK45" t="s">
        <v>450</v>
      </c>
      <c r="AM45">
        <v>86.3</v>
      </c>
      <c r="AO45" t="s">
        <v>450</v>
      </c>
      <c r="AQ45">
        <f t="shared" si="5"/>
        <v>54.369</v>
      </c>
      <c r="AR45" t="s">
        <v>475</v>
      </c>
      <c r="AT45">
        <v>44.6</v>
      </c>
      <c r="AV45" t="s">
        <v>475</v>
      </c>
      <c r="AX45">
        <f>63*Supplementary_Fig7!AM45/100</f>
        <v>0</v>
      </c>
      <c r="AZ45" t="s">
        <v>470</v>
      </c>
      <c r="BA45">
        <v>65.72</v>
      </c>
      <c r="BB45" t="s">
        <v>450</v>
      </c>
      <c r="BC45">
        <v>87.31</v>
      </c>
      <c r="BD45" t="s">
        <v>475</v>
      </c>
      <c r="BE45">
        <v>103.47</v>
      </c>
      <c r="BG45" t="s">
        <v>470</v>
      </c>
      <c r="BH45">
        <v>3.16</v>
      </c>
      <c r="BI45" t="s">
        <v>450</v>
      </c>
      <c r="BJ45">
        <v>1.77</v>
      </c>
      <c r="BK45" t="s">
        <v>475</v>
      </c>
      <c r="BL45">
        <v>1.32</v>
      </c>
      <c r="BN45" t="s">
        <v>473</v>
      </c>
      <c r="BO45">
        <v>266.99200000000002</v>
      </c>
      <c r="BP45" t="s">
        <v>450</v>
      </c>
      <c r="BQ45">
        <v>246.215</v>
      </c>
      <c r="BR45" t="s">
        <v>475</v>
      </c>
      <c r="BS45">
        <v>311.53100000000001</v>
      </c>
    </row>
    <row r="46" spans="1:71" x14ac:dyDescent="0.35">
      <c r="A46" t="s">
        <v>476</v>
      </c>
      <c r="B46">
        <v>419.55</v>
      </c>
      <c r="C46" t="s">
        <v>477</v>
      </c>
      <c r="D46">
        <v>477.6</v>
      </c>
      <c r="E46" t="s">
        <v>478</v>
      </c>
      <c r="F46">
        <v>206.37</v>
      </c>
      <c r="H46" t="s">
        <v>473</v>
      </c>
      <c r="I46">
        <v>-55.72</v>
      </c>
      <c r="J46" t="s">
        <v>477</v>
      </c>
      <c r="K46">
        <v>-70.92</v>
      </c>
      <c r="L46" t="s">
        <v>478</v>
      </c>
      <c r="M46">
        <v>-57.59</v>
      </c>
      <c r="O46" t="s">
        <v>738</v>
      </c>
      <c r="P46">
        <v>-43.9</v>
      </c>
      <c r="Q46" t="s">
        <v>477</v>
      </c>
      <c r="R46">
        <v>-54.5242</v>
      </c>
      <c r="S46" t="s">
        <v>481</v>
      </c>
      <c r="T46">
        <v>-44.915799999999997</v>
      </c>
      <c r="V46" t="s">
        <v>476</v>
      </c>
      <c r="W46">
        <v>16.260000000000002</v>
      </c>
      <c r="X46" t="s">
        <v>477</v>
      </c>
      <c r="Y46">
        <v>16.395800000000001</v>
      </c>
      <c r="Z46" t="s">
        <v>481</v>
      </c>
      <c r="AA46">
        <v>25.664200000000001</v>
      </c>
      <c r="AD46" t="s">
        <v>476</v>
      </c>
      <c r="AF46">
        <v>44.97</v>
      </c>
      <c r="AH46" t="s">
        <v>476</v>
      </c>
      <c r="AJ46">
        <f t="shared" si="4"/>
        <v>28.331100000000003</v>
      </c>
      <c r="AK46" t="s">
        <v>453</v>
      </c>
      <c r="AM46">
        <v>75.569999999999993</v>
      </c>
      <c r="AO46" t="s">
        <v>453</v>
      </c>
      <c r="AQ46">
        <f t="shared" si="5"/>
        <v>47.609099999999998</v>
      </c>
      <c r="AR46" t="s">
        <v>478</v>
      </c>
      <c r="AT46">
        <v>54.63</v>
      </c>
      <c r="AV46" t="s">
        <v>478</v>
      </c>
      <c r="AX46">
        <f>63*Supplementary_Fig7!AM46/100</f>
        <v>0</v>
      </c>
      <c r="AZ46" t="s">
        <v>473</v>
      </c>
      <c r="BA46">
        <v>96.91</v>
      </c>
      <c r="BB46" t="s">
        <v>453</v>
      </c>
      <c r="BC46">
        <v>91.59</v>
      </c>
      <c r="BD46" t="s">
        <v>478</v>
      </c>
      <c r="BE46">
        <v>105.75</v>
      </c>
      <c r="BG46" t="s">
        <v>473</v>
      </c>
      <c r="BH46">
        <v>1.64</v>
      </c>
      <c r="BI46" t="s">
        <v>453</v>
      </c>
      <c r="BJ46">
        <v>1.68</v>
      </c>
      <c r="BK46" t="s">
        <v>478</v>
      </c>
      <c r="BL46">
        <v>1.49</v>
      </c>
      <c r="BN46" t="s">
        <v>476</v>
      </c>
      <c r="BO46">
        <v>264.46899999999999</v>
      </c>
      <c r="BP46" t="s">
        <v>453</v>
      </c>
      <c r="BQ46">
        <v>317.81599999999997</v>
      </c>
      <c r="BR46" t="s">
        <v>478</v>
      </c>
      <c r="BS46">
        <v>283.77100000000002</v>
      </c>
    </row>
    <row r="47" spans="1:71" x14ac:dyDescent="0.35">
      <c r="A47" t="s">
        <v>479</v>
      </c>
      <c r="B47">
        <v>245.32</v>
      </c>
      <c r="C47" t="s">
        <v>480</v>
      </c>
      <c r="D47">
        <v>247.15</v>
      </c>
      <c r="E47" t="s">
        <v>481</v>
      </c>
      <c r="F47">
        <v>325.39999999999998</v>
      </c>
      <c r="H47" t="s">
        <v>476</v>
      </c>
      <c r="I47">
        <v>-56.62</v>
      </c>
      <c r="J47" t="s">
        <v>480</v>
      </c>
      <c r="K47">
        <v>-51.67</v>
      </c>
      <c r="L47" t="s">
        <v>481</v>
      </c>
      <c r="M47">
        <v>-70.58</v>
      </c>
      <c r="O47" t="s">
        <v>739</v>
      </c>
      <c r="P47">
        <v>-39.6</v>
      </c>
      <c r="Q47" t="s">
        <v>480</v>
      </c>
      <c r="R47">
        <v>-26.609000000000002</v>
      </c>
      <c r="S47" t="s">
        <v>484</v>
      </c>
      <c r="T47">
        <v>-45.661900000000003</v>
      </c>
      <c r="V47" t="s">
        <v>479</v>
      </c>
      <c r="W47">
        <v>19.89</v>
      </c>
      <c r="X47" t="s">
        <v>480</v>
      </c>
      <c r="Y47">
        <v>25.061</v>
      </c>
      <c r="Z47" t="s">
        <v>484</v>
      </c>
      <c r="AA47">
        <v>11.648099999999999</v>
      </c>
      <c r="AD47" t="s">
        <v>479</v>
      </c>
      <c r="AE47">
        <v>76.900000000000006</v>
      </c>
      <c r="AH47" t="s">
        <v>479</v>
      </c>
      <c r="AI47">
        <f>63*AE47/100</f>
        <v>48.44700000000001</v>
      </c>
      <c r="AK47" t="s">
        <v>456</v>
      </c>
      <c r="AM47">
        <v>71.47</v>
      </c>
      <c r="AO47" t="s">
        <v>456</v>
      </c>
      <c r="AQ47">
        <f t="shared" si="5"/>
        <v>45.0261</v>
      </c>
      <c r="AR47" t="s">
        <v>481</v>
      </c>
      <c r="AS47">
        <v>83.24</v>
      </c>
      <c r="AV47" t="s">
        <v>481</v>
      </c>
      <c r="AW47">
        <f>63*Supplementary_Fig7!AL47/100</f>
        <v>0</v>
      </c>
      <c r="AZ47" t="s">
        <v>476</v>
      </c>
      <c r="BA47">
        <v>84.88</v>
      </c>
      <c r="BB47" t="s">
        <v>456</v>
      </c>
      <c r="BC47">
        <v>83.15</v>
      </c>
      <c r="BD47" t="s">
        <v>481</v>
      </c>
      <c r="BE47">
        <v>104.74</v>
      </c>
      <c r="BG47" t="s">
        <v>476</v>
      </c>
      <c r="BH47">
        <v>1.49</v>
      </c>
      <c r="BI47" t="s">
        <v>456</v>
      </c>
      <c r="BJ47">
        <v>1.85</v>
      </c>
      <c r="BK47" t="s">
        <v>481</v>
      </c>
      <c r="BL47">
        <v>1.53</v>
      </c>
      <c r="BN47" t="s">
        <v>479</v>
      </c>
      <c r="BO47">
        <v>247.19200000000001</v>
      </c>
      <c r="BP47" t="s">
        <v>456</v>
      </c>
      <c r="BQ47">
        <v>230.28100000000001</v>
      </c>
      <c r="BR47" t="s">
        <v>481</v>
      </c>
      <c r="BS47">
        <v>331.80700000000002</v>
      </c>
    </row>
    <row r="48" spans="1:71" ht="13.15" x14ac:dyDescent="0.4">
      <c r="A48" t="s">
        <v>482</v>
      </c>
      <c r="B48">
        <v>421.73</v>
      </c>
      <c r="C48" t="s">
        <v>483</v>
      </c>
      <c r="D48">
        <v>386.36</v>
      </c>
      <c r="E48" t="s">
        <v>484</v>
      </c>
      <c r="F48">
        <v>258.77</v>
      </c>
      <c r="H48" t="s">
        <v>479</v>
      </c>
      <c r="I48">
        <v>-60.34</v>
      </c>
      <c r="J48" t="s">
        <v>483</v>
      </c>
      <c r="K48">
        <v>-62.81</v>
      </c>
      <c r="L48" t="s">
        <v>484</v>
      </c>
      <c r="M48">
        <v>-57.31</v>
      </c>
      <c r="O48" t="s">
        <v>397</v>
      </c>
      <c r="P48" s="1">
        <f>AVERAGE(P5:P47)</f>
        <v>-40.760465116279057</v>
      </c>
      <c r="Q48" t="s">
        <v>483</v>
      </c>
      <c r="R48">
        <v>-46.296599999999998</v>
      </c>
      <c r="S48" t="s">
        <v>487</v>
      </c>
      <c r="T48">
        <v>-42.3431</v>
      </c>
      <c r="V48" t="s">
        <v>482</v>
      </c>
      <c r="W48">
        <v>29.08</v>
      </c>
      <c r="X48" t="s">
        <v>483</v>
      </c>
      <c r="Y48">
        <v>16.513400000000001</v>
      </c>
      <c r="Z48" t="s">
        <v>487</v>
      </c>
      <c r="AA48">
        <v>20.536899999999999</v>
      </c>
      <c r="AD48" t="s">
        <v>482</v>
      </c>
      <c r="AE48">
        <v>48.61</v>
      </c>
      <c r="AH48" t="s">
        <v>482</v>
      </c>
      <c r="AI48">
        <f>63*AE48/100</f>
        <v>30.624299999999998</v>
      </c>
      <c r="AK48" t="s">
        <v>1059</v>
      </c>
      <c r="AO48" t="s">
        <v>1059</v>
      </c>
      <c r="AR48" t="s">
        <v>484</v>
      </c>
      <c r="AT48">
        <v>74.2</v>
      </c>
      <c r="AV48" t="s">
        <v>484</v>
      </c>
      <c r="AX48">
        <f>63*Supplementary_Fig7!AM48/100</f>
        <v>0</v>
      </c>
      <c r="AZ48" t="s">
        <v>479</v>
      </c>
      <c r="BA48">
        <v>84.63</v>
      </c>
      <c r="BB48" t="s">
        <v>1059</v>
      </c>
      <c r="BD48" t="s">
        <v>484</v>
      </c>
      <c r="BE48">
        <v>94.06</v>
      </c>
      <c r="BG48" t="s">
        <v>479</v>
      </c>
      <c r="BH48">
        <v>1.86</v>
      </c>
      <c r="BI48" t="s">
        <v>1059</v>
      </c>
      <c r="BJ48">
        <v>1</v>
      </c>
      <c r="BK48" t="s">
        <v>484</v>
      </c>
      <c r="BL48">
        <v>1.5</v>
      </c>
      <c r="BN48" t="s">
        <v>482</v>
      </c>
      <c r="BO48">
        <v>152.68600000000001</v>
      </c>
      <c r="BP48" t="s">
        <v>1059</v>
      </c>
      <c r="BR48" t="s">
        <v>484</v>
      </c>
      <c r="BS48">
        <v>290.41500000000002</v>
      </c>
    </row>
    <row r="49" spans="1:71" ht="13.15" x14ac:dyDescent="0.4">
      <c r="A49" t="s">
        <v>485</v>
      </c>
      <c r="B49">
        <v>708.1</v>
      </c>
      <c r="C49" t="s">
        <v>486</v>
      </c>
      <c r="D49">
        <v>293.02999999999997</v>
      </c>
      <c r="E49" t="s">
        <v>487</v>
      </c>
      <c r="F49">
        <v>221.97</v>
      </c>
      <c r="H49" t="s">
        <v>482</v>
      </c>
      <c r="I49">
        <v>-64.33</v>
      </c>
      <c r="J49" t="s">
        <v>486</v>
      </c>
      <c r="K49">
        <v>-65.819999999999993</v>
      </c>
      <c r="L49" t="s">
        <v>487</v>
      </c>
      <c r="M49">
        <v>-62.88</v>
      </c>
      <c r="O49" t="s">
        <v>281</v>
      </c>
      <c r="P49" s="1">
        <f>STDEV(P5:P47)</f>
        <v>3.6122792919814435</v>
      </c>
      <c r="Q49" t="s">
        <v>486</v>
      </c>
      <c r="R49">
        <v>-47.364800000000002</v>
      </c>
      <c r="S49" t="s">
        <v>490</v>
      </c>
      <c r="T49">
        <v>-45.057699999999997</v>
      </c>
      <c r="V49" t="s">
        <v>485</v>
      </c>
      <c r="W49">
        <v>20.94</v>
      </c>
      <c r="X49" t="s">
        <v>486</v>
      </c>
      <c r="Y49">
        <v>18.455200000000001</v>
      </c>
      <c r="Z49" t="s">
        <v>490</v>
      </c>
      <c r="AA49">
        <v>12.7623</v>
      </c>
      <c r="AD49" t="s">
        <v>485</v>
      </c>
      <c r="AE49">
        <v>78.38</v>
      </c>
      <c r="AH49" t="s">
        <v>485</v>
      </c>
      <c r="AI49">
        <f>63*AE49/100</f>
        <v>49.379399999999997</v>
      </c>
      <c r="AK49" t="s">
        <v>459</v>
      </c>
      <c r="AM49">
        <v>91.14</v>
      </c>
      <c r="AO49" t="s">
        <v>459</v>
      </c>
      <c r="AQ49">
        <f t="shared" ref="AQ49:AQ57" si="6">63*AM49/100</f>
        <v>57.418199999999999</v>
      </c>
      <c r="AR49" t="s">
        <v>487</v>
      </c>
      <c r="AS49">
        <v>60.49</v>
      </c>
      <c r="AV49" t="s">
        <v>487</v>
      </c>
      <c r="AW49">
        <f>63*Supplementary_Fig7!AL49/100</f>
        <v>0</v>
      </c>
      <c r="AZ49" t="s">
        <v>482</v>
      </c>
      <c r="BA49">
        <v>73.5</v>
      </c>
      <c r="BB49" t="s">
        <v>459</v>
      </c>
      <c r="BC49">
        <v>111.42</v>
      </c>
      <c r="BD49" t="s">
        <v>487</v>
      </c>
      <c r="BE49">
        <v>93.81</v>
      </c>
      <c r="BG49" t="s">
        <v>482</v>
      </c>
      <c r="BH49">
        <v>2.04</v>
      </c>
      <c r="BI49" t="s">
        <v>459</v>
      </c>
      <c r="BJ49">
        <v>2.25</v>
      </c>
      <c r="BK49" t="s">
        <v>487</v>
      </c>
      <c r="BL49">
        <v>1.46</v>
      </c>
      <c r="BN49" t="s">
        <v>485</v>
      </c>
      <c r="BO49">
        <v>188.89599999999999</v>
      </c>
      <c r="BP49" t="s">
        <v>459</v>
      </c>
      <c r="BQ49">
        <v>229.304</v>
      </c>
      <c r="BR49" t="s">
        <v>487</v>
      </c>
      <c r="BS49">
        <v>309.096</v>
      </c>
    </row>
    <row r="50" spans="1:71" ht="13.15" x14ac:dyDescent="0.4">
      <c r="A50" t="s">
        <v>488</v>
      </c>
      <c r="B50">
        <v>423.72</v>
      </c>
      <c r="C50" t="s">
        <v>489</v>
      </c>
      <c r="D50">
        <v>248.92</v>
      </c>
      <c r="E50" t="s">
        <v>490</v>
      </c>
      <c r="F50">
        <v>195.5</v>
      </c>
      <c r="H50" t="s">
        <v>485</v>
      </c>
      <c r="I50">
        <v>-58.88</v>
      </c>
      <c r="J50" t="s">
        <v>489</v>
      </c>
      <c r="K50">
        <v>-62.83</v>
      </c>
      <c r="L50" t="s">
        <v>490</v>
      </c>
      <c r="M50">
        <v>-57.82</v>
      </c>
      <c r="O50" t="s">
        <v>284</v>
      </c>
      <c r="P50" s="1">
        <f>P49/SQRT(43)</f>
        <v>0.55086742766924357</v>
      </c>
      <c r="Q50" t="s">
        <v>489</v>
      </c>
      <c r="R50">
        <v>-54.877499999999998</v>
      </c>
      <c r="S50" t="s">
        <v>493</v>
      </c>
      <c r="T50">
        <v>-44.445799999999998</v>
      </c>
      <c r="V50" t="s">
        <v>488</v>
      </c>
      <c r="W50">
        <v>12.69</v>
      </c>
      <c r="X50" t="s">
        <v>489</v>
      </c>
      <c r="Y50">
        <v>7.9524999999999997</v>
      </c>
      <c r="Z50" t="s">
        <v>493</v>
      </c>
      <c r="AA50">
        <v>16.2242</v>
      </c>
      <c r="AD50" t="s">
        <v>488</v>
      </c>
      <c r="AE50">
        <v>43.18</v>
      </c>
      <c r="AH50" t="s">
        <v>488</v>
      </c>
      <c r="AI50">
        <f>63*AE50/100</f>
        <v>27.203400000000002</v>
      </c>
      <c r="AK50" t="s">
        <v>462</v>
      </c>
      <c r="AM50">
        <v>82</v>
      </c>
      <c r="AO50" t="s">
        <v>462</v>
      </c>
      <c r="AQ50">
        <f t="shared" si="6"/>
        <v>51.66</v>
      </c>
      <c r="AR50" t="s">
        <v>490</v>
      </c>
      <c r="AT50">
        <v>42.9</v>
      </c>
      <c r="AV50" t="s">
        <v>490</v>
      </c>
      <c r="AX50">
        <f>63*Supplementary_Fig7!AM50/100</f>
        <v>0</v>
      </c>
      <c r="AZ50" t="s">
        <v>485</v>
      </c>
      <c r="BA50">
        <v>97.79</v>
      </c>
      <c r="BB50" t="s">
        <v>462</v>
      </c>
      <c r="BC50">
        <v>96.9</v>
      </c>
      <c r="BD50" t="s">
        <v>490</v>
      </c>
      <c r="BE50">
        <v>104.29</v>
      </c>
      <c r="BG50" t="s">
        <v>485</v>
      </c>
      <c r="BH50">
        <v>1.78</v>
      </c>
      <c r="BI50" t="s">
        <v>462</v>
      </c>
      <c r="BJ50">
        <v>1.67</v>
      </c>
      <c r="BK50" t="s">
        <v>490</v>
      </c>
      <c r="BL50">
        <v>1.42</v>
      </c>
      <c r="BN50" t="s">
        <v>488</v>
      </c>
      <c r="BO50">
        <v>140.11000000000001</v>
      </c>
      <c r="BP50" t="s">
        <v>462</v>
      </c>
      <c r="BQ50">
        <v>345.149</v>
      </c>
      <c r="BR50" t="s">
        <v>490</v>
      </c>
      <c r="BS50">
        <v>300.54899999999998</v>
      </c>
    </row>
    <row r="51" spans="1:71" x14ac:dyDescent="0.35">
      <c r="A51" t="s">
        <v>491</v>
      </c>
      <c r="B51">
        <v>605.6</v>
      </c>
      <c r="C51" t="s">
        <v>492</v>
      </c>
      <c r="D51">
        <v>441.5</v>
      </c>
      <c r="E51" t="s">
        <v>493</v>
      </c>
      <c r="F51">
        <v>232.95</v>
      </c>
      <c r="H51" t="s">
        <v>488</v>
      </c>
      <c r="I51">
        <v>-52.64</v>
      </c>
      <c r="J51" t="s">
        <v>492</v>
      </c>
      <c r="K51">
        <v>-73.66</v>
      </c>
      <c r="L51" t="s">
        <v>493</v>
      </c>
      <c r="M51">
        <v>-60.67</v>
      </c>
      <c r="Q51" t="s">
        <v>492</v>
      </c>
      <c r="R51">
        <v>-48.198700000000002</v>
      </c>
      <c r="S51" t="s">
        <v>496</v>
      </c>
      <c r="T51">
        <v>-41.261299999999999</v>
      </c>
      <c r="V51" t="s">
        <v>491</v>
      </c>
      <c r="W51">
        <v>23.75</v>
      </c>
      <c r="X51" t="s">
        <v>492</v>
      </c>
      <c r="Y51">
        <v>25.461300000000001</v>
      </c>
      <c r="Z51" t="s">
        <v>496</v>
      </c>
      <c r="AA51">
        <v>16.738700000000001</v>
      </c>
      <c r="AD51" t="s">
        <v>491</v>
      </c>
      <c r="AE51">
        <v>75.19</v>
      </c>
      <c r="AH51" t="s">
        <v>491</v>
      </c>
      <c r="AI51">
        <f>63*AE51/100</f>
        <v>47.369700000000002</v>
      </c>
      <c r="AK51" t="s">
        <v>465</v>
      </c>
      <c r="AM51">
        <v>90.78</v>
      </c>
      <c r="AO51" t="s">
        <v>465</v>
      </c>
      <c r="AQ51">
        <f t="shared" si="6"/>
        <v>57.191400000000002</v>
      </c>
      <c r="AR51" t="s">
        <v>493</v>
      </c>
      <c r="AS51">
        <v>55.44</v>
      </c>
      <c r="AV51" t="s">
        <v>493</v>
      </c>
      <c r="AW51">
        <f>63*Supplementary_Fig7!AL51/100</f>
        <v>0</v>
      </c>
      <c r="AZ51" t="s">
        <v>488</v>
      </c>
      <c r="BA51">
        <v>78.38</v>
      </c>
      <c r="BB51" t="s">
        <v>465</v>
      </c>
      <c r="BC51">
        <v>96.89</v>
      </c>
      <c r="BD51" t="s">
        <v>493</v>
      </c>
      <c r="BE51">
        <v>106.27</v>
      </c>
      <c r="BG51" t="s">
        <v>488</v>
      </c>
      <c r="BH51">
        <v>2.16</v>
      </c>
      <c r="BI51" t="s">
        <v>465</v>
      </c>
      <c r="BJ51">
        <v>1.83</v>
      </c>
      <c r="BK51" t="s">
        <v>493</v>
      </c>
      <c r="BL51">
        <v>1.39</v>
      </c>
      <c r="BN51" t="s">
        <v>491</v>
      </c>
      <c r="BO51">
        <v>294.63099999999997</v>
      </c>
      <c r="BP51" t="s">
        <v>465</v>
      </c>
      <c r="BQ51">
        <v>240.53700000000001</v>
      </c>
      <c r="BR51" t="s">
        <v>493</v>
      </c>
      <c r="BS51">
        <v>303.41899999999998</v>
      </c>
    </row>
    <row r="52" spans="1:71" x14ac:dyDescent="0.35">
      <c r="A52" t="s">
        <v>494</v>
      </c>
      <c r="B52">
        <v>388.57</v>
      </c>
      <c r="C52" t="s">
        <v>495</v>
      </c>
      <c r="D52">
        <v>322.2</v>
      </c>
      <c r="E52" t="s">
        <v>496</v>
      </c>
      <c r="F52">
        <v>197.25</v>
      </c>
      <c r="H52" t="s">
        <v>491</v>
      </c>
      <c r="I52">
        <v>-57.97</v>
      </c>
      <c r="J52" t="s">
        <v>495</v>
      </c>
      <c r="K52">
        <v>-61.8</v>
      </c>
      <c r="L52" t="s">
        <v>496</v>
      </c>
      <c r="M52">
        <v>-58</v>
      </c>
      <c r="Q52" t="s">
        <v>495</v>
      </c>
      <c r="R52">
        <v>-48.554200000000002</v>
      </c>
      <c r="S52" t="s">
        <v>499</v>
      </c>
      <c r="T52">
        <v>-42.881799999999998</v>
      </c>
      <c r="V52" t="s">
        <v>494</v>
      </c>
      <c r="W52">
        <v>21.36</v>
      </c>
      <c r="X52" t="s">
        <v>495</v>
      </c>
      <c r="Y52">
        <v>13.245799999999999</v>
      </c>
      <c r="Z52" t="s">
        <v>499</v>
      </c>
      <c r="AA52">
        <v>14.308199999999999</v>
      </c>
      <c r="AD52" t="s">
        <v>494</v>
      </c>
      <c r="AF52">
        <v>49.19</v>
      </c>
      <c r="AH52" t="s">
        <v>494</v>
      </c>
      <c r="AJ52">
        <f>63*AF52/100</f>
        <v>30.989699999999999</v>
      </c>
      <c r="AK52" t="s">
        <v>468</v>
      </c>
      <c r="AM52">
        <v>104.61</v>
      </c>
      <c r="AO52" t="s">
        <v>468</v>
      </c>
      <c r="AQ52">
        <f t="shared" si="6"/>
        <v>65.904300000000006</v>
      </c>
      <c r="AR52" t="s">
        <v>496</v>
      </c>
      <c r="AS52">
        <v>59</v>
      </c>
      <c r="AV52" t="s">
        <v>496</v>
      </c>
      <c r="AW52">
        <f>63*Supplementary_Fig7!AL52/100</f>
        <v>0</v>
      </c>
      <c r="AZ52" t="s">
        <v>491</v>
      </c>
      <c r="BA52">
        <v>100.57</v>
      </c>
      <c r="BB52" t="s">
        <v>468</v>
      </c>
      <c r="BC52">
        <v>125.78</v>
      </c>
      <c r="BD52" t="s">
        <v>496</v>
      </c>
      <c r="BE52">
        <v>97.59</v>
      </c>
      <c r="BG52" t="s">
        <v>491</v>
      </c>
      <c r="BH52">
        <v>1.53</v>
      </c>
      <c r="BI52" t="s">
        <v>468</v>
      </c>
      <c r="BJ52">
        <v>1.69</v>
      </c>
      <c r="BK52" t="s">
        <v>496</v>
      </c>
      <c r="BL52">
        <v>1.33</v>
      </c>
      <c r="BN52" t="s">
        <v>494</v>
      </c>
      <c r="BO52">
        <v>287.30200000000002</v>
      </c>
      <c r="BP52" t="s">
        <v>468</v>
      </c>
      <c r="BQ52">
        <v>384.137</v>
      </c>
      <c r="BR52" t="s">
        <v>496</v>
      </c>
      <c r="BS52">
        <v>316.42200000000003</v>
      </c>
    </row>
    <row r="53" spans="1:71" x14ac:dyDescent="0.35">
      <c r="A53" t="s">
        <v>497</v>
      </c>
      <c r="B53">
        <v>633.70000000000005</v>
      </c>
      <c r="C53" t="s">
        <v>498</v>
      </c>
      <c r="D53">
        <v>492.8</v>
      </c>
      <c r="E53" t="s">
        <v>499</v>
      </c>
      <c r="F53">
        <v>137.69999999999999</v>
      </c>
      <c r="H53" t="s">
        <v>494</v>
      </c>
      <c r="I53">
        <v>-60.05</v>
      </c>
      <c r="J53" t="s">
        <v>498</v>
      </c>
      <c r="K53">
        <v>-70.819999999999993</v>
      </c>
      <c r="L53" t="s">
        <v>499</v>
      </c>
      <c r="M53">
        <v>-57.19</v>
      </c>
      <c r="Q53" t="s">
        <v>498</v>
      </c>
      <c r="R53">
        <v>-36.601199999999999</v>
      </c>
      <c r="S53" t="s">
        <v>502</v>
      </c>
      <c r="T53">
        <v>-37.997399999999999</v>
      </c>
      <c r="V53" t="s">
        <v>740</v>
      </c>
      <c r="W53">
        <v>48.78</v>
      </c>
      <c r="X53" t="s">
        <v>498</v>
      </c>
      <c r="Y53">
        <v>34.218800000000002</v>
      </c>
      <c r="Z53" t="s">
        <v>502</v>
      </c>
      <c r="AA53">
        <v>6.0026000000000002</v>
      </c>
      <c r="AD53" t="s">
        <v>740</v>
      </c>
      <c r="AH53" t="s">
        <v>740</v>
      </c>
      <c r="AK53" t="s">
        <v>471</v>
      </c>
      <c r="AM53">
        <v>106.7</v>
      </c>
      <c r="AO53" t="s">
        <v>471</v>
      </c>
      <c r="AQ53">
        <f t="shared" si="6"/>
        <v>67.221000000000004</v>
      </c>
      <c r="AR53" t="s">
        <v>499</v>
      </c>
      <c r="AT53">
        <v>24.56</v>
      </c>
      <c r="AV53" t="s">
        <v>499</v>
      </c>
      <c r="AX53">
        <f>63*Supplementary_Fig7!AM53/100</f>
        <v>0</v>
      </c>
      <c r="AZ53" t="s">
        <v>494</v>
      </c>
      <c r="BA53">
        <v>105.27</v>
      </c>
      <c r="BB53" t="s">
        <v>471</v>
      </c>
      <c r="BC53">
        <v>116.96</v>
      </c>
      <c r="BD53" t="s">
        <v>499</v>
      </c>
      <c r="BE53">
        <v>107.99</v>
      </c>
      <c r="BG53" t="s">
        <v>494</v>
      </c>
      <c r="BH53">
        <v>1.58</v>
      </c>
      <c r="BI53" t="s">
        <v>471</v>
      </c>
      <c r="BJ53">
        <v>1.99</v>
      </c>
      <c r="BK53" t="s">
        <v>499</v>
      </c>
      <c r="BL53">
        <v>1.3</v>
      </c>
      <c r="BN53" t="s">
        <v>497</v>
      </c>
      <c r="BO53">
        <v>134.065933</v>
      </c>
      <c r="BP53" t="s">
        <v>471</v>
      </c>
      <c r="BQ53">
        <v>299.87799999999999</v>
      </c>
      <c r="BR53" t="s">
        <v>499</v>
      </c>
      <c r="BS53">
        <v>269.43299999999999</v>
      </c>
    </row>
    <row r="54" spans="1:71" x14ac:dyDescent="0.35">
      <c r="A54" t="s">
        <v>500</v>
      </c>
      <c r="B54">
        <v>371.3</v>
      </c>
      <c r="C54" t="s">
        <v>501</v>
      </c>
      <c r="D54">
        <v>283.89999999999998</v>
      </c>
      <c r="E54" t="s">
        <v>502</v>
      </c>
      <c r="F54">
        <v>64.92</v>
      </c>
      <c r="H54" t="s">
        <v>740</v>
      </c>
      <c r="I54">
        <v>-48.78</v>
      </c>
      <c r="J54" t="s">
        <v>501</v>
      </c>
      <c r="K54">
        <v>-74.62</v>
      </c>
      <c r="L54" t="s">
        <v>502</v>
      </c>
      <c r="M54">
        <v>-44</v>
      </c>
      <c r="Q54" t="s">
        <v>501</v>
      </c>
      <c r="R54">
        <v>-49.568899999999999</v>
      </c>
      <c r="S54" t="s">
        <v>505</v>
      </c>
      <c r="T54">
        <v>-41.096499999999999</v>
      </c>
      <c r="V54" t="s">
        <v>497</v>
      </c>
      <c r="W54">
        <v>15.34</v>
      </c>
      <c r="X54" t="s">
        <v>501</v>
      </c>
      <c r="Y54">
        <v>25.051100000000002</v>
      </c>
      <c r="Z54" t="s">
        <v>505</v>
      </c>
      <c r="AA54">
        <v>22.083500000000001</v>
      </c>
      <c r="AD54" t="s">
        <v>497</v>
      </c>
      <c r="AF54">
        <v>89.71</v>
      </c>
      <c r="AH54" t="s">
        <v>497</v>
      </c>
      <c r="AJ54">
        <f>63*AF54/100</f>
        <v>56.517299999999999</v>
      </c>
      <c r="AK54" t="s">
        <v>474</v>
      </c>
      <c r="AM54">
        <v>120.27</v>
      </c>
      <c r="AO54" t="s">
        <v>474</v>
      </c>
      <c r="AQ54">
        <f t="shared" si="6"/>
        <v>75.770099999999999</v>
      </c>
      <c r="AR54" t="s">
        <v>502</v>
      </c>
      <c r="AT54">
        <v>22.53</v>
      </c>
      <c r="AV54" t="s">
        <v>502</v>
      </c>
      <c r="AX54">
        <f>63*Supplementary_Fig7!AM54/100</f>
        <v>0</v>
      </c>
      <c r="AZ54" t="s">
        <v>740</v>
      </c>
      <c r="BA54">
        <v>73.62</v>
      </c>
      <c r="BB54" t="s">
        <v>474</v>
      </c>
      <c r="BC54">
        <v>115.18</v>
      </c>
      <c r="BD54" t="s">
        <v>502</v>
      </c>
      <c r="BE54">
        <v>84.74</v>
      </c>
      <c r="BG54" t="s">
        <v>740</v>
      </c>
      <c r="BH54">
        <v>4.1399999999999997</v>
      </c>
      <c r="BI54" t="s">
        <v>474</v>
      </c>
      <c r="BJ54">
        <v>1.83</v>
      </c>
      <c r="BK54" t="s">
        <v>502</v>
      </c>
      <c r="BL54">
        <v>1.36</v>
      </c>
      <c r="BN54" t="s">
        <v>500</v>
      </c>
      <c r="BO54">
        <v>100.61050400000001</v>
      </c>
      <c r="BP54" t="s">
        <v>474</v>
      </c>
      <c r="BQ54">
        <v>347.49700000000001</v>
      </c>
      <c r="BR54" t="s">
        <v>502</v>
      </c>
      <c r="BS54">
        <v>222.89400000000001</v>
      </c>
    </row>
    <row r="55" spans="1:71" x14ac:dyDescent="0.35">
      <c r="A55" t="s">
        <v>503</v>
      </c>
      <c r="B55">
        <v>222.7</v>
      </c>
      <c r="C55" t="s">
        <v>504</v>
      </c>
      <c r="D55">
        <v>312.45</v>
      </c>
      <c r="E55" t="s">
        <v>505</v>
      </c>
      <c r="F55">
        <v>204.22</v>
      </c>
      <c r="H55" t="s">
        <v>497</v>
      </c>
      <c r="I55">
        <v>-61.32</v>
      </c>
      <c r="J55" t="s">
        <v>504</v>
      </c>
      <c r="K55">
        <v>-67.290000000000006</v>
      </c>
      <c r="L55" t="s">
        <v>505</v>
      </c>
      <c r="M55">
        <v>-63.18</v>
      </c>
      <c r="Q55" t="s">
        <v>504</v>
      </c>
      <c r="R55">
        <v>-52.1721</v>
      </c>
      <c r="S55" t="s">
        <v>508</v>
      </c>
      <c r="T55">
        <v>-40.578400000000002</v>
      </c>
      <c r="V55" t="s">
        <v>500</v>
      </c>
      <c r="W55">
        <v>10.52</v>
      </c>
      <c r="X55" t="s">
        <v>504</v>
      </c>
      <c r="Y55">
        <v>15.117900000000001</v>
      </c>
      <c r="Z55" t="s">
        <v>508</v>
      </c>
      <c r="AA55">
        <v>26.451599999999999</v>
      </c>
      <c r="AD55" t="s">
        <v>500</v>
      </c>
      <c r="AF55">
        <v>38.75</v>
      </c>
      <c r="AH55" t="s">
        <v>500</v>
      </c>
      <c r="AJ55">
        <f>63*AF55/100</f>
        <v>24.412500000000001</v>
      </c>
      <c r="AK55" t="s">
        <v>477</v>
      </c>
      <c r="AM55">
        <v>104.28</v>
      </c>
      <c r="AO55" t="s">
        <v>477</v>
      </c>
      <c r="AQ55">
        <f t="shared" si="6"/>
        <v>65.696399999999997</v>
      </c>
      <c r="AR55" t="s">
        <v>505</v>
      </c>
      <c r="AT55">
        <v>27.85</v>
      </c>
      <c r="AV55" t="s">
        <v>505</v>
      </c>
      <c r="AX55">
        <f>63*Supplementary_Fig7!AM55/100</f>
        <v>0</v>
      </c>
      <c r="AZ55" t="s">
        <v>497</v>
      </c>
      <c r="BA55">
        <v>84.62</v>
      </c>
      <c r="BB55" t="s">
        <v>477</v>
      </c>
      <c r="BC55">
        <v>105.97</v>
      </c>
      <c r="BD55" t="s">
        <v>505</v>
      </c>
      <c r="BE55">
        <v>96.9</v>
      </c>
      <c r="BG55" t="s">
        <v>497</v>
      </c>
      <c r="BH55">
        <v>2.23</v>
      </c>
      <c r="BI55" t="s">
        <v>477</v>
      </c>
      <c r="BJ55">
        <v>1.64</v>
      </c>
      <c r="BK55" t="s">
        <v>505</v>
      </c>
      <c r="BL55">
        <v>1.48</v>
      </c>
      <c r="BN55" t="s">
        <v>503</v>
      </c>
      <c r="BO55">
        <v>157.692307</v>
      </c>
      <c r="BP55" t="s">
        <v>477</v>
      </c>
      <c r="BQ55">
        <v>337.37799999999999</v>
      </c>
      <c r="BR55" t="s">
        <v>505</v>
      </c>
      <c r="BS55">
        <v>252.68600000000001</v>
      </c>
    </row>
    <row r="56" spans="1:71" x14ac:dyDescent="0.35">
      <c r="A56" t="s">
        <v>506</v>
      </c>
      <c r="B56">
        <v>947.3</v>
      </c>
      <c r="C56" t="s">
        <v>507</v>
      </c>
      <c r="D56">
        <v>129.91999999999999</v>
      </c>
      <c r="E56" t="s">
        <v>508</v>
      </c>
      <c r="F56">
        <v>186.12</v>
      </c>
      <c r="H56" t="s">
        <v>500</v>
      </c>
      <c r="I56">
        <v>-51.77</v>
      </c>
      <c r="J56" t="s">
        <v>507</v>
      </c>
      <c r="K56">
        <v>-61.09</v>
      </c>
      <c r="L56" t="s">
        <v>508</v>
      </c>
      <c r="M56">
        <v>-67.03</v>
      </c>
      <c r="Q56" t="s">
        <v>507</v>
      </c>
      <c r="R56">
        <v>-50.2258</v>
      </c>
      <c r="S56" t="s">
        <v>511</v>
      </c>
      <c r="T56">
        <v>-28.3416</v>
      </c>
      <c r="V56" t="s">
        <v>503</v>
      </c>
      <c r="W56">
        <v>12.41</v>
      </c>
      <c r="X56" t="s">
        <v>507</v>
      </c>
      <c r="Y56">
        <v>10.8642</v>
      </c>
      <c r="Z56" t="s">
        <v>511</v>
      </c>
      <c r="AA56">
        <v>26.598400000000002</v>
      </c>
      <c r="AD56" t="s">
        <v>503</v>
      </c>
      <c r="AE56">
        <v>36.11</v>
      </c>
      <c r="AH56" t="s">
        <v>503</v>
      </c>
      <c r="AI56">
        <f>63*AE56/100</f>
        <v>22.749299999999998</v>
      </c>
      <c r="AK56" t="s">
        <v>480</v>
      </c>
      <c r="AM56">
        <v>57.01</v>
      </c>
      <c r="AO56" t="s">
        <v>480</v>
      </c>
      <c r="AQ56">
        <f t="shared" si="6"/>
        <v>35.9163</v>
      </c>
      <c r="AR56" t="s">
        <v>508</v>
      </c>
      <c r="AT56">
        <v>31.11</v>
      </c>
      <c r="AV56" t="s">
        <v>508</v>
      </c>
      <c r="AX56">
        <f>63*Supplementary_Fig7!AM56/100</f>
        <v>0</v>
      </c>
      <c r="AZ56" t="s">
        <v>500</v>
      </c>
      <c r="BA56">
        <v>75.92</v>
      </c>
      <c r="BB56" t="s">
        <v>480</v>
      </c>
      <c r="BC56">
        <v>99.64</v>
      </c>
      <c r="BD56" t="s">
        <v>508</v>
      </c>
      <c r="BE56">
        <v>112.65</v>
      </c>
      <c r="BG56" t="s">
        <v>500</v>
      </c>
      <c r="BH56">
        <v>2.2999999999999998</v>
      </c>
      <c r="BI56" t="s">
        <v>480</v>
      </c>
      <c r="BJ56">
        <v>1.4</v>
      </c>
      <c r="BK56" t="s">
        <v>508</v>
      </c>
      <c r="BL56">
        <v>1.45</v>
      </c>
      <c r="BN56" t="s">
        <v>506</v>
      </c>
      <c r="BO56">
        <v>115.558266</v>
      </c>
      <c r="BP56" t="s">
        <v>480</v>
      </c>
      <c r="BQ56">
        <v>346.70299999999997</v>
      </c>
      <c r="BR56" t="s">
        <v>508</v>
      </c>
      <c r="BS56">
        <v>237.64500000000001</v>
      </c>
    </row>
    <row r="57" spans="1:71" x14ac:dyDescent="0.35">
      <c r="A57" t="s">
        <v>509</v>
      </c>
      <c r="B57">
        <v>321.25</v>
      </c>
      <c r="C57" t="s">
        <v>510</v>
      </c>
      <c r="D57">
        <v>252.67</v>
      </c>
      <c r="E57" t="s">
        <v>511</v>
      </c>
      <c r="F57">
        <v>142.47</v>
      </c>
      <c r="H57" t="s">
        <v>503</v>
      </c>
      <c r="I57">
        <v>-52.93</v>
      </c>
      <c r="J57" t="s">
        <v>510</v>
      </c>
      <c r="K57">
        <v>-62.37</v>
      </c>
      <c r="L57" t="s">
        <v>511</v>
      </c>
      <c r="M57">
        <v>-54.94</v>
      </c>
      <c r="Q57" t="s">
        <v>510</v>
      </c>
      <c r="R57">
        <v>-58.031500000000001</v>
      </c>
      <c r="S57" t="s">
        <v>514</v>
      </c>
      <c r="T57">
        <v>-47.1999</v>
      </c>
      <c r="V57" t="s">
        <v>506</v>
      </c>
      <c r="W57">
        <v>13.75</v>
      </c>
      <c r="X57" t="s">
        <v>510</v>
      </c>
      <c r="Y57">
        <v>4.3384999999999998</v>
      </c>
      <c r="Z57" t="s">
        <v>514</v>
      </c>
      <c r="AA57">
        <v>18.190100000000001</v>
      </c>
      <c r="AD57" t="s">
        <v>506</v>
      </c>
      <c r="AE57">
        <v>76.36</v>
      </c>
      <c r="AH57" t="s">
        <v>506</v>
      </c>
      <c r="AI57">
        <f>63*AE57/100</f>
        <v>48.1068</v>
      </c>
      <c r="AK57" t="s">
        <v>483</v>
      </c>
      <c r="AM57">
        <v>100.01</v>
      </c>
      <c r="AO57" t="s">
        <v>483</v>
      </c>
      <c r="AQ57">
        <f t="shared" si="6"/>
        <v>63.006300000000003</v>
      </c>
      <c r="AR57" t="s">
        <v>511</v>
      </c>
      <c r="AT57">
        <v>43.98</v>
      </c>
      <c r="AV57" t="s">
        <v>511</v>
      </c>
      <c r="AX57">
        <f>63*Supplementary_Fig7!AM57/100</f>
        <v>0</v>
      </c>
      <c r="AZ57" t="s">
        <v>503</v>
      </c>
      <c r="BA57">
        <v>76.760000000000005</v>
      </c>
      <c r="BB57" t="s">
        <v>483</v>
      </c>
      <c r="BC57">
        <v>126.47</v>
      </c>
      <c r="BD57" t="s">
        <v>511</v>
      </c>
      <c r="BE57">
        <v>95.89</v>
      </c>
      <c r="BG57" t="s">
        <v>503</v>
      </c>
      <c r="BH57">
        <v>1.97</v>
      </c>
      <c r="BI57" t="s">
        <v>483</v>
      </c>
      <c r="BJ57">
        <v>1.57</v>
      </c>
      <c r="BK57" t="s">
        <v>511</v>
      </c>
      <c r="BL57">
        <v>1.45</v>
      </c>
      <c r="BN57" t="s">
        <v>509</v>
      </c>
      <c r="BO57">
        <v>165.64977999999999</v>
      </c>
      <c r="BP57" t="s">
        <v>483</v>
      </c>
      <c r="BQ57">
        <v>444.43799999999999</v>
      </c>
      <c r="BR57" t="s">
        <v>511</v>
      </c>
      <c r="BS57">
        <v>220.208</v>
      </c>
    </row>
    <row r="58" spans="1:71" x14ac:dyDescent="0.35">
      <c r="A58" t="s">
        <v>512</v>
      </c>
      <c r="B58">
        <v>321.97000000000003</v>
      </c>
      <c r="C58" t="s">
        <v>513</v>
      </c>
      <c r="D58">
        <v>458.8</v>
      </c>
      <c r="E58" t="s">
        <v>514</v>
      </c>
      <c r="F58">
        <v>132.44999999999999</v>
      </c>
      <c r="H58" t="s">
        <v>506</v>
      </c>
      <c r="I58">
        <v>-52.92</v>
      </c>
      <c r="J58" t="s">
        <v>513</v>
      </c>
      <c r="K58">
        <v>-69.95</v>
      </c>
      <c r="L58" t="s">
        <v>514</v>
      </c>
      <c r="M58">
        <v>-65.39</v>
      </c>
      <c r="Q58" t="s">
        <v>513</v>
      </c>
      <c r="R58">
        <v>-52.2438</v>
      </c>
      <c r="S58" t="s">
        <v>517</v>
      </c>
      <c r="T58">
        <v>-41.105600000000003</v>
      </c>
      <c r="V58" t="s">
        <v>509</v>
      </c>
      <c r="W58">
        <v>0.92000000000000204</v>
      </c>
      <c r="X58" t="s">
        <v>513</v>
      </c>
      <c r="Y58">
        <v>17.706199999999999</v>
      </c>
      <c r="Z58" t="s">
        <v>517</v>
      </c>
      <c r="AA58">
        <v>31.574400000000001</v>
      </c>
      <c r="AD58" t="s">
        <v>509</v>
      </c>
      <c r="AF58">
        <v>36.07</v>
      </c>
      <c r="AH58" t="s">
        <v>509</v>
      </c>
      <c r="AJ58">
        <f>63*AF58/100</f>
        <v>22.7241</v>
      </c>
      <c r="AK58" t="s">
        <v>486</v>
      </c>
      <c r="AL58">
        <v>160.80000000000001</v>
      </c>
      <c r="AO58" t="s">
        <v>486</v>
      </c>
      <c r="AP58">
        <f>63*AL58/100</f>
        <v>101.30400000000002</v>
      </c>
      <c r="AR58" t="s">
        <v>514</v>
      </c>
      <c r="AT58">
        <v>53.98</v>
      </c>
      <c r="AV58" t="s">
        <v>514</v>
      </c>
      <c r="AX58">
        <f>63*Supplementary_Fig7!AM58/100</f>
        <v>0</v>
      </c>
      <c r="AZ58" t="s">
        <v>506</v>
      </c>
      <c r="BA58">
        <v>73.98</v>
      </c>
      <c r="BB58" t="s">
        <v>486</v>
      </c>
      <c r="BC58">
        <v>89.9</v>
      </c>
      <c r="BD58" t="s">
        <v>514</v>
      </c>
      <c r="BE58">
        <v>119.16</v>
      </c>
      <c r="BG58" t="s">
        <v>506</v>
      </c>
      <c r="BH58">
        <v>3.21</v>
      </c>
      <c r="BI58" t="s">
        <v>486</v>
      </c>
      <c r="BJ58">
        <v>1.67</v>
      </c>
      <c r="BK58" t="s">
        <v>514</v>
      </c>
      <c r="BL58">
        <v>1.2</v>
      </c>
      <c r="BN58" t="s">
        <v>512</v>
      </c>
      <c r="BO58">
        <v>117.327637</v>
      </c>
      <c r="BP58" t="s">
        <v>486</v>
      </c>
      <c r="BQ58">
        <v>261.37900000000002</v>
      </c>
      <c r="BR58" t="s">
        <v>514</v>
      </c>
      <c r="BS58">
        <v>602.25599999999997</v>
      </c>
    </row>
    <row r="59" spans="1:71" x14ac:dyDescent="0.35">
      <c r="A59" t="s">
        <v>515</v>
      </c>
      <c r="B59">
        <v>314.75</v>
      </c>
      <c r="C59" t="s">
        <v>516</v>
      </c>
      <c r="D59">
        <v>431.9</v>
      </c>
      <c r="E59" t="s">
        <v>517</v>
      </c>
      <c r="F59">
        <v>150.66999999999999</v>
      </c>
      <c r="H59" t="s">
        <v>509</v>
      </c>
      <c r="I59">
        <v>-40</v>
      </c>
      <c r="J59" t="s">
        <v>516</v>
      </c>
      <c r="K59">
        <v>-70.69</v>
      </c>
      <c r="L59" t="s">
        <v>517</v>
      </c>
      <c r="M59">
        <v>-72.680000000000007</v>
      </c>
      <c r="Q59" t="s">
        <v>516</v>
      </c>
      <c r="R59">
        <v>-41.931100000000001</v>
      </c>
      <c r="S59" t="s">
        <v>520</v>
      </c>
      <c r="T59">
        <v>-34.5443</v>
      </c>
      <c r="V59" t="s">
        <v>512</v>
      </c>
      <c r="W59">
        <v>9.94</v>
      </c>
      <c r="X59" t="s">
        <v>516</v>
      </c>
      <c r="Y59">
        <v>28.758900000000001</v>
      </c>
      <c r="Z59" t="s">
        <v>520</v>
      </c>
      <c r="AA59">
        <v>34.835700000000003</v>
      </c>
      <c r="AD59" t="s">
        <v>512</v>
      </c>
      <c r="AE59">
        <v>86.47</v>
      </c>
      <c r="AH59" t="s">
        <v>512</v>
      </c>
      <c r="AI59">
        <f>63*AE59/100</f>
        <v>54.476099999999995</v>
      </c>
      <c r="AK59" t="s">
        <v>489</v>
      </c>
      <c r="AM59">
        <v>54.35</v>
      </c>
      <c r="AO59" t="s">
        <v>489</v>
      </c>
      <c r="AQ59">
        <f>63*AM59/100</f>
        <v>34.240500000000004</v>
      </c>
      <c r="AR59" t="s">
        <v>517</v>
      </c>
      <c r="AT59">
        <v>55.79</v>
      </c>
      <c r="AV59" t="s">
        <v>517</v>
      </c>
      <c r="AX59">
        <f>63*Supplementary_Fig7!AM59/100</f>
        <v>0</v>
      </c>
      <c r="AZ59" t="s">
        <v>509</v>
      </c>
      <c r="BA59">
        <v>88.32</v>
      </c>
      <c r="BB59" t="s">
        <v>489</v>
      </c>
      <c r="BC59">
        <v>89.07</v>
      </c>
      <c r="BD59" t="s">
        <v>517</v>
      </c>
      <c r="BE59">
        <v>125.99</v>
      </c>
      <c r="BG59" t="s">
        <v>509</v>
      </c>
      <c r="BH59">
        <v>2.23</v>
      </c>
      <c r="BI59" t="s">
        <v>489</v>
      </c>
      <c r="BJ59">
        <v>1.8</v>
      </c>
      <c r="BK59" t="s">
        <v>517</v>
      </c>
      <c r="BL59">
        <v>1.28</v>
      </c>
      <c r="BN59" t="s">
        <v>515</v>
      </c>
      <c r="BO59">
        <v>108.363861</v>
      </c>
      <c r="BP59" t="s">
        <v>489</v>
      </c>
      <c r="BQ59">
        <v>220.208</v>
      </c>
      <c r="BR59" t="s">
        <v>517</v>
      </c>
      <c r="BS59">
        <v>418.55900000000003</v>
      </c>
    </row>
    <row r="60" spans="1:71" x14ac:dyDescent="0.35">
      <c r="A60" t="s">
        <v>518</v>
      </c>
      <c r="B60">
        <v>521.20000000000005</v>
      </c>
      <c r="C60" t="s">
        <v>519</v>
      </c>
      <c r="D60">
        <v>291.32</v>
      </c>
      <c r="E60" t="s">
        <v>520</v>
      </c>
      <c r="F60">
        <v>144.94999999999999</v>
      </c>
      <c r="H60" t="s">
        <v>512</v>
      </c>
      <c r="I60">
        <v>-47</v>
      </c>
      <c r="J60" t="s">
        <v>519</v>
      </c>
      <c r="K60">
        <v>-70.459999999999994</v>
      </c>
      <c r="L60" t="s">
        <v>520</v>
      </c>
      <c r="M60">
        <v>-69.38</v>
      </c>
      <c r="Q60" t="s">
        <v>519</v>
      </c>
      <c r="R60">
        <v>-48.662599999999998</v>
      </c>
      <c r="S60" t="s">
        <v>523</v>
      </c>
      <c r="T60">
        <v>-40.5426</v>
      </c>
      <c r="V60" t="s">
        <v>515</v>
      </c>
      <c r="W60">
        <v>6.87</v>
      </c>
      <c r="X60" t="s">
        <v>519</v>
      </c>
      <c r="Y60">
        <v>21.7974</v>
      </c>
      <c r="Z60" t="s">
        <v>523</v>
      </c>
      <c r="AA60">
        <v>32.897399999999998</v>
      </c>
      <c r="AD60" t="s">
        <v>515</v>
      </c>
      <c r="AF60">
        <v>42.16</v>
      </c>
      <c r="AH60" t="s">
        <v>515</v>
      </c>
      <c r="AJ60">
        <f>63*AF60/100</f>
        <v>26.5608</v>
      </c>
      <c r="AK60" t="s">
        <v>492</v>
      </c>
      <c r="AL60">
        <v>73.41</v>
      </c>
      <c r="AO60" t="s">
        <v>492</v>
      </c>
      <c r="AP60">
        <f>63*AL60/100</f>
        <v>46.2483</v>
      </c>
      <c r="AR60" t="s">
        <v>520</v>
      </c>
      <c r="AT60">
        <v>26.29</v>
      </c>
      <c r="AV60" t="s">
        <v>520</v>
      </c>
      <c r="AX60">
        <f>63*Supplementary_Fig7!AM60/100</f>
        <v>0</v>
      </c>
      <c r="AZ60" t="s">
        <v>512</v>
      </c>
      <c r="BA60">
        <v>95.21</v>
      </c>
      <c r="BB60" t="s">
        <v>492</v>
      </c>
      <c r="BC60">
        <v>99.57</v>
      </c>
      <c r="BD60" t="s">
        <v>520</v>
      </c>
      <c r="BE60">
        <v>119.28</v>
      </c>
      <c r="BG60" t="s">
        <v>512</v>
      </c>
      <c r="BH60">
        <v>2.66</v>
      </c>
      <c r="BI60" t="s">
        <v>492</v>
      </c>
      <c r="BJ60">
        <v>1.81</v>
      </c>
      <c r="BK60" t="s">
        <v>520</v>
      </c>
      <c r="BL60">
        <v>1.49</v>
      </c>
      <c r="BN60" t="s">
        <v>518</v>
      </c>
      <c r="BO60">
        <v>230.46397400000001</v>
      </c>
      <c r="BP60" t="s">
        <v>492</v>
      </c>
      <c r="BQ60">
        <v>234.71600000000001</v>
      </c>
      <c r="BR60" t="s">
        <v>520</v>
      </c>
      <c r="BS60">
        <v>273.50400000000002</v>
      </c>
    </row>
    <row r="61" spans="1:71" x14ac:dyDescent="0.35">
      <c r="A61" t="s">
        <v>521</v>
      </c>
      <c r="B61">
        <v>372.45</v>
      </c>
      <c r="C61" t="s">
        <v>522</v>
      </c>
      <c r="D61">
        <v>339.8</v>
      </c>
      <c r="E61" t="s">
        <v>523</v>
      </c>
      <c r="F61">
        <v>154.25</v>
      </c>
      <c r="H61" t="s">
        <v>515</v>
      </c>
      <c r="I61">
        <v>-46</v>
      </c>
      <c r="J61" t="s">
        <v>522</v>
      </c>
      <c r="K61">
        <v>-75.61</v>
      </c>
      <c r="L61" t="s">
        <v>523</v>
      </c>
      <c r="M61">
        <v>-73.44</v>
      </c>
      <c r="Q61" t="s">
        <v>522</v>
      </c>
      <c r="R61">
        <v>-47.245699999999999</v>
      </c>
      <c r="S61" t="s">
        <v>527</v>
      </c>
      <c r="T61">
        <v>-42.159199999999998</v>
      </c>
      <c r="V61" t="s">
        <v>518</v>
      </c>
      <c r="W61">
        <v>15.79</v>
      </c>
      <c r="X61" t="s">
        <v>522</v>
      </c>
      <c r="Y61">
        <v>28.3643</v>
      </c>
      <c r="Z61" t="s">
        <v>527</v>
      </c>
      <c r="AA61">
        <v>17.800799999999999</v>
      </c>
      <c r="AD61" t="s">
        <v>518</v>
      </c>
      <c r="AF61">
        <v>60.34</v>
      </c>
      <c r="AH61" t="s">
        <v>518</v>
      </c>
      <c r="AJ61">
        <f>63*AF61/100</f>
        <v>38.014200000000002</v>
      </c>
      <c r="AK61" t="s">
        <v>495</v>
      </c>
      <c r="AM61">
        <v>78.13</v>
      </c>
      <c r="AO61" t="s">
        <v>495</v>
      </c>
      <c r="AQ61">
        <f>63*AM61/100</f>
        <v>49.221899999999998</v>
      </c>
      <c r="AR61" t="s">
        <v>523</v>
      </c>
      <c r="AT61">
        <v>25.37</v>
      </c>
      <c r="AV61" t="s">
        <v>523</v>
      </c>
      <c r="AX61">
        <f>63*Supplementary_Fig7!AM61/100</f>
        <v>0</v>
      </c>
      <c r="AZ61" t="s">
        <v>515</v>
      </c>
      <c r="BA61">
        <v>75</v>
      </c>
      <c r="BB61" t="s">
        <v>495</v>
      </c>
      <c r="BC61">
        <v>103.42</v>
      </c>
      <c r="BD61" t="s">
        <v>523</v>
      </c>
      <c r="BE61">
        <v>100.06</v>
      </c>
      <c r="BG61" t="s">
        <v>515</v>
      </c>
      <c r="BH61">
        <v>2.2799999999999998</v>
      </c>
      <c r="BI61" t="s">
        <v>495</v>
      </c>
      <c r="BJ61">
        <v>1.56</v>
      </c>
      <c r="BK61" t="s">
        <v>523</v>
      </c>
      <c r="BL61">
        <v>1.18</v>
      </c>
      <c r="BN61" t="s">
        <v>521</v>
      </c>
      <c r="BO61">
        <v>166.56497200000001</v>
      </c>
      <c r="BP61" t="s">
        <v>495</v>
      </c>
      <c r="BQ61">
        <v>327.76100000000002</v>
      </c>
      <c r="BR61" t="s">
        <v>523</v>
      </c>
      <c r="BS61">
        <v>389.62099999999998</v>
      </c>
    </row>
    <row r="62" spans="1:71" x14ac:dyDescent="0.35">
      <c r="A62" t="s">
        <v>525</v>
      </c>
      <c r="B62">
        <v>487.7</v>
      </c>
      <c r="C62" t="s">
        <v>526</v>
      </c>
      <c r="D62">
        <v>270.57</v>
      </c>
      <c r="E62" t="s">
        <v>527</v>
      </c>
      <c r="F62">
        <v>167.42</v>
      </c>
      <c r="H62" t="s">
        <v>518</v>
      </c>
      <c r="I62">
        <v>-57.93</v>
      </c>
      <c r="J62" t="s">
        <v>526</v>
      </c>
      <c r="K62">
        <v>-60.1</v>
      </c>
      <c r="L62" t="s">
        <v>527</v>
      </c>
      <c r="M62">
        <v>-59.96</v>
      </c>
      <c r="Q62" t="s">
        <v>526</v>
      </c>
      <c r="R62">
        <v>-50.920099999999998</v>
      </c>
      <c r="S62" t="s">
        <v>531</v>
      </c>
      <c r="T62">
        <v>-41.203299999999999</v>
      </c>
      <c r="V62" t="s">
        <v>521</v>
      </c>
      <c r="W62">
        <v>9.1</v>
      </c>
      <c r="X62" t="s">
        <v>526</v>
      </c>
      <c r="Y62">
        <v>9.1798999999999999</v>
      </c>
      <c r="Z62" t="s">
        <v>531</v>
      </c>
      <c r="AA62">
        <v>17.746700000000001</v>
      </c>
      <c r="AD62" t="s">
        <v>521</v>
      </c>
      <c r="AF62">
        <v>58.17</v>
      </c>
      <c r="AH62" t="s">
        <v>521</v>
      </c>
      <c r="AJ62">
        <f>63*AF62/100</f>
        <v>36.647100000000002</v>
      </c>
      <c r="AK62" t="s">
        <v>498</v>
      </c>
      <c r="AM62">
        <v>49.95</v>
      </c>
      <c r="AO62" t="s">
        <v>498</v>
      </c>
      <c r="AQ62">
        <f>63*AM62/100</f>
        <v>31.468500000000002</v>
      </c>
      <c r="AR62" t="s">
        <v>527</v>
      </c>
      <c r="AT62">
        <v>32.659999999999997</v>
      </c>
      <c r="AV62" t="s">
        <v>527</v>
      </c>
      <c r="AX62">
        <f>63*Supplementary_Fig7!AM62/100</f>
        <v>0</v>
      </c>
      <c r="AZ62" t="s">
        <v>518</v>
      </c>
      <c r="BA62">
        <v>91.12</v>
      </c>
      <c r="BB62" t="s">
        <v>498</v>
      </c>
      <c r="BC62">
        <v>98.47</v>
      </c>
      <c r="BD62" t="s">
        <v>527</v>
      </c>
      <c r="BE62">
        <v>108.77</v>
      </c>
      <c r="BG62" t="s">
        <v>518</v>
      </c>
      <c r="BH62">
        <v>2.02</v>
      </c>
      <c r="BI62" t="s">
        <v>498</v>
      </c>
      <c r="BJ62">
        <v>1.29</v>
      </c>
      <c r="BK62" t="s">
        <v>527</v>
      </c>
      <c r="BL62">
        <v>1.63</v>
      </c>
      <c r="BN62" t="s">
        <v>525</v>
      </c>
      <c r="BO62">
        <v>187.54579200000001</v>
      </c>
      <c r="BP62" t="s">
        <v>498</v>
      </c>
      <c r="BQ62">
        <v>527.9</v>
      </c>
      <c r="BR62" t="s">
        <v>527</v>
      </c>
      <c r="BS62">
        <v>266.78899999999999</v>
      </c>
    </row>
    <row r="63" spans="1:71" x14ac:dyDescent="0.35">
      <c r="A63" t="s">
        <v>529</v>
      </c>
      <c r="B63">
        <v>542.6</v>
      </c>
      <c r="C63" t="s">
        <v>530</v>
      </c>
      <c r="D63">
        <v>264.5</v>
      </c>
      <c r="E63" t="s">
        <v>531</v>
      </c>
      <c r="F63">
        <v>172.3</v>
      </c>
      <c r="H63" t="s">
        <v>521</v>
      </c>
      <c r="I63">
        <v>-47.25</v>
      </c>
      <c r="J63" t="s">
        <v>530</v>
      </c>
      <c r="K63">
        <v>-85.49</v>
      </c>
      <c r="L63" t="s">
        <v>531</v>
      </c>
      <c r="M63">
        <v>-58.95</v>
      </c>
      <c r="Q63" t="s">
        <v>530</v>
      </c>
      <c r="R63">
        <v>-57.727499999999999</v>
      </c>
      <c r="S63" t="s">
        <v>535</v>
      </c>
      <c r="T63">
        <v>-47.840899999999998</v>
      </c>
      <c r="V63" t="s">
        <v>525</v>
      </c>
      <c r="W63">
        <v>26.62</v>
      </c>
      <c r="X63" t="s">
        <v>530</v>
      </c>
      <c r="Y63">
        <v>27.762499999999999</v>
      </c>
      <c r="Z63" t="s">
        <v>535</v>
      </c>
      <c r="AA63">
        <v>6.7690999999999999</v>
      </c>
      <c r="AD63" t="s">
        <v>525</v>
      </c>
      <c r="AH63" t="s">
        <v>525</v>
      </c>
      <c r="AK63" t="s">
        <v>501</v>
      </c>
      <c r="AL63">
        <v>71.489999999999995</v>
      </c>
      <c r="AO63" t="s">
        <v>501</v>
      </c>
      <c r="AP63">
        <f>63*AL63/100</f>
        <v>45.038699999999999</v>
      </c>
      <c r="AR63" t="s">
        <v>531</v>
      </c>
      <c r="AT63">
        <v>68.180000000000007</v>
      </c>
      <c r="AV63" t="s">
        <v>531</v>
      </c>
      <c r="AX63">
        <f>63*Supplementary_Fig7!AM63/100</f>
        <v>0</v>
      </c>
      <c r="AZ63" t="s">
        <v>521</v>
      </c>
      <c r="BA63">
        <v>79.27</v>
      </c>
      <c r="BB63" t="s">
        <v>501</v>
      </c>
      <c r="BC63">
        <v>101.41</v>
      </c>
      <c r="BD63" t="s">
        <v>531</v>
      </c>
      <c r="BE63">
        <v>106.85</v>
      </c>
      <c r="BG63" t="s">
        <v>521</v>
      </c>
      <c r="BH63">
        <v>2.0099999999999998</v>
      </c>
      <c r="BI63" t="s">
        <v>501</v>
      </c>
      <c r="BJ63">
        <v>1.62</v>
      </c>
      <c r="BK63" t="s">
        <v>531</v>
      </c>
      <c r="BL63">
        <v>1.41</v>
      </c>
      <c r="BN63" t="s">
        <v>529</v>
      </c>
      <c r="BO63">
        <v>256.77699999999999</v>
      </c>
      <c r="BP63" t="s">
        <v>501</v>
      </c>
      <c r="BQ63">
        <v>382.96699999999998</v>
      </c>
      <c r="BR63" t="s">
        <v>531</v>
      </c>
      <c r="BS63">
        <v>344.35599999999999</v>
      </c>
    </row>
    <row r="64" spans="1:71" x14ac:dyDescent="0.35">
      <c r="A64" t="s">
        <v>533</v>
      </c>
      <c r="B64">
        <v>613.20000000000005</v>
      </c>
      <c r="C64" t="s">
        <v>534</v>
      </c>
      <c r="D64">
        <v>369.97</v>
      </c>
      <c r="E64" t="s">
        <v>535</v>
      </c>
      <c r="F64">
        <v>92.25</v>
      </c>
      <c r="H64" t="s">
        <v>525</v>
      </c>
      <c r="I64">
        <v>-73.900000000000006</v>
      </c>
      <c r="J64" t="s">
        <v>534</v>
      </c>
      <c r="K64">
        <v>-64.28</v>
      </c>
      <c r="L64" t="s">
        <v>535</v>
      </c>
      <c r="M64">
        <v>-54.61</v>
      </c>
      <c r="Q64" t="s">
        <v>534</v>
      </c>
      <c r="R64">
        <v>-47.628700000000002</v>
      </c>
      <c r="S64" t="s">
        <v>539</v>
      </c>
      <c r="T64">
        <v>-40.499899999999997</v>
      </c>
      <c r="V64" t="s">
        <v>529</v>
      </c>
      <c r="W64">
        <v>12.28</v>
      </c>
      <c r="X64" t="s">
        <v>534</v>
      </c>
      <c r="Y64">
        <v>16.651299999999999</v>
      </c>
      <c r="Z64" t="s">
        <v>539</v>
      </c>
      <c r="AA64">
        <v>22.210100000000001</v>
      </c>
      <c r="AD64" t="s">
        <v>529</v>
      </c>
      <c r="AF64">
        <v>77.81</v>
      </c>
      <c r="AH64" t="s">
        <v>529</v>
      </c>
      <c r="AJ64">
        <f>63*AF64/100</f>
        <v>49.020299999999999</v>
      </c>
      <c r="AK64" t="s">
        <v>504</v>
      </c>
      <c r="AL64">
        <v>100.89</v>
      </c>
      <c r="AO64" t="s">
        <v>504</v>
      </c>
      <c r="AP64">
        <f>63*AL64/100</f>
        <v>63.560699999999997</v>
      </c>
      <c r="AR64" t="s">
        <v>535</v>
      </c>
      <c r="AT64">
        <v>32.92</v>
      </c>
      <c r="AV64" t="s">
        <v>535</v>
      </c>
      <c r="AX64">
        <f>63*Supplementary_Fig7!AM64/100</f>
        <v>0</v>
      </c>
      <c r="AZ64" t="s">
        <v>525</v>
      </c>
      <c r="BA64">
        <v>105.69</v>
      </c>
      <c r="BB64" t="s">
        <v>504</v>
      </c>
      <c r="BC64">
        <v>101.4</v>
      </c>
      <c r="BD64" t="s">
        <v>535</v>
      </c>
      <c r="BE64">
        <v>100.57</v>
      </c>
      <c r="BG64" t="s">
        <v>525</v>
      </c>
      <c r="BH64">
        <v>2.2000000000000002</v>
      </c>
      <c r="BI64" t="s">
        <v>504</v>
      </c>
      <c r="BJ64">
        <v>1.619</v>
      </c>
      <c r="BK64" t="s">
        <v>535</v>
      </c>
      <c r="BL64">
        <v>1.42</v>
      </c>
      <c r="BN64" t="s">
        <v>533</v>
      </c>
      <c r="BO64">
        <v>134.77699999999999</v>
      </c>
      <c r="BP64" t="s">
        <v>504</v>
      </c>
      <c r="BQ64">
        <v>341.08699999999999</v>
      </c>
      <c r="BR64" t="s">
        <v>535</v>
      </c>
      <c r="BS64">
        <v>323.91699999999997</v>
      </c>
    </row>
    <row r="65" spans="1:71" x14ac:dyDescent="0.35">
      <c r="A65" t="s">
        <v>537</v>
      </c>
      <c r="B65">
        <v>394.97</v>
      </c>
      <c r="C65" t="s">
        <v>538</v>
      </c>
      <c r="D65">
        <v>351.3</v>
      </c>
      <c r="E65" t="s">
        <v>539</v>
      </c>
      <c r="F65">
        <v>248.15</v>
      </c>
      <c r="H65" t="s">
        <v>529</v>
      </c>
      <c r="I65">
        <v>-53.9</v>
      </c>
      <c r="J65" t="s">
        <v>538</v>
      </c>
      <c r="K65">
        <v>-58.63</v>
      </c>
      <c r="L65" t="s">
        <v>539</v>
      </c>
      <c r="M65">
        <v>-62.71</v>
      </c>
      <c r="Q65" t="s">
        <v>538</v>
      </c>
      <c r="R65">
        <v>-40.459400000000002</v>
      </c>
      <c r="S65" t="s">
        <v>543</v>
      </c>
      <c r="T65">
        <v>-41.648099999999999</v>
      </c>
      <c r="V65" t="s">
        <v>533</v>
      </c>
      <c r="W65">
        <v>17.48</v>
      </c>
      <c r="X65" t="s">
        <v>538</v>
      </c>
      <c r="Y65">
        <v>18.1706</v>
      </c>
      <c r="Z65" t="s">
        <v>543</v>
      </c>
      <c r="AA65">
        <v>19.901900000000001</v>
      </c>
      <c r="AD65" t="s">
        <v>533</v>
      </c>
      <c r="AE65">
        <v>97.46</v>
      </c>
      <c r="AH65" t="s">
        <v>533</v>
      </c>
      <c r="AI65">
        <f>63*AE65/100</f>
        <v>61.399799999999999</v>
      </c>
      <c r="AK65" t="s">
        <v>1063</v>
      </c>
      <c r="AM65">
        <v>49.47</v>
      </c>
      <c r="AO65" t="s">
        <v>1063</v>
      </c>
      <c r="AQ65">
        <f t="shared" ref="AQ65:AQ82" si="7">63*AM65/100</f>
        <v>31.1661</v>
      </c>
      <c r="AR65" t="s">
        <v>539</v>
      </c>
      <c r="AT65">
        <v>75.86</v>
      </c>
      <c r="AV65" t="s">
        <v>539</v>
      </c>
      <c r="AX65">
        <f>63*Supplementary_Fig7!AM65/100</f>
        <v>0</v>
      </c>
      <c r="AZ65" t="s">
        <v>529</v>
      </c>
      <c r="BA65">
        <v>89.69</v>
      </c>
      <c r="BB65" t="s">
        <v>1063</v>
      </c>
      <c r="BC65">
        <v>88.27</v>
      </c>
      <c r="BD65" t="s">
        <v>539</v>
      </c>
      <c r="BE65">
        <v>120.01</v>
      </c>
      <c r="BG65" t="s">
        <v>529</v>
      </c>
      <c r="BH65">
        <v>1.93</v>
      </c>
      <c r="BI65" t="s">
        <v>1063</v>
      </c>
      <c r="BJ65">
        <v>1.69</v>
      </c>
      <c r="BK65" t="s">
        <v>539</v>
      </c>
      <c r="BL65">
        <v>1.52</v>
      </c>
      <c r="BN65" t="s">
        <v>537</v>
      </c>
      <c r="BO65">
        <v>235.47</v>
      </c>
      <c r="BP65" t="s">
        <v>1063</v>
      </c>
      <c r="BQ65">
        <v>217.084</v>
      </c>
      <c r="BR65" t="s">
        <v>539</v>
      </c>
      <c r="BS65">
        <v>341.27</v>
      </c>
    </row>
    <row r="66" spans="1:71" x14ac:dyDescent="0.35">
      <c r="A66" t="s">
        <v>541</v>
      </c>
      <c r="B66">
        <v>582.20000000000005</v>
      </c>
      <c r="C66" t="s">
        <v>542</v>
      </c>
      <c r="D66">
        <v>329.22</v>
      </c>
      <c r="E66" t="s">
        <v>543</v>
      </c>
      <c r="F66">
        <v>191.6</v>
      </c>
      <c r="H66" t="s">
        <v>533</v>
      </c>
      <c r="I66">
        <v>-54</v>
      </c>
      <c r="J66" t="s">
        <v>542</v>
      </c>
      <c r="K66">
        <v>-70.53</v>
      </c>
      <c r="L66" t="s">
        <v>543</v>
      </c>
      <c r="M66">
        <v>-61.55</v>
      </c>
      <c r="Q66" t="s">
        <v>542</v>
      </c>
      <c r="R66">
        <v>-24.3523</v>
      </c>
      <c r="S66" t="s">
        <v>547</v>
      </c>
      <c r="T66">
        <v>-49.103499999999997</v>
      </c>
      <c r="V66" t="s">
        <v>537</v>
      </c>
      <c r="W66">
        <v>16.489999999999998</v>
      </c>
      <c r="X66" t="s">
        <v>542</v>
      </c>
      <c r="Y66">
        <v>46.177700000000002</v>
      </c>
      <c r="Z66" t="s">
        <v>547</v>
      </c>
      <c r="AA66">
        <v>16.246500000000001</v>
      </c>
      <c r="AD66" t="s">
        <v>537</v>
      </c>
      <c r="AF66">
        <v>57.6</v>
      </c>
      <c r="AH66" t="s">
        <v>537</v>
      </c>
      <c r="AJ66">
        <f>63*AF66/100</f>
        <v>36.288000000000004</v>
      </c>
      <c r="AK66" t="s">
        <v>507</v>
      </c>
      <c r="AM66">
        <v>47.78</v>
      </c>
      <c r="AO66" t="s">
        <v>507</v>
      </c>
      <c r="AQ66">
        <f t="shared" si="7"/>
        <v>30.101399999999998</v>
      </c>
      <c r="AR66" t="s">
        <v>543</v>
      </c>
      <c r="AT66">
        <v>86.68</v>
      </c>
      <c r="AV66" t="s">
        <v>543</v>
      </c>
      <c r="AX66">
        <f>63*Supplementary_Fig7!AM66/100</f>
        <v>0</v>
      </c>
      <c r="AZ66" t="s">
        <v>533</v>
      </c>
      <c r="BA66">
        <v>89.42</v>
      </c>
      <c r="BB66" t="s">
        <v>507</v>
      </c>
      <c r="BC66">
        <v>92.35</v>
      </c>
      <c r="BD66" t="s">
        <v>543</v>
      </c>
      <c r="BE66">
        <v>119.46</v>
      </c>
      <c r="BG66" t="s">
        <v>533</v>
      </c>
      <c r="BH66">
        <v>2.5099999999999998</v>
      </c>
      <c r="BI66" t="s">
        <v>507</v>
      </c>
      <c r="BJ66">
        <v>1.69</v>
      </c>
      <c r="BK66" t="s">
        <v>543</v>
      </c>
      <c r="BL66">
        <v>1.45</v>
      </c>
      <c r="BN66" t="s">
        <v>541</v>
      </c>
      <c r="BO66">
        <v>230.76900000000001</v>
      </c>
      <c r="BP66" t="s">
        <v>507</v>
      </c>
      <c r="BQ66">
        <v>251.34100000000001</v>
      </c>
      <c r="BR66" t="s">
        <v>543</v>
      </c>
      <c r="BS66">
        <v>370.79300000000001</v>
      </c>
    </row>
    <row r="67" spans="1:71" x14ac:dyDescent="0.35">
      <c r="A67" t="s">
        <v>545</v>
      </c>
      <c r="B67">
        <v>472.76</v>
      </c>
      <c r="C67" t="s">
        <v>546</v>
      </c>
      <c r="D67">
        <v>214.02</v>
      </c>
      <c r="E67" t="s">
        <v>547</v>
      </c>
      <c r="F67">
        <v>96.75</v>
      </c>
      <c r="H67" t="s">
        <v>537</v>
      </c>
      <c r="I67">
        <v>-59.9</v>
      </c>
      <c r="J67" t="s">
        <v>546</v>
      </c>
      <c r="K67">
        <v>-71.52</v>
      </c>
      <c r="L67" t="s">
        <v>547</v>
      </c>
      <c r="M67">
        <v>-65.349999999999994</v>
      </c>
      <c r="Q67" t="s">
        <v>546</v>
      </c>
      <c r="R67">
        <v>-47.555500000000002</v>
      </c>
      <c r="S67" t="s">
        <v>551</v>
      </c>
      <c r="T67">
        <v>-41.182699999999997</v>
      </c>
      <c r="V67" t="s">
        <v>541</v>
      </c>
      <c r="W67">
        <v>25.67</v>
      </c>
      <c r="X67" t="s">
        <v>546</v>
      </c>
      <c r="Y67">
        <v>23.964500000000001</v>
      </c>
      <c r="Z67" t="s">
        <v>551</v>
      </c>
      <c r="AA67">
        <v>22.6373</v>
      </c>
      <c r="AD67" t="s">
        <v>541</v>
      </c>
      <c r="AF67">
        <v>89.03</v>
      </c>
      <c r="AH67" t="s">
        <v>541</v>
      </c>
      <c r="AJ67">
        <f>63*AF67/100</f>
        <v>56.088900000000002</v>
      </c>
      <c r="AK67" t="s">
        <v>510</v>
      </c>
      <c r="AM67">
        <v>67.150000000000006</v>
      </c>
      <c r="AO67" t="s">
        <v>510</v>
      </c>
      <c r="AQ67">
        <f t="shared" si="7"/>
        <v>42.304500000000004</v>
      </c>
      <c r="AR67" t="s">
        <v>547</v>
      </c>
      <c r="AT67">
        <v>23.21</v>
      </c>
      <c r="AV67" t="s">
        <v>547</v>
      </c>
      <c r="AX67">
        <f>63*Supplementary_Fig7!AM67/100</f>
        <v>0</v>
      </c>
      <c r="AZ67" t="s">
        <v>537</v>
      </c>
      <c r="BA67">
        <v>107.99</v>
      </c>
      <c r="BB67" t="s">
        <v>510</v>
      </c>
      <c r="BC67">
        <v>102.16</v>
      </c>
      <c r="BD67" t="s">
        <v>547</v>
      </c>
      <c r="BE67">
        <v>114.2</v>
      </c>
      <c r="BG67" t="s">
        <v>537</v>
      </c>
      <c r="BH67">
        <v>1.92</v>
      </c>
      <c r="BI67" t="s">
        <v>510</v>
      </c>
      <c r="BJ67">
        <v>1.51</v>
      </c>
      <c r="BK67" t="s">
        <v>547</v>
      </c>
      <c r="BL67">
        <v>1.64</v>
      </c>
      <c r="BN67" t="s">
        <v>545</v>
      </c>
      <c r="BO67">
        <v>225.68600000000001</v>
      </c>
      <c r="BP67" t="s">
        <v>510</v>
      </c>
      <c r="BQ67">
        <v>263.24799999999999</v>
      </c>
      <c r="BR67" t="s">
        <v>547</v>
      </c>
      <c r="BS67">
        <v>276.20499999999998</v>
      </c>
    </row>
    <row r="68" spans="1:71" x14ac:dyDescent="0.35">
      <c r="A68" t="s">
        <v>549</v>
      </c>
      <c r="B68">
        <v>275.17</v>
      </c>
      <c r="C68" t="s">
        <v>550</v>
      </c>
      <c r="D68">
        <v>295.8</v>
      </c>
      <c r="E68" t="s">
        <v>551</v>
      </c>
      <c r="F68">
        <v>255.4</v>
      </c>
      <c r="H68" t="s">
        <v>541</v>
      </c>
      <c r="I68">
        <v>-64</v>
      </c>
      <c r="J68" t="s">
        <v>550</v>
      </c>
      <c r="K68">
        <v>-57.37</v>
      </c>
      <c r="L68" t="s">
        <v>551</v>
      </c>
      <c r="M68">
        <v>-63.82</v>
      </c>
      <c r="Q68" t="s">
        <v>550</v>
      </c>
      <c r="R68">
        <v>-41.292499999999997</v>
      </c>
      <c r="S68" t="s">
        <v>555</v>
      </c>
      <c r="T68">
        <v>-43.1053</v>
      </c>
      <c r="V68" t="s">
        <v>545</v>
      </c>
      <c r="W68">
        <v>12.94</v>
      </c>
      <c r="X68" t="s">
        <v>550</v>
      </c>
      <c r="Y68">
        <v>16.077500000000001</v>
      </c>
      <c r="Z68" t="s">
        <v>555</v>
      </c>
      <c r="AA68">
        <v>26.154699999999998</v>
      </c>
      <c r="AD68" t="s">
        <v>545</v>
      </c>
      <c r="AF68">
        <v>54.65</v>
      </c>
      <c r="AH68" t="s">
        <v>545</v>
      </c>
      <c r="AJ68">
        <f>63*AF68/100</f>
        <v>34.429499999999997</v>
      </c>
      <c r="AK68" t="s">
        <v>513</v>
      </c>
      <c r="AM68">
        <v>96.64</v>
      </c>
      <c r="AO68" t="s">
        <v>513</v>
      </c>
      <c r="AQ68">
        <f t="shared" si="7"/>
        <v>60.883199999999995</v>
      </c>
      <c r="AR68" t="s">
        <v>551</v>
      </c>
      <c r="AT68">
        <v>37.76</v>
      </c>
      <c r="AV68" t="s">
        <v>551</v>
      </c>
      <c r="AX68">
        <f>63*Supplementary_Fig7!AM68/100</f>
        <v>0</v>
      </c>
      <c r="AZ68" t="s">
        <v>541</v>
      </c>
      <c r="BA68">
        <v>86.69</v>
      </c>
      <c r="BB68" t="s">
        <v>513</v>
      </c>
      <c r="BC68">
        <v>112.48</v>
      </c>
      <c r="BD68" t="s">
        <v>551</v>
      </c>
      <c r="BE68">
        <v>106.05</v>
      </c>
      <c r="BG68" t="s">
        <v>541</v>
      </c>
      <c r="BH68">
        <v>2.08</v>
      </c>
      <c r="BI68" t="s">
        <v>513</v>
      </c>
      <c r="BJ68">
        <v>1.86</v>
      </c>
      <c r="BK68" t="s">
        <v>551</v>
      </c>
      <c r="BL68">
        <v>1.4</v>
      </c>
      <c r="BN68" t="s">
        <v>549</v>
      </c>
      <c r="BO68">
        <v>289.68299999999999</v>
      </c>
      <c r="BP68" t="s">
        <v>513</v>
      </c>
      <c r="BQ68">
        <v>292.55200000000002</v>
      </c>
      <c r="BR68" t="s">
        <v>551</v>
      </c>
      <c r="BS68">
        <v>315.14</v>
      </c>
    </row>
    <row r="69" spans="1:71" x14ac:dyDescent="0.35">
      <c r="A69" t="s">
        <v>553</v>
      </c>
      <c r="B69">
        <v>378.52</v>
      </c>
      <c r="C69" t="s">
        <v>554</v>
      </c>
      <c r="D69">
        <v>249.15</v>
      </c>
      <c r="E69" t="s">
        <v>555</v>
      </c>
      <c r="F69">
        <v>175.62</v>
      </c>
      <c r="H69" t="s">
        <v>545</v>
      </c>
      <c r="I69">
        <v>-53.7</v>
      </c>
      <c r="J69" t="s">
        <v>554</v>
      </c>
      <c r="K69">
        <v>-58.25</v>
      </c>
      <c r="L69" t="s">
        <v>555</v>
      </c>
      <c r="M69">
        <v>-69.260000000000005</v>
      </c>
      <c r="Q69" t="s">
        <v>554</v>
      </c>
      <c r="R69">
        <v>-47.7791</v>
      </c>
      <c r="S69" t="s">
        <v>559</v>
      </c>
      <c r="T69">
        <v>-37.043799999999997</v>
      </c>
      <c r="V69" t="s">
        <v>549</v>
      </c>
      <c r="W69">
        <v>16.77</v>
      </c>
      <c r="X69" t="s">
        <v>554</v>
      </c>
      <c r="Y69">
        <v>10.4709</v>
      </c>
      <c r="Z69" t="s">
        <v>559</v>
      </c>
      <c r="AA69">
        <v>28.6462</v>
      </c>
      <c r="AD69" t="s">
        <v>549</v>
      </c>
      <c r="AE69">
        <v>63.63</v>
      </c>
      <c r="AH69" t="s">
        <v>549</v>
      </c>
      <c r="AI69">
        <f>63*AE69/100</f>
        <v>40.0869</v>
      </c>
      <c r="AK69" t="s">
        <v>516</v>
      </c>
      <c r="AM69">
        <v>83.25</v>
      </c>
      <c r="AO69" t="s">
        <v>516</v>
      </c>
      <c r="AQ69">
        <f t="shared" si="7"/>
        <v>52.447499999999998</v>
      </c>
      <c r="AR69" t="s">
        <v>555</v>
      </c>
      <c r="AT69">
        <v>52.29</v>
      </c>
      <c r="AV69" t="s">
        <v>555</v>
      </c>
      <c r="AX69">
        <f>63*Supplementary_Fig7!AM69/100</f>
        <v>0</v>
      </c>
      <c r="AZ69" t="s">
        <v>545</v>
      </c>
      <c r="BA69">
        <v>88.58</v>
      </c>
      <c r="BB69" t="s">
        <v>516</v>
      </c>
      <c r="BC69">
        <v>110.69</v>
      </c>
      <c r="BD69" t="s">
        <v>555</v>
      </c>
      <c r="BE69">
        <v>94.78</v>
      </c>
      <c r="BG69" t="s">
        <v>545</v>
      </c>
      <c r="BH69">
        <v>2</v>
      </c>
      <c r="BI69" t="s">
        <v>516</v>
      </c>
      <c r="BJ69">
        <v>1.66</v>
      </c>
      <c r="BK69" t="s">
        <v>555</v>
      </c>
      <c r="BL69">
        <v>1.46</v>
      </c>
      <c r="BN69" t="s">
        <v>553</v>
      </c>
      <c r="BO69">
        <v>274.42</v>
      </c>
      <c r="BP69" t="s">
        <v>516</v>
      </c>
      <c r="BQ69">
        <v>345.66500000000002</v>
      </c>
      <c r="BR69" t="s">
        <v>555</v>
      </c>
      <c r="BS69">
        <v>343.40699999999998</v>
      </c>
    </row>
    <row r="70" spans="1:71" x14ac:dyDescent="0.35">
      <c r="A70" t="s">
        <v>557</v>
      </c>
      <c r="B70">
        <v>540.29999999999995</v>
      </c>
      <c r="C70" t="s">
        <v>558</v>
      </c>
      <c r="D70">
        <v>277.60000000000002</v>
      </c>
      <c r="E70" t="s">
        <v>559</v>
      </c>
      <c r="F70">
        <v>161.02000000000001</v>
      </c>
      <c r="H70" t="s">
        <v>549</v>
      </c>
      <c r="I70">
        <v>-57.61</v>
      </c>
      <c r="J70" t="s">
        <v>558</v>
      </c>
      <c r="K70">
        <v>-71.11</v>
      </c>
      <c r="L70" t="s">
        <v>559</v>
      </c>
      <c r="M70">
        <v>-65.69</v>
      </c>
      <c r="Q70" t="s">
        <v>558</v>
      </c>
      <c r="R70">
        <v>-49.694800000000001</v>
      </c>
      <c r="S70" t="s">
        <v>563</v>
      </c>
      <c r="T70">
        <v>-40.221400000000003</v>
      </c>
      <c r="V70" t="s">
        <v>553</v>
      </c>
      <c r="W70">
        <v>19.3</v>
      </c>
      <c r="X70" t="s">
        <v>558</v>
      </c>
      <c r="Y70">
        <v>21.415199999999999</v>
      </c>
      <c r="Z70" t="s">
        <v>563</v>
      </c>
      <c r="AA70">
        <v>23.2986</v>
      </c>
      <c r="AD70" t="s">
        <v>553</v>
      </c>
      <c r="AE70">
        <v>51.42</v>
      </c>
      <c r="AH70" t="s">
        <v>553</v>
      </c>
      <c r="AI70">
        <f>63*AE70/100</f>
        <v>32.394599999999997</v>
      </c>
      <c r="AK70" t="s">
        <v>519</v>
      </c>
      <c r="AM70">
        <v>83.43</v>
      </c>
      <c r="AO70" t="s">
        <v>519</v>
      </c>
      <c r="AQ70">
        <f t="shared" si="7"/>
        <v>52.560900000000004</v>
      </c>
      <c r="AR70" t="s">
        <v>559</v>
      </c>
      <c r="AT70">
        <v>54.51</v>
      </c>
      <c r="AV70" t="s">
        <v>559</v>
      </c>
      <c r="AX70">
        <f>63*Supplementary_Fig7!AM70/100</f>
        <v>0</v>
      </c>
      <c r="AZ70" t="s">
        <v>549</v>
      </c>
      <c r="BA70">
        <v>91.74</v>
      </c>
      <c r="BB70" t="s">
        <v>519</v>
      </c>
      <c r="BC70">
        <v>104.79</v>
      </c>
      <c r="BD70" t="s">
        <v>559</v>
      </c>
      <c r="BE70">
        <v>114.813</v>
      </c>
      <c r="BG70" t="s">
        <v>549</v>
      </c>
      <c r="BH70">
        <v>1.68</v>
      </c>
      <c r="BI70" t="s">
        <v>519</v>
      </c>
      <c r="BJ70">
        <v>1.62</v>
      </c>
      <c r="BK70" t="s">
        <v>559</v>
      </c>
      <c r="BL70">
        <v>1.7</v>
      </c>
      <c r="BN70" t="s">
        <v>557</v>
      </c>
      <c r="BO70">
        <v>251.495</v>
      </c>
      <c r="BP70" t="s">
        <v>519</v>
      </c>
      <c r="BQ70">
        <v>319.536</v>
      </c>
      <c r="BR70" t="s">
        <v>559</v>
      </c>
      <c r="BS70">
        <v>233.49600000000001</v>
      </c>
    </row>
    <row r="71" spans="1:71" x14ac:dyDescent="0.35">
      <c r="A71" t="s">
        <v>561</v>
      </c>
      <c r="B71">
        <v>462.5</v>
      </c>
      <c r="C71" t="s">
        <v>562</v>
      </c>
      <c r="D71">
        <v>294.89999999999998</v>
      </c>
      <c r="E71" t="s">
        <v>563</v>
      </c>
      <c r="F71">
        <v>250.15</v>
      </c>
      <c r="H71" t="s">
        <v>553</v>
      </c>
      <c r="I71">
        <v>-59</v>
      </c>
      <c r="J71" t="s">
        <v>562</v>
      </c>
      <c r="K71">
        <v>-71.63</v>
      </c>
      <c r="L71" t="s">
        <v>563</v>
      </c>
      <c r="M71">
        <v>-63.52</v>
      </c>
      <c r="Q71" t="s">
        <v>562</v>
      </c>
      <c r="R71">
        <v>-45.061399999999999</v>
      </c>
      <c r="S71" t="s">
        <v>567</v>
      </c>
      <c r="T71">
        <v>-45.741999999999997</v>
      </c>
      <c r="V71" t="s">
        <v>557</v>
      </c>
      <c r="W71">
        <v>25.78</v>
      </c>
      <c r="X71" t="s">
        <v>562</v>
      </c>
      <c r="Y71">
        <v>26.5686</v>
      </c>
      <c r="Z71" t="s">
        <v>567</v>
      </c>
      <c r="AA71">
        <v>14.157999999999999</v>
      </c>
      <c r="AD71" t="s">
        <v>557</v>
      </c>
      <c r="AF71">
        <v>93.44</v>
      </c>
      <c r="AH71" t="s">
        <v>557</v>
      </c>
      <c r="AJ71">
        <f>63*AF71/100</f>
        <v>58.867200000000004</v>
      </c>
      <c r="AK71" t="s">
        <v>522</v>
      </c>
      <c r="AM71">
        <v>97.86</v>
      </c>
      <c r="AO71" t="s">
        <v>522</v>
      </c>
      <c r="AQ71">
        <f t="shared" si="7"/>
        <v>61.651800000000001</v>
      </c>
      <c r="AR71" t="s">
        <v>563</v>
      </c>
      <c r="AT71">
        <v>65.290000000000006</v>
      </c>
      <c r="AV71" t="s">
        <v>563</v>
      </c>
      <c r="AX71">
        <f>63*Supplementary_Fig7!AM71/100</f>
        <v>0</v>
      </c>
      <c r="AZ71" t="s">
        <v>553</v>
      </c>
      <c r="BA71">
        <v>97.28</v>
      </c>
      <c r="BB71" t="s">
        <v>522</v>
      </c>
      <c r="BC71">
        <v>98.1</v>
      </c>
      <c r="BD71" t="s">
        <v>563</v>
      </c>
      <c r="BE71">
        <v>111.8</v>
      </c>
      <c r="BG71" t="s">
        <v>553</v>
      </c>
      <c r="BH71">
        <v>1.66</v>
      </c>
      <c r="BI71" t="s">
        <v>522</v>
      </c>
      <c r="BJ71">
        <v>1.83</v>
      </c>
      <c r="BK71" t="s">
        <v>563</v>
      </c>
      <c r="BL71">
        <v>1.58</v>
      </c>
      <c r="BN71" t="s">
        <v>561</v>
      </c>
      <c r="BO71">
        <v>287.60700000000003</v>
      </c>
      <c r="BP71" t="s">
        <v>522</v>
      </c>
      <c r="BQ71">
        <v>289.37700000000001</v>
      </c>
      <c r="BR71" t="s">
        <v>563</v>
      </c>
      <c r="BS71">
        <v>242.83099999999999</v>
      </c>
    </row>
    <row r="72" spans="1:71" x14ac:dyDescent="0.35">
      <c r="A72" t="s">
        <v>565</v>
      </c>
      <c r="B72">
        <v>511.7</v>
      </c>
      <c r="C72" t="s">
        <v>566</v>
      </c>
      <c r="D72">
        <v>342.6</v>
      </c>
      <c r="E72" t="s">
        <v>567</v>
      </c>
      <c r="F72">
        <v>195.95</v>
      </c>
      <c r="H72" t="s">
        <v>557</v>
      </c>
      <c r="I72">
        <v>-68.11</v>
      </c>
      <c r="J72" t="s">
        <v>566</v>
      </c>
      <c r="K72">
        <v>-69.22</v>
      </c>
      <c r="L72" t="s">
        <v>567</v>
      </c>
      <c r="M72">
        <v>-59.9</v>
      </c>
      <c r="Q72" t="s">
        <v>566</v>
      </c>
      <c r="R72">
        <v>-49.275199999999998</v>
      </c>
      <c r="S72" t="s">
        <v>571</v>
      </c>
      <c r="T72">
        <v>-48.111699999999999</v>
      </c>
      <c r="V72" t="s">
        <v>561</v>
      </c>
      <c r="W72">
        <v>15.31</v>
      </c>
      <c r="X72" t="s">
        <v>566</v>
      </c>
      <c r="Y72">
        <v>19.944800000000001</v>
      </c>
      <c r="Z72" t="s">
        <v>571</v>
      </c>
      <c r="AA72">
        <v>14.8683</v>
      </c>
      <c r="AD72" t="s">
        <v>561</v>
      </c>
      <c r="AF72">
        <v>76.94</v>
      </c>
      <c r="AH72" t="s">
        <v>561</v>
      </c>
      <c r="AJ72">
        <f>63*AF72/100</f>
        <v>48.472200000000001</v>
      </c>
      <c r="AK72" t="s">
        <v>526</v>
      </c>
      <c r="AM72">
        <v>72.48</v>
      </c>
      <c r="AO72" t="s">
        <v>526</v>
      </c>
      <c r="AQ72">
        <f t="shared" si="7"/>
        <v>45.662400000000005</v>
      </c>
      <c r="AR72" t="s">
        <v>567</v>
      </c>
      <c r="AV72" t="s">
        <v>567</v>
      </c>
      <c r="AZ72" t="s">
        <v>557</v>
      </c>
      <c r="BA72">
        <v>102.21</v>
      </c>
      <c r="BB72" t="s">
        <v>526</v>
      </c>
      <c r="BC72">
        <v>98.25</v>
      </c>
      <c r="BD72" t="s">
        <v>567</v>
      </c>
      <c r="BE72">
        <v>99.49</v>
      </c>
      <c r="BG72" t="s">
        <v>557</v>
      </c>
      <c r="BH72">
        <v>1.87</v>
      </c>
      <c r="BI72" t="s">
        <v>526</v>
      </c>
      <c r="BJ72">
        <v>1.65</v>
      </c>
      <c r="BK72" t="s">
        <v>567</v>
      </c>
      <c r="BL72">
        <v>1.45</v>
      </c>
      <c r="BN72" t="s">
        <v>565</v>
      </c>
      <c r="BO72">
        <v>208.364</v>
      </c>
      <c r="BP72" t="s">
        <v>526</v>
      </c>
      <c r="BQ72">
        <v>227.53399999999999</v>
      </c>
      <c r="BR72" t="s">
        <v>567</v>
      </c>
      <c r="BS72">
        <v>287.54599999999999</v>
      </c>
    </row>
    <row r="73" spans="1:71" x14ac:dyDescent="0.35">
      <c r="A73" t="s">
        <v>569</v>
      </c>
      <c r="B73">
        <v>696.7</v>
      </c>
      <c r="C73" t="s">
        <v>570</v>
      </c>
      <c r="D73">
        <v>336.3</v>
      </c>
      <c r="E73" t="s">
        <v>571</v>
      </c>
      <c r="F73">
        <v>124.87</v>
      </c>
      <c r="H73" t="s">
        <v>561</v>
      </c>
      <c r="I73">
        <v>-54.26</v>
      </c>
      <c r="J73" t="s">
        <v>570</v>
      </c>
      <c r="K73">
        <v>-71.52</v>
      </c>
      <c r="L73" t="s">
        <v>571</v>
      </c>
      <c r="M73">
        <v>-62.98</v>
      </c>
      <c r="Q73" t="s">
        <v>570</v>
      </c>
      <c r="R73">
        <v>-52.915100000000002</v>
      </c>
      <c r="S73" t="s">
        <v>575</v>
      </c>
      <c r="T73">
        <v>-37.442799999999998</v>
      </c>
      <c r="V73" t="s">
        <v>565</v>
      </c>
      <c r="W73">
        <v>20.58</v>
      </c>
      <c r="X73" t="s">
        <v>570</v>
      </c>
      <c r="Y73">
        <v>18.604900000000001</v>
      </c>
      <c r="Z73" t="s">
        <v>575</v>
      </c>
      <c r="AA73">
        <v>18.557200000000002</v>
      </c>
      <c r="AD73" t="s">
        <v>565</v>
      </c>
      <c r="AE73">
        <v>84.23</v>
      </c>
      <c r="AH73" t="s">
        <v>565</v>
      </c>
      <c r="AI73">
        <f>63*AE73/100</f>
        <v>53.064900000000009</v>
      </c>
      <c r="AK73" t="s">
        <v>530</v>
      </c>
      <c r="AM73">
        <v>70.430000000000007</v>
      </c>
      <c r="AO73" t="s">
        <v>530</v>
      </c>
      <c r="AQ73">
        <f t="shared" si="7"/>
        <v>44.370899999999999</v>
      </c>
      <c r="AR73" t="s">
        <v>571</v>
      </c>
      <c r="AT73">
        <v>32.89</v>
      </c>
      <c r="AV73" t="s">
        <v>571</v>
      </c>
      <c r="AX73">
        <f>63*Supplementary_Fig7!AM73/100</f>
        <v>0</v>
      </c>
      <c r="AZ73" t="s">
        <v>561</v>
      </c>
      <c r="BA73">
        <v>96.79</v>
      </c>
      <c r="BB73" t="s">
        <v>530</v>
      </c>
      <c r="BC73">
        <v>99.22</v>
      </c>
      <c r="BD73" t="s">
        <v>571</v>
      </c>
      <c r="BE73">
        <v>108.27</v>
      </c>
      <c r="BG73" t="s">
        <v>561</v>
      </c>
      <c r="BH73">
        <v>1.7190000000000001</v>
      </c>
      <c r="BI73" t="s">
        <v>530</v>
      </c>
      <c r="BJ73">
        <v>1.71</v>
      </c>
      <c r="BK73" t="s">
        <v>571</v>
      </c>
      <c r="BL73">
        <v>1.57</v>
      </c>
      <c r="BN73" t="s">
        <v>569</v>
      </c>
      <c r="BO73">
        <v>116.04600000000001</v>
      </c>
      <c r="BP73" t="s">
        <v>530</v>
      </c>
      <c r="BQ73">
        <v>382.72300000000001</v>
      </c>
      <c r="BR73" t="s">
        <v>571</v>
      </c>
      <c r="BS73">
        <v>278.303</v>
      </c>
    </row>
    <row r="74" spans="1:71" x14ac:dyDescent="0.35">
      <c r="A74" t="s">
        <v>573</v>
      </c>
      <c r="B74">
        <v>797.9</v>
      </c>
      <c r="C74" t="s">
        <v>574</v>
      </c>
      <c r="D74">
        <v>347</v>
      </c>
      <c r="E74" t="s">
        <v>575</v>
      </c>
      <c r="F74">
        <v>229.8</v>
      </c>
      <c r="H74" t="s">
        <v>565</v>
      </c>
      <c r="I74">
        <v>-61</v>
      </c>
      <c r="J74" t="s">
        <v>574</v>
      </c>
      <c r="K74">
        <v>-76.09</v>
      </c>
      <c r="L74" t="s">
        <v>575</v>
      </c>
      <c r="M74">
        <v>-56</v>
      </c>
      <c r="Q74" t="s">
        <v>574</v>
      </c>
      <c r="R74">
        <v>-53.508000000000003</v>
      </c>
      <c r="S74" t="s">
        <v>578</v>
      </c>
      <c r="T74">
        <v>-39.184600000000003</v>
      </c>
      <c r="V74" t="s">
        <v>569</v>
      </c>
      <c r="W74">
        <v>13.39</v>
      </c>
      <c r="X74" t="s">
        <v>574</v>
      </c>
      <c r="Y74">
        <v>22.582000000000001</v>
      </c>
      <c r="Z74" t="s">
        <v>578</v>
      </c>
      <c r="AA74">
        <v>19.195399999999999</v>
      </c>
      <c r="AD74" t="s">
        <v>569</v>
      </c>
      <c r="AF74">
        <v>62.75</v>
      </c>
      <c r="AH74" t="s">
        <v>569</v>
      </c>
      <c r="AJ74">
        <f>63*AF74/100</f>
        <v>39.532499999999999</v>
      </c>
      <c r="AK74" t="s">
        <v>534</v>
      </c>
      <c r="AM74">
        <v>106.37</v>
      </c>
      <c r="AO74" t="s">
        <v>534</v>
      </c>
      <c r="AQ74">
        <f t="shared" si="7"/>
        <v>67.013100000000009</v>
      </c>
      <c r="AR74" t="s">
        <v>575</v>
      </c>
      <c r="AT74">
        <v>73.959999999999994</v>
      </c>
      <c r="AV74" t="s">
        <v>575</v>
      </c>
      <c r="AX74">
        <f>63*Supplementary_Fig7!AM74/100</f>
        <v>0</v>
      </c>
      <c r="AZ74" t="s">
        <v>565</v>
      </c>
      <c r="BA74">
        <v>108.28</v>
      </c>
      <c r="BB74" t="s">
        <v>534</v>
      </c>
      <c r="BC74">
        <v>109.09</v>
      </c>
      <c r="BD74" t="s">
        <v>575</v>
      </c>
      <c r="BE74">
        <v>100.75</v>
      </c>
      <c r="BG74" t="s">
        <v>565</v>
      </c>
      <c r="BH74">
        <v>2.09</v>
      </c>
      <c r="BI74" t="s">
        <v>534</v>
      </c>
      <c r="BJ74">
        <v>1.71</v>
      </c>
      <c r="BK74" t="s">
        <v>575</v>
      </c>
      <c r="BL74">
        <v>1.61</v>
      </c>
      <c r="BN74" t="s">
        <v>573</v>
      </c>
      <c r="BO74">
        <v>105.495</v>
      </c>
      <c r="BP74" t="s">
        <v>534</v>
      </c>
      <c r="BQ74">
        <v>286.56900000000002</v>
      </c>
      <c r="BR74" t="s">
        <v>575</v>
      </c>
      <c r="BS74">
        <v>294.62799999999999</v>
      </c>
    </row>
    <row r="75" spans="1:71" x14ac:dyDescent="0.35">
      <c r="A75" t="s">
        <v>576</v>
      </c>
      <c r="B75">
        <v>779.6</v>
      </c>
      <c r="C75" t="s">
        <v>577</v>
      </c>
      <c r="D75">
        <v>249.95</v>
      </c>
      <c r="E75" t="s">
        <v>578</v>
      </c>
      <c r="F75">
        <v>187.42</v>
      </c>
      <c r="H75" t="s">
        <v>569</v>
      </c>
      <c r="I75">
        <v>-49.5</v>
      </c>
      <c r="J75" t="s">
        <v>577</v>
      </c>
      <c r="K75">
        <v>-75.7</v>
      </c>
      <c r="L75" t="s">
        <v>578</v>
      </c>
      <c r="M75">
        <v>-58.38</v>
      </c>
      <c r="Q75" t="s">
        <v>577</v>
      </c>
      <c r="R75">
        <v>-45.795400000000001</v>
      </c>
      <c r="S75" t="s">
        <v>581</v>
      </c>
      <c r="T75">
        <v>-27.4299</v>
      </c>
      <c r="V75" t="s">
        <v>573</v>
      </c>
      <c r="W75">
        <v>17.57</v>
      </c>
      <c r="X75" t="s">
        <v>577</v>
      </c>
      <c r="Y75">
        <v>29.904599999999999</v>
      </c>
      <c r="Z75" t="s">
        <v>581</v>
      </c>
      <c r="AA75">
        <v>34.000100000000003</v>
      </c>
      <c r="AD75" t="s">
        <v>573</v>
      </c>
      <c r="AF75">
        <v>89.28</v>
      </c>
      <c r="AH75" t="s">
        <v>573</v>
      </c>
      <c r="AJ75">
        <f>63*AF75/100</f>
        <v>56.246400000000001</v>
      </c>
      <c r="AK75" t="s">
        <v>538</v>
      </c>
      <c r="AM75">
        <v>67.11</v>
      </c>
      <c r="AO75" t="s">
        <v>538</v>
      </c>
      <c r="AQ75">
        <f t="shared" si="7"/>
        <v>42.279300000000006</v>
      </c>
      <c r="AR75" t="s">
        <v>578</v>
      </c>
      <c r="AT75">
        <v>59.78</v>
      </c>
      <c r="AV75" t="s">
        <v>578</v>
      </c>
      <c r="AX75">
        <f>63*Supplementary_Fig7!AM75/100</f>
        <v>0</v>
      </c>
      <c r="AZ75" t="s">
        <v>569</v>
      </c>
      <c r="BA75">
        <v>88.8</v>
      </c>
      <c r="BB75" t="s">
        <v>538</v>
      </c>
      <c r="BC75">
        <v>103.59</v>
      </c>
      <c r="BD75" t="s">
        <v>578</v>
      </c>
      <c r="BE75">
        <v>88.73</v>
      </c>
      <c r="BG75" t="s">
        <v>569</v>
      </c>
      <c r="BH75">
        <v>2.4039999999999999</v>
      </c>
      <c r="BI75" t="s">
        <v>538</v>
      </c>
      <c r="BJ75">
        <v>1.91</v>
      </c>
      <c r="BK75" t="s">
        <v>578</v>
      </c>
      <c r="BL75">
        <v>1.55</v>
      </c>
      <c r="BN75" t="s">
        <v>576</v>
      </c>
      <c r="BO75">
        <v>191.697</v>
      </c>
      <c r="BP75" t="s">
        <v>538</v>
      </c>
      <c r="BQ75">
        <v>221.41499999999999</v>
      </c>
      <c r="BR75" t="s">
        <v>578</v>
      </c>
      <c r="BS75">
        <v>245.29900000000001</v>
      </c>
    </row>
    <row r="76" spans="1:71" x14ac:dyDescent="0.35">
      <c r="A76" t="s">
        <v>579</v>
      </c>
      <c r="B76">
        <v>680.5</v>
      </c>
      <c r="C76" t="s">
        <v>580</v>
      </c>
      <c r="D76">
        <v>312.10000000000002</v>
      </c>
      <c r="E76" t="s">
        <v>581</v>
      </c>
      <c r="F76">
        <v>169.07</v>
      </c>
      <c r="H76" t="s">
        <v>573</v>
      </c>
      <c r="I76">
        <v>-57.49</v>
      </c>
      <c r="J76" t="s">
        <v>580</v>
      </c>
      <c r="K76">
        <v>-67.319999999999993</v>
      </c>
      <c r="L76" t="s">
        <v>581</v>
      </c>
      <c r="M76">
        <v>-61.43</v>
      </c>
      <c r="Q76" t="s">
        <v>580</v>
      </c>
      <c r="R76">
        <v>-55.319200000000002</v>
      </c>
      <c r="S76" t="s">
        <v>584</v>
      </c>
      <c r="T76">
        <v>-38.9831</v>
      </c>
      <c r="V76" t="s">
        <v>576</v>
      </c>
      <c r="W76">
        <v>22.31</v>
      </c>
      <c r="X76" t="s">
        <v>580</v>
      </c>
      <c r="Y76">
        <v>12.0008</v>
      </c>
      <c r="Z76" t="s">
        <v>584</v>
      </c>
      <c r="AA76">
        <v>19.396899999999999</v>
      </c>
      <c r="AD76" t="s">
        <v>576</v>
      </c>
      <c r="AF76">
        <v>92.45</v>
      </c>
      <c r="AH76" t="s">
        <v>576</v>
      </c>
      <c r="AJ76">
        <f>63*AF76/100</f>
        <v>58.243500000000004</v>
      </c>
      <c r="AK76" t="s">
        <v>542</v>
      </c>
      <c r="AM76">
        <v>55.75</v>
      </c>
      <c r="AO76" t="s">
        <v>542</v>
      </c>
      <c r="AQ76">
        <f t="shared" si="7"/>
        <v>35.122500000000002</v>
      </c>
      <c r="AR76" t="s">
        <v>581</v>
      </c>
      <c r="AT76">
        <v>53.78</v>
      </c>
      <c r="AV76" t="s">
        <v>581</v>
      </c>
      <c r="AX76">
        <f>63*Supplementary_Fig7!AM76/100</f>
        <v>0</v>
      </c>
      <c r="AZ76" t="s">
        <v>573</v>
      </c>
      <c r="BA76">
        <v>89.57</v>
      </c>
      <c r="BB76" t="s">
        <v>542</v>
      </c>
      <c r="BC76">
        <v>101.26</v>
      </c>
      <c r="BD76" t="s">
        <v>581</v>
      </c>
      <c r="BE76">
        <v>102.74</v>
      </c>
      <c r="BG76" t="s">
        <v>573</v>
      </c>
      <c r="BH76">
        <v>2.74</v>
      </c>
      <c r="BI76" t="s">
        <v>542</v>
      </c>
      <c r="BJ76">
        <v>1.7</v>
      </c>
      <c r="BK76" t="s">
        <v>581</v>
      </c>
      <c r="BL76">
        <v>1.95</v>
      </c>
      <c r="BN76" t="s">
        <v>579</v>
      </c>
      <c r="BO76">
        <v>138.255</v>
      </c>
      <c r="BP76" t="s">
        <v>542</v>
      </c>
      <c r="BQ76">
        <v>228.20500000000001</v>
      </c>
      <c r="BR76" t="s">
        <v>581</v>
      </c>
      <c r="BS76">
        <v>162.94300000000001</v>
      </c>
    </row>
    <row r="77" spans="1:71" x14ac:dyDescent="0.35">
      <c r="A77" t="s">
        <v>582</v>
      </c>
      <c r="B77">
        <v>485.93</v>
      </c>
      <c r="C77" t="s">
        <v>583</v>
      </c>
      <c r="D77">
        <v>323.2</v>
      </c>
      <c r="E77" t="s">
        <v>584</v>
      </c>
      <c r="F77">
        <v>174.37</v>
      </c>
      <c r="H77" t="s">
        <v>576</v>
      </c>
      <c r="I77">
        <v>-59.56</v>
      </c>
      <c r="J77" t="s">
        <v>583</v>
      </c>
      <c r="K77">
        <v>-76.540000000000006</v>
      </c>
      <c r="L77" t="s">
        <v>584</v>
      </c>
      <c r="M77">
        <v>-58.38</v>
      </c>
      <c r="Q77" t="s">
        <v>583</v>
      </c>
      <c r="R77">
        <v>-54.811100000000003</v>
      </c>
      <c r="S77" t="s">
        <v>587</v>
      </c>
      <c r="T77">
        <v>-33.615099999999998</v>
      </c>
      <c r="V77" t="s">
        <v>741</v>
      </c>
      <c r="W77">
        <v>35.15</v>
      </c>
      <c r="X77" t="s">
        <v>583</v>
      </c>
      <c r="Y77">
        <v>21.728899999999999</v>
      </c>
      <c r="Z77" t="s">
        <v>587</v>
      </c>
      <c r="AA77">
        <v>37.654899999999998</v>
      </c>
      <c r="AD77" t="s">
        <v>741</v>
      </c>
      <c r="AH77" t="s">
        <v>741</v>
      </c>
      <c r="AK77" t="s">
        <v>546</v>
      </c>
      <c r="AM77">
        <v>69.13</v>
      </c>
      <c r="AO77" t="s">
        <v>546</v>
      </c>
      <c r="AQ77">
        <f t="shared" si="7"/>
        <v>43.551899999999996</v>
      </c>
      <c r="AR77" t="s">
        <v>584</v>
      </c>
      <c r="AT77">
        <v>78.45</v>
      </c>
      <c r="AV77" t="s">
        <v>584</v>
      </c>
      <c r="AX77">
        <f>63*Supplementary_Fig7!AM77/100</f>
        <v>0</v>
      </c>
      <c r="AZ77" t="s">
        <v>576</v>
      </c>
      <c r="BA77">
        <v>88.06</v>
      </c>
      <c r="BB77" t="s">
        <v>546</v>
      </c>
      <c r="BC77">
        <v>125.92</v>
      </c>
      <c r="BD77" t="s">
        <v>584</v>
      </c>
      <c r="BE77">
        <v>109.21</v>
      </c>
      <c r="BG77" t="s">
        <v>576</v>
      </c>
      <c r="BH77">
        <v>1.97</v>
      </c>
      <c r="BI77" t="s">
        <v>546</v>
      </c>
      <c r="BJ77">
        <v>1.48</v>
      </c>
      <c r="BK77" t="s">
        <v>584</v>
      </c>
      <c r="BL77">
        <v>1.52</v>
      </c>
      <c r="BN77" t="s">
        <v>582</v>
      </c>
      <c r="BO77">
        <v>165.101</v>
      </c>
      <c r="BP77" t="s">
        <v>546</v>
      </c>
      <c r="BQ77">
        <v>414.95699999999999</v>
      </c>
      <c r="BR77" t="s">
        <v>584</v>
      </c>
      <c r="BS77">
        <v>287.54599999999999</v>
      </c>
    </row>
    <row r="78" spans="1:71" x14ac:dyDescent="0.35">
      <c r="A78" t="s">
        <v>585</v>
      </c>
      <c r="B78">
        <v>499</v>
      </c>
      <c r="C78" t="s">
        <v>586</v>
      </c>
      <c r="D78">
        <v>359</v>
      </c>
      <c r="E78" t="s">
        <v>587</v>
      </c>
      <c r="F78">
        <v>300.22000000000003</v>
      </c>
      <c r="H78" t="s">
        <v>741</v>
      </c>
      <c r="I78">
        <v>-69.239999999999995</v>
      </c>
      <c r="J78" t="s">
        <v>586</v>
      </c>
      <c r="K78">
        <v>-72.13</v>
      </c>
      <c r="L78" t="s">
        <v>587</v>
      </c>
      <c r="M78">
        <v>-71.27</v>
      </c>
      <c r="Q78" t="s">
        <v>586</v>
      </c>
      <c r="R78">
        <v>-48.63205</v>
      </c>
      <c r="S78" t="s">
        <v>593</v>
      </c>
      <c r="T78">
        <v>-39.501899999999999</v>
      </c>
      <c r="V78" t="s">
        <v>579</v>
      </c>
      <c r="W78">
        <v>20.37</v>
      </c>
      <c r="X78" t="s">
        <v>586</v>
      </c>
      <c r="Y78">
        <v>23.497949999999999</v>
      </c>
      <c r="Z78" t="s">
        <v>593</v>
      </c>
      <c r="AA78">
        <v>25.078099999999999</v>
      </c>
      <c r="AD78" t="s">
        <v>579</v>
      </c>
      <c r="AH78" t="s">
        <v>579</v>
      </c>
      <c r="AK78" t="s">
        <v>550</v>
      </c>
      <c r="AM78">
        <v>140.34</v>
      </c>
      <c r="AO78" t="s">
        <v>550</v>
      </c>
      <c r="AQ78">
        <f t="shared" si="7"/>
        <v>88.414199999999994</v>
      </c>
      <c r="AR78" t="s">
        <v>587</v>
      </c>
      <c r="AT78">
        <v>56.83</v>
      </c>
      <c r="AV78" t="s">
        <v>587</v>
      </c>
      <c r="AX78">
        <f>63*Supplementary_Fig7!AM78/100</f>
        <v>0</v>
      </c>
      <c r="AZ78" t="s">
        <v>741</v>
      </c>
      <c r="BA78">
        <v>60.2</v>
      </c>
      <c r="BB78" t="s">
        <v>550</v>
      </c>
      <c r="BC78">
        <v>98.31</v>
      </c>
      <c r="BD78" t="s">
        <v>587</v>
      </c>
      <c r="BE78">
        <v>113.65</v>
      </c>
      <c r="BG78" t="s">
        <v>741</v>
      </c>
      <c r="BH78">
        <v>2.74</v>
      </c>
      <c r="BI78" t="s">
        <v>550</v>
      </c>
      <c r="BJ78">
        <v>1.58</v>
      </c>
      <c r="BK78" t="s">
        <v>587</v>
      </c>
      <c r="BL78">
        <v>1.56</v>
      </c>
      <c r="BN78" t="s">
        <v>585</v>
      </c>
      <c r="BO78">
        <v>242.97900000000001</v>
      </c>
      <c r="BP78" t="s">
        <v>550</v>
      </c>
      <c r="BQ78">
        <v>195.66499999999999</v>
      </c>
      <c r="BR78" t="s">
        <v>587</v>
      </c>
      <c r="BS78">
        <v>371.202</v>
      </c>
    </row>
    <row r="79" spans="1:71" x14ac:dyDescent="0.35">
      <c r="A79" t="s">
        <v>588</v>
      </c>
      <c r="B79">
        <v>889</v>
      </c>
      <c r="C79" t="s">
        <v>589</v>
      </c>
      <c r="D79">
        <v>312.2</v>
      </c>
      <c r="E79" t="s">
        <v>590</v>
      </c>
      <c r="F79">
        <v>210.85</v>
      </c>
      <c r="H79" t="s">
        <v>579</v>
      </c>
      <c r="I79">
        <v>-54.46</v>
      </c>
      <c r="J79" t="s">
        <v>589</v>
      </c>
      <c r="K79">
        <v>-70.72</v>
      </c>
      <c r="L79" t="s">
        <v>590</v>
      </c>
      <c r="M79">
        <v>-55.29</v>
      </c>
      <c r="Q79" t="s">
        <v>589</v>
      </c>
      <c r="R79">
        <v>-42.053199999999997</v>
      </c>
      <c r="S79" t="s">
        <v>596</v>
      </c>
      <c r="T79">
        <v>-40.525100000000002</v>
      </c>
      <c r="V79" t="s">
        <v>582</v>
      </c>
      <c r="W79">
        <v>22.06</v>
      </c>
      <c r="X79" t="s">
        <v>589</v>
      </c>
      <c r="Y79">
        <v>28.666799999999999</v>
      </c>
      <c r="Z79" t="s">
        <v>596</v>
      </c>
      <c r="AA79">
        <v>16.944900000000001</v>
      </c>
      <c r="AD79" t="s">
        <v>582</v>
      </c>
      <c r="AE79">
        <v>51.5</v>
      </c>
      <c r="AH79" t="s">
        <v>582</v>
      </c>
      <c r="AI79">
        <f>63*AE79/100</f>
        <v>32.445</v>
      </c>
      <c r="AK79" t="s">
        <v>554</v>
      </c>
      <c r="AM79">
        <v>69.5</v>
      </c>
      <c r="AO79" t="s">
        <v>554</v>
      </c>
      <c r="AQ79">
        <f t="shared" si="7"/>
        <v>43.784999999999997</v>
      </c>
      <c r="AR79" t="s">
        <v>590</v>
      </c>
      <c r="AT79">
        <v>60.53</v>
      </c>
      <c r="AV79" t="s">
        <v>590</v>
      </c>
      <c r="AX79">
        <f>63*Supplementary_Fig7!AM79/100</f>
        <v>0</v>
      </c>
      <c r="AZ79" t="s">
        <v>579</v>
      </c>
      <c r="BA79">
        <v>88.59</v>
      </c>
      <c r="BB79" t="s">
        <v>554</v>
      </c>
      <c r="BC79">
        <v>97.34</v>
      </c>
      <c r="BD79" t="s">
        <v>590</v>
      </c>
      <c r="BE79">
        <v>89.7</v>
      </c>
      <c r="BG79" t="s">
        <v>579</v>
      </c>
      <c r="BH79">
        <v>2.5</v>
      </c>
      <c r="BI79" t="s">
        <v>554</v>
      </c>
      <c r="BJ79">
        <v>1.53</v>
      </c>
      <c r="BK79" t="s">
        <v>590</v>
      </c>
      <c r="BL79">
        <v>1.7</v>
      </c>
      <c r="BN79" t="s">
        <v>588</v>
      </c>
      <c r="BO79">
        <v>122.27</v>
      </c>
      <c r="BP79" t="s">
        <v>554</v>
      </c>
      <c r="BQ79">
        <v>292.55200000000002</v>
      </c>
      <c r="BR79" t="s">
        <v>590</v>
      </c>
      <c r="BS79">
        <v>140.35400000000001</v>
      </c>
    </row>
    <row r="80" spans="1:71" x14ac:dyDescent="0.35">
      <c r="A80" t="s">
        <v>591</v>
      </c>
      <c r="B80">
        <v>213.57</v>
      </c>
      <c r="C80" t="s">
        <v>592</v>
      </c>
      <c r="D80">
        <v>354.5</v>
      </c>
      <c r="E80" t="s">
        <v>593</v>
      </c>
      <c r="F80">
        <v>210.65</v>
      </c>
      <c r="H80" t="s">
        <v>582</v>
      </c>
      <c r="I80">
        <v>-58.43</v>
      </c>
      <c r="J80" t="s">
        <v>592</v>
      </c>
      <c r="K80">
        <v>-74.53</v>
      </c>
      <c r="L80" t="s">
        <v>593</v>
      </c>
      <c r="M80">
        <v>-64.58</v>
      </c>
      <c r="Q80" t="s">
        <v>592</v>
      </c>
      <c r="R80">
        <v>-44.576300000000003</v>
      </c>
      <c r="S80" t="s">
        <v>599</v>
      </c>
      <c r="T80">
        <v>-35.366799999999998</v>
      </c>
      <c r="V80" t="s">
        <v>585</v>
      </c>
      <c r="W80">
        <v>10.28</v>
      </c>
      <c r="X80" t="s">
        <v>592</v>
      </c>
      <c r="Y80">
        <v>29.953700000000001</v>
      </c>
      <c r="Z80" t="s">
        <v>599</v>
      </c>
      <c r="AA80">
        <v>23.5932</v>
      </c>
      <c r="AD80" t="s">
        <v>585</v>
      </c>
      <c r="AE80">
        <v>38.380000000000003</v>
      </c>
      <c r="AH80" t="s">
        <v>585</v>
      </c>
      <c r="AI80">
        <f>63*AE80/100</f>
        <v>24.179400000000001</v>
      </c>
      <c r="AK80" t="s">
        <v>1067</v>
      </c>
      <c r="AM80">
        <v>47.56</v>
      </c>
      <c r="AO80" t="s">
        <v>1067</v>
      </c>
      <c r="AQ80">
        <f t="shared" si="7"/>
        <v>29.962800000000001</v>
      </c>
      <c r="AR80" t="s">
        <v>593</v>
      </c>
      <c r="AT80">
        <v>59.64</v>
      </c>
      <c r="AV80" t="s">
        <v>593</v>
      </c>
      <c r="AX80">
        <f>63*Supplementary_Fig7!AM80/100</f>
        <v>0</v>
      </c>
      <c r="AZ80" t="s">
        <v>582</v>
      </c>
      <c r="BA80">
        <v>90.61</v>
      </c>
      <c r="BB80" t="s">
        <v>558</v>
      </c>
      <c r="BC80">
        <v>112.41</v>
      </c>
      <c r="BD80" t="s">
        <v>593</v>
      </c>
      <c r="BE80">
        <v>125.29</v>
      </c>
      <c r="BG80" t="s">
        <v>582</v>
      </c>
      <c r="BH80">
        <v>2.11</v>
      </c>
      <c r="BI80" t="s">
        <v>558</v>
      </c>
      <c r="BJ80">
        <v>1.77</v>
      </c>
      <c r="BK80" t="s">
        <v>593</v>
      </c>
      <c r="BL80">
        <v>1.42</v>
      </c>
      <c r="BN80" t="s">
        <v>591</v>
      </c>
      <c r="BO80">
        <v>223.429</v>
      </c>
      <c r="BP80" t="s">
        <v>558</v>
      </c>
      <c r="BQ80">
        <v>314.22500000000002</v>
      </c>
      <c r="BR80" t="s">
        <v>593</v>
      </c>
      <c r="BS80">
        <v>474.35899999999998</v>
      </c>
    </row>
    <row r="81" spans="1:71" x14ac:dyDescent="0.35">
      <c r="A81" t="s">
        <v>594</v>
      </c>
      <c r="B81">
        <v>541.5</v>
      </c>
      <c r="C81" t="s">
        <v>595</v>
      </c>
      <c r="D81">
        <v>288.7</v>
      </c>
      <c r="E81" t="s">
        <v>596</v>
      </c>
      <c r="F81">
        <v>164.97</v>
      </c>
      <c r="H81" t="s">
        <v>585</v>
      </c>
      <c r="I81">
        <v>-50.77</v>
      </c>
      <c r="J81" t="s">
        <v>595</v>
      </c>
      <c r="K81">
        <v>-74.3</v>
      </c>
      <c r="L81" t="s">
        <v>596</v>
      </c>
      <c r="M81">
        <v>-57.47</v>
      </c>
      <c r="Q81" t="s">
        <v>595</v>
      </c>
      <c r="R81">
        <v>-50.637</v>
      </c>
      <c r="S81" t="s">
        <v>602</v>
      </c>
      <c r="T81">
        <v>-40.001800000000003</v>
      </c>
      <c r="V81" t="s">
        <v>588</v>
      </c>
      <c r="W81">
        <v>22.47</v>
      </c>
      <c r="X81" t="s">
        <v>595</v>
      </c>
      <c r="Y81">
        <v>23.663</v>
      </c>
      <c r="Z81" t="s">
        <v>602</v>
      </c>
      <c r="AA81">
        <v>21.398199999999999</v>
      </c>
      <c r="AD81" t="s">
        <v>588</v>
      </c>
      <c r="AH81" t="s">
        <v>588</v>
      </c>
      <c r="AK81" t="s">
        <v>1068</v>
      </c>
      <c r="AM81">
        <v>51.34</v>
      </c>
      <c r="AO81" t="s">
        <v>1068</v>
      </c>
      <c r="AQ81">
        <f t="shared" si="7"/>
        <v>32.344200000000001</v>
      </c>
      <c r="AR81" t="s">
        <v>596</v>
      </c>
      <c r="AT81">
        <v>47.57</v>
      </c>
      <c r="AV81" t="s">
        <v>596</v>
      </c>
      <c r="AX81">
        <f>63*Supplementary_Fig7!AM81/100</f>
        <v>0</v>
      </c>
      <c r="AZ81" t="s">
        <v>585</v>
      </c>
      <c r="BA81">
        <v>96.98</v>
      </c>
      <c r="BB81" t="s">
        <v>562</v>
      </c>
      <c r="BC81">
        <v>119.15</v>
      </c>
      <c r="BD81" t="s">
        <v>596</v>
      </c>
      <c r="BE81">
        <v>95.89</v>
      </c>
      <c r="BG81" t="s">
        <v>585</v>
      </c>
      <c r="BH81">
        <v>1.69</v>
      </c>
      <c r="BI81" t="s">
        <v>562</v>
      </c>
      <c r="BJ81">
        <v>1.79</v>
      </c>
      <c r="BK81" t="s">
        <v>596</v>
      </c>
      <c r="BL81">
        <v>1.36</v>
      </c>
      <c r="BN81" t="s">
        <v>594</v>
      </c>
      <c r="BO81">
        <v>145.66499999999999</v>
      </c>
      <c r="BP81" t="s">
        <v>562</v>
      </c>
      <c r="BQ81">
        <v>280.58600000000001</v>
      </c>
      <c r="BR81" t="s">
        <v>596</v>
      </c>
      <c r="BS81">
        <v>289.255</v>
      </c>
    </row>
    <row r="82" spans="1:71" x14ac:dyDescent="0.35">
      <c r="A82" t="s">
        <v>597</v>
      </c>
      <c r="B82">
        <v>717.7</v>
      </c>
      <c r="C82" t="s">
        <v>598</v>
      </c>
      <c r="D82">
        <v>274.95</v>
      </c>
      <c r="E82" t="s">
        <v>599</v>
      </c>
      <c r="F82">
        <v>271.5</v>
      </c>
      <c r="H82" t="s">
        <v>588</v>
      </c>
      <c r="I82">
        <v>-58.48</v>
      </c>
      <c r="J82" t="s">
        <v>598</v>
      </c>
      <c r="K82">
        <v>-68.53</v>
      </c>
      <c r="L82" t="s">
        <v>599</v>
      </c>
      <c r="M82">
        <v>-58.96</v>
      </c>
      <c r="Q82" t="s">
        <v>598</v>
      </c>
      <c r="R82">
        <v>-48.965400000000002</v>
      </c>
      <c r="S82" t="s">
        <v>605</v>
      </c>
      <c r="T82">
        <v>-49.313299999999998</v>
      </c>
      <c r="V82" t="s">
        <v>591</v>
      </c>
      <c r="W82">
        <v>16.78</v>
      </c>
      <c r="X82" t="s">
        <v>598</v>
      </c>
      <c r="Y82">
        <v>19.564599999999999</v>
      </c>
      <c r="Z82" t="s">
        <v>605</v>
      </c>
      <c r="AA82">
        <v>18.646699999999999</v>
      </c>
      <c r="AD82" t="s">
        <v>591</v>
      </c>
      <c r="AF82">
        <v>29.81</v>
      </c>
      <c r="AH82" t="s">
        <v>591</v>
      </c>
      <c r="AJ82">
        <f>63*AF82/100</f>
        <v>18.7803</v>
      </c>
      <c r="AK82" t="s">
        <v>558</v>
      </c>
      <c r="AM82">
        <v>86.09</v>
      </c>
      <c r="AO82" t="s">
        <v>558</v>
      </c>
      <c r="AQ82">
        <f t="shared" si="7"/>
        <v>54.236699999999999</v>
      </c>
      <c r="AR82" t="s">
        <v>599</v>
      </c>
      <c r="AS82">
        <v>72.67</v>
      </c>
      <c r="AV82" t="s">
        <v>599</v>
      </c>
      <c r="AW82">
        <f>63*Supplementary_Fig7!AL82/100</f>
        <v>0</v>
      </c>
      <c r="AZ82" t="s">
        <v>588</v>
      </c>
      <c r="BA82">
        <v>71.77</v>
      </c>
      <c r="BB82" t="s">
        <v>566</v>
      </c>
      <c r="BC82">
        <v>99</v>
      </c>
      <c r="BD82" t="s">
        <v>599</v>
      </c>
      <c r="BE82">
        <v>93.53</v>
      </c>
      <c r="BG82" t="s">
        <v>588</v>
      </c>
      <c r="BH82">
        <v>2.36</v>
      </c>
      <c r="BI82" t="s">
        <v>566</v>
      </c>
      <c r="BJ82">
        <v>1.78</v>
      </c>
      <c r="BK82" t="s">
        <v>599</v>
      </c>
      <c r="BL82">
        <v>1.58</v>
      </c>
      <c r="BN82" t="s">
        <v>743</v>
      </c>
      <c r="BO82">
        <v>142.00200000000001</v>
      </c>
      <c r="BP82" t="s">
        <v>566</v>
      </c>
      <c r="BQ82">
        <v>274.72500000000002</v>
      </c>
      <c r="BR82" t="s">
        <v>599</v>
      </c>
      <c r="BS82">
        <v>235.53100000000001</v>
      </c>
    </row>
    <row r="83" spans="1:71" x14ac:dyDescent="0.35">
      <c r="A83" t="s">
        <v>600</v>
      </c>
      <c r="B83">
        <v>566.59</v>
      </c>
      <c r="C83" t="s">
        <v>601</v>
      </c>
      <c r="D83">
        <v>365.7</v>
      </c>
      <c r="E83" t="s">
        <v>602</v>
      </c>
      <c r="F83">
        <v>201.62</v>
      </c>
      <c r="H83" t="s">
        <v>591</v>
      </c>
      <c r="I83">
        <v>-60.12</v>
      </c>
      <c r="J83" t="s">
        <v>601</v>
      </c>
      <c r="K83">
        <v>-71.25</v>
      </c>
      <c r="L83" t="s">
        <v>602</v>
      </c>
      <c r="M83">
        <v>-61.4</v>
      </c>
      <c r="Q83" t="s">
        <v>601</v>
      </c>
      <c r="R83">
        <v>-44.599899999999998</v>
      </c>
      <c r="S83" t="s">
        <v>608</v>
      </c>
      <c r="T83">
        <v>-41.696100000000001</v>
      </c>
      <c r="V83" t="s">
        <v>742</v>
      </c>
      <c r="W83">
        <v>21.77</v>
      </c>
      <c r="X83" t="s">
        <v>601</v>
      </c>
      <c r="Y83">
        <v>26.650099999999998</v>
      </c>
      <c r="Z83" t="s">
        <v>608</v>
      </c>
      <c r="AA83">
        <v>14.693899999999999</v>
      </c>
      <c r="AD83" t="s">
        <v>742</v>
      </c>
      <c r="AH83" t="s">
        <v>742</v>
      </c>
      <c r="AK83" t="s">
        <v>562</v>
      </c>
      <c r="AL83">
        <v>77.069999999999993</v>
      </c>
      <c r="AO83" t="s">
        <v>562</v>
      </c>
      <c r="AP83">
        <f>63*AL83/100</f>
        <v>48.554099999999998</v>
      </c>
      <c r="AR83" t="s">
        <v>602</v>
      </c>
      <c r="AS83">
        <v>44.15</v>
      </c>
      <c r="AV83" t="s">
        <v>602</v>
      </c>
      <c r="AW83">
        <f>63*Supplementary_Fig7!AL83/100</f>
        <v>0</v>
      </c>
      <c r="AZ83" t="s">
        <v>591</v>
      </c>
      <c r="BA83">
        <v>101.34</v>
      </c>
      <c r="BB83" t="s">
        <v>570</v>
      </c>
      <c r="BC83">
        <v>87.82</v>
      </c>
      <c r="BD83" t="s">
        <v>602</v>
      </c>
      <c r="BE83">
        <v>102.59</v>
      </c>
      <c r="BG83" t="s">
        <v>591</v>
      </c>
      <c r="BH83">
        <v>1.41</v>
      </c>
      <c r="BI83" t="s">
        <v>570</v>
      </c>
      <c r="BJ83">
        <v>2.14</v>
      </c>
      <c r="BK83" t="s">
        <v>602</v>
      </c>
      <c r="BL83">
        <v>1.38</v>
      </c>
      <c r="BN83" t="s">
        <v>597</v>
      </c>
      <c r="BO83">
        <v>216.78899999999999</v>
      </c>
      <c r="BP83" t="s">
        <v>570</v>
      </c>
      <c r="BQ83">
        <v>195.971</v>
      </c>
      <c r="BR83" t="s">
        <v>602</v>
      </c>
      <c r="BS83">
        <v>333.23200000000003</v>
      </c>
    </row>
    <row r="84" spans="1:71" x14ac:dyDescent="0.35">
      <c r="A84" t="s">
        <v>603</v>
      </c>
      <c r="B84">
        <v>785.6</v>
      </c>
      <c r="C84" t="s">
        <v>604</v>
      </c>
      <c r="D84">
        <v>342.62</v>
      </c>
      <c r="E84" t="s">
        <v>605</v>
      </c>
      <c r="F84">
        <v>191.02</v>
      </c>
      <c r="H84" t="s">
        <v>742</v>
      </c>
      <c r="I84">
        <v>-58.73</v>
      </c>
      <c r="J84" t="s">
        <v>604</v>
      </c>
      <c r="K84">
        <v>-61.67</v>
      </c>
      <c r="L84" t="s">
        <v>605</v>
      </c>
      <c r="M84">
        <v>-67.959999999999994</v>
      </c>
      <c r="Q84" t="s">
        <v>604</v>
      </c>
      <c r="R84">
        <v>-45.5398</v>
      </c>
      <c r="S84" t="s">
        <v>611</v>
      </c>
      <c r="T84">
        <v>-40.622700000000002</v>
      </c>
      <c r="V84" t="s">
        <v>594</v>
      </c>
      <c r="W84">
        <v>10.02</v>
      </c>
      <c r="X84" t="s">
        <v>604</v>
      </c>
      <c r="Y84">
        <v>16.130199999999999</v>
      </c>
      <c r="Z84" t="s">
        <v>611</v>
      </c>
      <c r="AA84">
        <v>30.4373</v>
      </c>
      <c r="AD84" t="s">
        <v>594</v>
      </c>
      <c r="AF84">
        <v>36.99</v>
      </c>
      <c r="AH84" t="s">
        <v>594</v>
      </c>
      <c r="AJ84">
        <f>63*AF84/100</f>
        <v>23.303700000000003</v>
      </c>
      <c r="AK84" t="s">
        <v>566</v>
      </c>
      <c r="AL84">
        <v>134.33000000000001</v>
      </c>
      <c r="AO84" t="s">
        <v>566</v>
      </c>
      <c r="AP84">
        <f>63*AL84/100</f>
        <v>84.627900000000011</v>
      </c>
      <c r="AR84" t="s">
        <v>605</v>
      </c>
      <c r="AT84">
        <v>67.48</v>
      </c>
      <c r="AV84" t="s">
        <v>605</v>
      </c>
      <c r="AX84">
        <f>63*Supplementary_Fig7!AM84/100</f>
        <v>0</v>
      </c>
      <c r="AZ84" t="s">
        <v>742</v>
      </c>
      <c r="BA84">
        <v>78.319999999999993</v>
      </c>
      <c r="BB84" t="s">
        <v>574</v>
      </c>
      <c r="BC84">
        <v>98.76</v>
      </c>
      <c r="BD84" t="s">
        <v>605</v>
      </c>
      <c r="BE84">
        <v>122.97</v>
      </c>
      <c r="BG84" t="s">
        <v>742</v>
      </c>
      <c r="BH84">
        <v>2.29</v>
      </c>
      <c r="BI84" t="s">
        <v>574</v>
      </c>
      <c r="BJ84">
        <v>1.74</v>
      </c>
      <c r="BK84" t="s">
        <v>605</v>
      </c>
      <c r="BL84">
        <v>1.37</v>
      </c>
      <c r="BN84" t="s">
        <v>600</v>
      </c>
      <c r="BO84" s="8">
        <v>172.91</v>
      </c>
      <c r="BP84" t="s">
        <v>574</v>
      </c>
      <c r="BQ84">
        <v>338.339</v>
      </c>
      <c r="BR84" t="s">
        <v>605</v>
      </c>
      <c r="BS84">
        <v>382.90600000000001</v>
      </c>
    </row>
    <row r="85" spans="1:71" x14ac:dyDescent="0.35">
      <c r="A85" t="s">
        <v>606</v>
      </c>
      <c r="B85">
        <v>810.1</v>
      </c>
      <c r="C85" t="s">
        <v>607</v>
      </c>
      <c r="D85">
        <v>421.7</v>
      </c>
      <c r="E85" t="s">
        <v>608</v>
      </c>
      <c r="F85">
        <v>122.87</v>
      </c>
      <c r="H85" t="s">
        <v>594</v>
      </c>
      <c r="I85">
        <v>-45.9</v>
      </c>
      <c r="J85" t="s">
        <v>607</v>
      </c>
      <c r="K85">
        <v>-66.489999999999995</v>
      </c>
      <c r="L85" t="s">
        <v>608</v>
      </c>
      <c r="M85">
        <v>-56.39</v>
      </c>
      <c r="Q85" t="s">
        <v>607</v>
      </c>
      <c r="R85">
        <v>-47.828699999999998</v>
      </c>
      <c r="S85" t="s">
        <v>614</v>
      </c>
      <c r="T85">
        <v>-49.702399999999997</v>
      </c>
      <c r="V85" t="s">
        <v>743</v>
      </c>
      <c r="W85">
        <v>30.77</v>
      </c>
      <c r="X85" t="s">
        <v>607</v>
      </c>
      <c r="Y85">
        <v>18.661300000000001</v>
      </c>
      <c r="Z85" t="s">
        <v>614</v>
      </c>
      <c r="AA85">
        <v>5.7176</v>
      </c>
      <c r="AD85" t="s">
        <v>743</v>
      </c>
      <c r="AH85" t="s">
        <v>743</v>
      </c>
      <c r="AK85" t="s">
        <v>570</v>
      </c>
      <c r="AM85">
        <v>70.42</v>
      </c>
      <c r="AO85" t="s">
        <v>570</v>
      </c>
      <c r="AQ85">
        <f>63*AM85/100</f>
        <v>44.364600000000003</v>
      </c>
      <c r="AR85" t="s">
        <v>608</v>
      </c>
      <c r="AT85">
        <v>56.14</v>
      </c>
      <c r="AV85" t="s">
        <v>608</v>
      </c>
      <c r="AX85">
        <f>63*Supplementary_Fig7!AM85/100</f>
        <v>0</v>
      </c>
      <c r="AZ85" t="s">
        <v>594</v>
      </c>
      <c r="BA85">
        <v>75.650000000000006</v>
      </c>
      <c r="BB85" t="s">
        <v>577</v>
      </c>
      <c r="BC85">
        <v>122.85</v>
      </c>
      <c r="BD85" t="s">
        <v>608</v>
      </c>
      <c r="BE85">
        <v>97.36</v>
      </c>
      <c r="BG85" t="s">
        <v>594</v>
      </c>
      <c r="BH85">
        <v>1.94</v>
      </c>
      <c r="BI85" t="s">
        <v>577</v>
      </c>
      <c r="BJ85">
        <v>1.69</v>
      </c>
      <c r="BK85" t="s">
        <v>608</v>
      </c>
      <c r="BL85">
        <v>1.25</v>
      </c>
      <c r="BN85" t="s">
        <v>603</v>
      </c>
      <c r="BO85">
        <v>198.23099999999999</v>
      </c>
      <c r="BP85" t="s">
        <v>577</v>
      </c>
      <c r="BQ85">
        <v>420.30500000000001</v>
      </c>
      <c r="BR85" t="s">
        <v>608</v>
      </c>
      <c r="BS85">
        <v>331.86799999999999</v>
      </c>
    </row>
    <row r="86" spans="1:71" x14ac:dyDescent="0.35">
      <c r="A86" t="s">
        <v>609</v>
      </c>
      <c r="B86">
        <v>505.35</v>
      </c>
      <c r="C86" t="s">
        <v>610</v>
      </c>
      <c r="D86">
        <v>248.55</v>
      </c>
      <c r="E86" t="s">
        <v>611</v>
      </c>
      <c r="F86">
        <v>157.62</v>
      </c>
      <c r="H86" t="s">
        <v>743</v>
      </c>
      <c r="I86">
        <v>-67.489999999999995</v>
      </c>
      <c r="J86" t="s">
        <v>610</v>
      </c>
      <c r="K86">
        <v>-52.94</v>
      </c>
      <c r="L86" t="s">
        <v>611</v>
      </c>
      <c r="M86">
        <v>-71.06</v>
      </c>
      <c r="Q86" t="s">
        <v>610</v>
      </c>
      <c r="R86">
        <v>-35.896999999999998</v>
      </c>
      <c r="S86" t="s">
        <v>617</v>
      </c>
      <c r="T86">
        <v>-45.183500000000002</v>
      </c>
      <c r="V86" t="s">
        <v>597</v>
      </c>
      <c r="W86">
        <v>18.11</v>
      </c>
      <c r="X86" t="s">
        <v>610</v>
      </c>
      <c r="Y86">
        <v>17.042999999999999</v>
      </c>
      <c r="Z86" t="s">
        <v>617</v>
      </c>
      <c r="AA86">
        <v>10.436500000000001</v>
      </c>
      <c r="AD86" t="s">
        <v>597</v>
      </c>
      <c r="AF86">
        <v>93.34</v>
      </c>
      <c r="AH86" t="s">
        <v>597</v>
      </c>
      <c r="AJ86">
        <f>63*AF86/100</f>
        <v>58.804200000000002</v>
      </c>
      <c r="AK86" t="s">
        <v>574</v>
      </c>
      <c r="AM86">
        <v>93.1</v>
      </c>
      <c r="AO86" t="s">
        <v>574</v>
      </c>
      <c r="AQ86">
        <f>63*AM86/100</f>
        <v>58.652999999999992</v>
      </c>
      <c r="AR86" t="s">
        <v>611</v>
      </c>
      <c r="AT86">
        <v>58.17</v>
      </c>
      <c r="AV86" t="s">
        <v>611</v>
      </c>
      <c r="AX86">
        <f>63*Supplementary_Fig7!AM86/100</f>
        <v>0</v>
      </c>
      <c r="AZ86" t="s">
        <v>743</v>
      </c>
      <c r="BA86">
        <v>74.680000000000007</v>
      </c>
      <c r="BB86" t="s">
        <v>580</v>
      </c>
      <c r="BC86">
        <v>110.93</v>
      </c>
      <c r="BD86" t="s">
        <v>611</v>
      </c>
      <c r="BE86">
        <v>111.52</v>
      </c>
      <c r="BG86" t="s">
        <v>743</v>
      </c>
      <c r="BH86">
        <v>2.4300000000000002</v>
      </c>
      <c r="BI86" t="s">
        <v>580</v>
      </c>
      <c r="BJ86">
        <v>1.49</v>
      </c>
      <c r="BK86" t="s">
        <v>611</v>
      </c>
      <c r="BL86">
        <v>1.61</v>
      </c>
      <c r="BN86" t="s">
        <v>606</v>
      </c>
      <c r="BO86">
        <v>164.24600000000001</v>
      </c>
      <c r="BP86" t="s">
        <v>580</v>
      </c>
      <c r="BQ86">
        <v>346.82499999999999</v>
      </c>
      <c r="BR86" t="s">
        <v>611</v>
      </c>
      <c r="BS86">
        <v>278.327</v>
      </c>
    </row>
    <row r="87" spans="1:71" x14ac:dyDescent="0.35">
      <c r="A87" t="s">
        <v>612</v>
      </c>
      <c r="B87">
        <v>788.4</v>
      </c>
      <c r="C87" t="s">
        <v>613</v>
      </c>
      <c r="D87">
        <v>319.10000000000002</v>
      </c>
      <c r="E87" t="s">
        <v>614</v>
      </c>
      <c r="F87">
        <v>155.12</v>
      </c>
      <c r="H87" t="s">
        <v>597</v>
      </c>
      <c r="I87">
        <v>-57.16</v>
      </c>
      <c r="J87" t="s">
        <v>613</v>
      </c>
      <c r="K87">
        <v>-51.52</v>
      </c>
      <c r="L87" t="s">
        <v>614</v>
      </c>
      <c r="M87">
        <v>-55.42</v>
      </c>
      <c r="Q87" t="s">
        <v>613</v>
      </c>
      <c r="R87">
        <v>-34.3765</v>
      </c>
      <c r="S87" t="s">
        <v>620</v>
      </c>
      <c r="T87">
        <v>-34.216299999999997</v>
      </c>
      <c r="V87" t="s">
        <v>600</v>
      </c>
      <c r="W87">
        <v>21.08</v>
      </c>
      <c r="X87" t="s">
        <v>613</v>
      </c>
      <c r="Y87">
        <v>17.1435</v>
      </c>
      <c r="Z87" t="s">
        <v>620</v>
      </c>
      <c r="AA87">
        <v>27.313700000000001</v>
      </c>
      <c r="AD87" t="s">
        <v>600</v>
      </c>
      <c r="AH87" t="s">
        <v>600</v>
      </c>
      <c r="AK87" t="s">
        <v>577</v>
      </c>
      <c r="AL87">
        <v>68.709999999999994</v>
      </c>
      <c r="AO87" t="s">
        <v>577</v>
      </c>
      <c r="AP87">
        <f>63*AL87/100</f>
        <v>43.287299999999995</v>
      </c>
      <c r="AR87" t="s">
        <v>614</v>
      </c>
      <c r="AT87">
        <v>47.51</v>
      </c>
      <c r="AV87" t="s">
        <v>614</v>
      </c>
      <c r="AX87">
        <f>63*Supplementary_Fig7!AM87/100</f>
        <v>0</v>
      </c>
      <c r="AZ87" t="s">
        <v>597</v>
      </c>
      <c r="BA87">
        <v>95.11</v>
      </c>
      <c r="BB87" t="s">
        <v>583</v>
      </c>
      <c r="BC87">
        <v>126.29</v>
      </c>
      <c r="BD87" t="s">
        <v>614</v>
      </c>
      <c r="BE87">
        <v>108.78</v>
      </c>
      <c r="BG87" t="s">
        <v>597</v>
      </c>
      <c r="BH87">
        <v>1.78</v>
      </c>
      <c r="BI87" t="s">
        <v>583</v>
      </c>
      <c r="BJ87">
        <v>1.7</v>
      </c>
      <c r="BK87" t="s">
        <v>614</v>
      </c>
      <c r="BL87">
        <v>1.34</v>
      </c>
      <c r="BN87" t="s">
        <v>609</v>
      </c>
      <c r="BO87">
        <v>106.899</v>
      </c>
      <c r="BP87" t="s">
        <v>583</v>
      </c>
      <c r="BQ87">
        <v>433.33300000000003</v>
      </c>
      <c r="BR87" t="s">
        <v>614</v>
      </c>
      <c r="BS87">
        <v>387.18700000000001</v>
      </c>
    </row>
    <row r="88" spans="1:71" x14ac:dyDescent="0.35">
      <c r="A88" t="s">
        <v>615</v>
      </c>
      <c r="B88">
        <v>408.4</v>
      </c>
      <c r="C88" t="s">
        <v>616</v>
      </c>
      <c r="D88">
        <v>375.2</v>
      </c>
      <c r="E88" t="s">
        <v>617</v>
      </c>
      <c r="F88">
        <v>96.45</v>
      </c>
      <c r="H88" t="s">
        <v>600</v>
      </c>
      <c r="I88">
        <v>-58.65</v>
      </c>
      <c r="J88" t="s">
        <v>616</v>
      </c>
      <c r="K88">
        <v>-54.33</v>
      </c>
      <c r="L88" t="s">
        <v>617</v>
      </c>
      <c r="M88">
        <v>-55.62</v>
      </c>
      <c r="Q88" t="s">
        <v>616</v>
      </c>
      <c r="R88">
        <v>-39.068600000000004</v>
      </c>
      <c r="S88" t="s">
        <v>623</v>
      </c>
      <c r="T88">
        <v>-42.426299999999998</v>
      </c>
      <c r="V88" t="s">
        <v>603</v>
      </c>
      <c r="W88">
        <v>21.52</v>
      </c>
      <c r="X88" t="s">
        <v>616</v>
      </c>
      <c r="Y88">
        <v>15.2614</v>
      </c>
      <c r="Z88" t="s">
        <v>623</v>
      </c>
      <c r="AA88">
        <v>25.653700000000001</v>
      </c>
      <c r="AD88" t="s">
        <v>603</v>
      </c>
      <c r="AE88">
        <v>69</v>
      </c>
      <c r="AH88" t="s">
        <v>603</v>
      </c>
      <c r="AI88">
        <f>63*AE88/100</f>
        <v>43.47</v>
      </c>
      <c r="AK88" t="s">
        <v>580</v>
      </c>
      <c r="AL88">
        <v>72.819999999999993</v>
      </c>
      <c r="AO88" t="s">
        <v>580</v>
      </c>
      <c r="AP88">
        <f>63*AL88/100</f>
        <v>45.876599999999996</v>
      </c>
      <c r="AR88" t="s">
        <v>617</v>
      </c>
      <c r="AT88">
        <v>26.12</v>
      </c>
      <c r="AV88" t="s">
        <v>617</v>
      </c>
      <c r="AX88">
        <f>63*Supplementary_Fig7!AM88/100</f>
        <v>0</v>
      </c>
      <c r="AZ88" t="s">
        <v>600</v>
      </c>
      <c r="BA88">
        <v>91.67</v>
      </c>
      <c r="BB88" t="s">
        <v>586</v>
      </c>
      <c r="BC88">
        <v>95</v>
      </c>
      <c r="BD88" t="s">
        <v>617</v>
      </c>
      <c r="BE88">
        <v>77.67</v>
      </c>
      <c r="BG88" t="s">
        <v>600</v>
      </c>
      <c r="BH88">
        <v>1.85</v>
      </c>
      <c r="BI88" t="s">
        <v>586</v>
      </c>
      <c r="BJ88">
        <v>1.61</v>
      </c>
      <c r="BK88" t="s">
        <v>617</v>
      </c>
      <c r="BL88">
        <v>1.39</v>
      </c>
      <c r="BN88" t="s">
        <v>612</v>
      </c>
      <c r="BO88">
        <v>155.86099999999999</v>
      </c>
      <c r="BP88" t="s">
        <v>586</v>
      </c>
      <c r="BQ88">
        <v>323.185</v>
      </c>
      <c r="BR88" t="s">
        <v>617</v>
      </c>
      <c r="BS88">
        <v>214.16399999999999</v>
      </c>
    </row>
    <row r="89" spans="1:71" x14ac:dyDescent="0.35">
      <c r="A89" t="s">
        <v>618</v>
      </c>
      <c r="B89">
        <v>299.27</v>
      </c>
      <c r="C89" t="s">
        <v>619</v>
      </c>
      <c r="D89">
        <v>238.5</v>
      </c>
      <c r="E89" t="s">
        <v>620</v>
      </c>
      <c r="F89">
        <v>297.82</v>
      </c>
      <c r="H89" t="s">
        <v>603</v>
      </c>
      <c r="I89">
        <v>-56.25</v>
      </c>
      <c r="J89" t="s">
        <v>619</v>
      </c>
      <c r="K89">
        <v>-47.64</v>
      </c>
      <c r="L89" t="s">
        <v>620</v>
      </c>
      <c r="M89">
        <v>-61.53</v>
      </c>
      <c r="Q89" t="s">
        <v>619</v>
      </c>
      <c r="R89">
        <v>-37.025399999999998</v>
      </c>
      <c r="S89" t="s">
        <v>626</v>
      </c>
      <c r="T89">
        <v>-41.743400000000001</v>
      </c>
      <c r="V89" t="s">
        <v>606</v>
      </c>
      <c r="W89">
        <v>23.3</v>
      </c>
      <c r="X89" t="s">
        <v>619</v>
      </c>
      <c r="Y89">
        <v>10.614599999999999</v>
      </c>
      <c r="Z89" t="s">
        <v>626</v>
      </c>
      <c r="AA89">
        <v>23.2666</v>
      </c>
      <c r="AD89" t="s">
        <v>606</v>
      </c>
      <c r="AE89">
        <v>54.43</v>
      </c>
      <c r="AH89" t="s">
        <v>606</v>
      </c>
      <c r="AI89">
        <f>63*AE89/100</f>
        <v>34.290900000000001</v>
      </c>
      <c r="AK89" t="s">
        <v>583</v>
      </c>
      <c r="AM89">
        <v>69.92</v>
      </c>
      <c r="AO89" t="s">
        <v>583</v>
      </c>
      <c r="AQ89">
        <f>63*AM89/100</f>
        <v>44.049599999999998</v>
      </c>
      <c r="AR89" t="s">
        <v>620</v>
      </c>
      <c r="AT89">
        <v>79.069999999999993</v>
      </c>
      <c r="AV89" t="s">
        <v>620</v>
      </c>
      <c r="AX89">
        <f>63*Supplementary_Fig7!AM89/100</f>
        <v>0</v>
      </c>
      <c r="AZ89" t="s">
        <v>603</v>
      </c>
      <c r="BA89">
        <v>92.51</v>
      </c>
      <c r="BB89" t="s">
        <v>589</v>
      </c>
      <c r="BC89">
        <v>116.55</v>
      </c>
      <c r="BD89" t="s">
        <v>620</v>
      </c>
      <c r="BE89">
        <v>108.53</v>
      </c>
      <c r="BG89" t="s">
        <v>603</v>
      </c>
      <c r="BH89">
        <v>1.64</v>
      </c>
      <c r="BI89" t="s">
        <v>589</v>
      </c>
      <c r="BJ89">
        <v>1.62</v>
      </c>
      <c r="BK89" t="s">
        <v>620</v>
      </c>
      <c r="BL89">
        <v>1.35</v>
      </c>
      <c r="BN89" t="s">
        <v>615</v>
      </c>
      <c r="BO89">
        <v>240.84200000000001</v>
      </c>
      <c r="BP89" t="s">
        <v>589</v>
      </c>
      <c r="BQ89">
        <v>304.27300000000002</v>
      </c>
      <c r="BR89" t="s">
        <v>620</v>
      </c>
      <c r="BS89">
        <v>442.03800000000001</v>
      </c>
    </row>
    <row r="90" spans="1:71" x14ac:dyDescent="0.35">
      <c r="A90" t="s">
        <v>621</v>
      </c>
      <c r="B90">
        <v>709.2</v>
      </c>
      <c r="C90" t="s">
        <v>622</v>
      </c>
      <c r="D90">
        <v>290.47000000000003</v>
      </c>
      <c r="E90" t="s">
        <v>623</v>
      </c>
      <c r="F90">
        <v>307.35000000000002</v>
      </c>
      <c r="H90" t="s">
        <v>606</v>
      </c>
      <c r="I90">
        <v>-58.09</v>
      </c>
      <c r="J90" t="s">
        <v>622</v>
      </c>
      <c r="K90">
        <v>-67.03</v>
      </c>
      <c r="L90" t="s">
        <v>623</v>
      </c>
      <c r="M90">
        <v>-68.08</v>
      </c>
      <c r="Q90" t="s">
        <v>622</v>
      </c>
      <c r="R90">
        <v>-40.606999999999999</v>
      </c>
      <c r="S90" t="s">
        <v>629</v>
      </c>
      <c r="T90">
        <v>-43.979599999999998</v>
      </c>
      <c r="V90" t="s">
        <v>609</v>
      </c>
      <c r="W90">
        <v>10.46</v>
      </c>
      <c r="X90" t="s">
        <v>622</v>
      </c>
      <c r="Y90">
        <v>26.422999999999998</v>
      </c>
      <c r="Z90" t="s">
        <v>629</v>
      </c>
      <c r="AA90">
        <v>23.990400000000001</v>
      </c>
      <c r="AD90" t="s">
        <v>609</v>
      </c>
      <c r="AE90">
        <v>56.37</v>
      </c>
      <c r="AH90" t="s">
        <v>609</v>
      </c>
      <c r="AI90">
        <f>63*AE90/100</f>
        <v>35.513100000000001</v>
      </c>
      <c r="AK90" t="s">
        <v>586</v>
      </c>
      <c r="AM90">
        <v>95.33</v>
      </c>
      <c r="AO90" t="s">
        <v>586</v>
      </c>
      <c r="AQ90">
        <f>63*AM90/100</f>
        <v>60.057899999999997</v>
      </c>
      <c r="AR90" t="s">
        <v>623</v>
      </c>
      <c r="AT90">
        <v>44.68</v>
      </c>
      <c r="AV90" t="s">
        <v>623</v>
      </c>
      <c r="AX90">
        <f>63*Supplementary_Fig7!AM90/100</f>
        <v>0</v>
      </c>
      <c r="AZ90" t="s">
        <v>606</v>
      </c>
      <c r="BA90">
        <v>91.04</v>
      </c>
      <c r="BB90" t="s">
        <v>592</v>
      </c>
      <c r="BC90">
        <v>96.8</v>
      </c>
      <c r="BD90" t="s">
        <v>623</v>
      </c>
      <c r="BE90">
        <v>107.52</v>
      </c>
      <c r="BG90" t="s">
        <v>606</v>
      </c>
      <c r="BH90">
        <v>1.76</v>
      </c>
      <c r="BI90" t="s">
        <v>592</v>
      </c>
      <c r="BJ90">
        <v>1.54</v>
      </c>
      <c r="BK90" t="s">
        <v>623</v>
      </c>
      <c r="BL90">
        <v>1.72</v>
      </c>
      <c r="BN90" t="s">
        <v>618</v>
      </c>
      <c r="BO90">
        <v>203.23400000000001</v>
      </c>
      <c r="BP90" t="s">
        <v>592</v>
      </c>
      <c r="BQ90">
        <v>299.45100000000002</v>
      </c>
      <c r="BR90" t="s">
        <v>623</v>
      </c>
      <c r="BS90">
        <v>269.77999999999997</v>
      </c>
    </row>
    <row r="91" spans="1:71" x14ac:dyDescent="0.35">
      <c r="A91" t="s">
        <v>624</v>
      </c>
      <c r="B91">
        <v>407.7</v>
      </c>
      <c r="C91" t="s">
        <v>625</v>
      </c>
      <c r="D91">
        <v>271.35000000000002</v>
      </c>
      <c r="E91" t="s">
        <v>626</v>
      </c>
      <c r="F91">
        <v>94.52</v>
      </c>
      <c r="H91" t="s">
        <v>609</v>
      </c>
      <c r="I91">
        <v>-44.55</v>
      </c>
      <c r="J91" t="s">
        <v>625</v>
      </c>
      <c r="K91">
        <v>-56.92</v>
      </c>
      <c r="L91" t="s">
        <v>626</v>
      </c>
      <c r="M91">
        <v>-65.010000000000005</v>
      </c>
      <c r="Q91" t="s">
        <v>625</v>
      </c>
      <c r="R91">
        <v>-43.328099999999999</v>
      </c>
      <c r="S91" t="s">
        <v>632</v>
      </c>
      <c r="T91">
        <v>-53.470599999999997</v>
      </c>
      <c r="V91" t="s">
        <v>612</v>
      </c>
      <c r="W91">
        <v>12.13</v>
      </c>
      <c r="X91" t="s">
        <v>625</v>
      </c>
      <c r="Y91">
        <v>13.591900000000001</v>
      </c>
      <c r="Z91" t="s">
        <v>632</v>
      </c>
      <c r="AA91">
        <v>7.1794000000000002</v>
      </c>
      <c r="AD91" t="s">
        <v>612</v>
      </c>
      <c r="AF91">
        <v>54.29</v>
      </c>
      <c r="AH91" t="s">
        <v>612</v>
      </c>
      <c r="AJ91">
        <f>63*AF91/100</f>
        <v>34.2027</v>
      </c>
      <c r="AK91" t="s">
        <v>589</v>
      </c>
      <c r="AM91">
        <v>69.17</v>
      </c>
      <c r="AO91" t="s">
        <v>589</v>
      </c>
      <c r="AQ91">
        <f>63*AM91/100</f>
        <v>43.577100000000002</v>
      </c>
      <c r="AR91" t="s">
        <v>626</v>
      </c>
      <c r="AT91">
        <v>25.84</v>
      </c>
      <c r="AV91" t="s">
        <v>626</v>
      </c>
      <c r="AX91">
        <f>63*Supplementary_Fig7!AM91/100</f>
        <v>0</v>
      </c>
      <c r="AZ91" t="s">
        <v>609</v>
      </c>
      <c r="BA91">
        <v>67.19</v>
      </c>
      <c r="BB91" t="s">
        <v>595</v>
      </c>
      <c r="BC91">
        <v>96.89</v>
      </c>
      <c r="BD91" t="s">
        <v>626</v>
      </c>
      <c r="BE91">
        <v>90.71</v>
      </c>
      <c r="BG91" t="s">
        <v>609</v>
      </c>
      <c r="BH91">
        <v>2.72</v>
      </c>
      <c r="BI91" t="s">
        <v>595</v>
      </c>
      <c r="BJ91">
        <v>1.5</v>
      </c>
      <c r="BK91" t="s">
        <v>626</v>
      </c>
      <c r="BL91">
        <v>1.56</v>
      </c>
      <c r="BN91" t="s">
        <v>621</v>
      </c>
      <c r="BO91">
        <v>102.929</v>
      </c>
      <c r="BP91" t="s">
        <v>595</v>
      </c>
      <c r="BQ91">
        <v>339.68299999999999</v>
      </c>
      <c r="BR91" t="s">
        <v>626</v>
      </c>
      <c r="BS91">
        <v>276.74</v>
      </c>
    </row>
    <row r="92" spans="1:71" x14ac:dyDescent="0.35">
      <c r="A92" t="s">
        <v>627</v>
      </c>
      <c r="B92">
        <v>708.3</v>
      </c>
      <c r="C92" t="s">
        <v>628</v>
      </c>
      <c r="D92">
        <v>292.17</v>
      </c>
      <c r="E92" t="s">
        <v>629</v>
      </c>
      <c r="F92">
        <v>97.4</v>
      </c>
      <c r="H92" t="s">
        <v>612</v>
      </c>
      <c r="I92">
        <v>-51.11</v>
      </c>
      <c r="J92" t="s">
        <v>628</v>
      </c>
      <c r="K92">
        <v>-65.61</v>
      </c>
      <c r="L92" t="s">
        <v>629</v>
      </c>
      <c r="M92">
        <v>-67.97</v>
      </c>
      <c r="Q92" t="s">
        <v>628</v>
      </c>
      <c r="R92">
        <v>-41.635899999999999</v>
      </c>
      <c r="S92" t="s">
        <v>635</v>
      </c>
      <c r="T92">
        <v>-47.39</v>
      </c>
      <c r="V92" t="s">
        <v>615</v>
      </c>
      <c r="W92">
        <v>12.18</v>
      </c>
      <c r="X92" t="s">
        <v>628</v>
      </c>
      <c r="Y92">
        <v>23.9741</v>
      </c>
      <c r="Z92" t="s">
        <v>635</v>
      </c>
      <c r="AA92">
        <v>20.98</v>
      </c>
      <c r="AD92" t="s">
        <v>615</v>
      </c>
      <c r="AE92">
        <v>65.819999999999993</v>
      </c>
      <c r="AH92" t="s">
        <v>615</v>
      </c>
      <c r="AI92">
        <f>63*AE92/100</f>
        <v>41.4666</v>
      </c>
      <c r="AK92" t="s">
        <v>592</v>
      </c>
      <c r="AM92">
        <v>49.42</v>
      </c>
      <c r="AO92" t="s">
        <v>592</v>
      </c>
      <c r="AQ92">
        <f>63*AM92/100</f>
        <v>31.134599999999999</v>
      </c>
      <c r="AR92" t="s">
        <v>629</v>
      </c>
      <c r="AT92">
        <v>27.59</v>
      </c>
      <c r="AV92" t="s">
        <v>629</v>
      </c>
      <c r="AX92">
        <f>63*Supplementary_Fig7!AM92/100</f>
        <v>0</v>
      </c>
      <c r="AZ92" t="s">
        <v>612</v>
      </c>
      <c r="BA92">
        <v>91.64</v>
      </c>
      <c r="BB92" t="s">
        <v>598</v>
      </c>
      <c r="BC92">
        <v>107.63</v>
      </c>
      <c r="BD92" t="s">
        <v>629</v>
      </c>
      <c r="BE92">
        <v>112.39</v>
      </c>
      <c r="BG92" t="s">
        <v>612</v>
      </c>
      <c r="BH92">
        <v>2.81</v>
      </c>
      <c r="BI92" t="s">
        <v>598</v>
      </c>
      <c r="BJ92">
        <v>1.46</v>
      </c>
      <c r="BK92" t="s">
        <v>629</v>
      </c>
      <c r="BL92">
        <v>1.49</v>
      </c>
      <c r="BN92" t="s">
        <v>624</v>
      </c>
      <c r="BO92">
        <v>205.43</v>
      </c>
      <c r="BP92" t="s">
        <v>598</v>
      </c>
      <c r="BQ92">
        <v>346.459</v>
      </c>
      <c r="BR92" t="s">
        <v>629</v>
      </c>
      <c r="BS92">
        <v>280.15899999999999</v>
      </c>
    </row>
    <row r="93" spans="1:71" x14ac:dyDescent="0.35">
      <c r="A93" t="s">
        <v>630</v>
      </c>
      <c r="B93">
        <v>330.8</v>
      </c>
      <c r="C93" t="s">
        <v>631</v>
      </c>
      <c r="D93">
        <v>294.12</v>
      </c>
      <c r="E93" t="s">
        <v>632</v>
      </c>
      <c r="F93">
        <v>191.95</v>
      </c>
      <c r="H93" t="s">
        <v>615</v>
      </c>
      <c r="I93">
        <v>-52.02</v>
      </c>
      <c r="J93" t="s">
        <v>631</v>
      </c>
      <c r="K93">
        <v>-68.569999999999993</v>
      </c>
      <c r="L93" t="s">
        <v>632</v>
      </c>
      <c r="M93">
        <v>-60.65</v>
      </c>
      <c r="Q93" t="s">
        <v>631</v>
      </c>
      <c r="R93">
        <v>-41.633400000000002</v>
      </c>
      <c r="S93" t="s">
        <v>638</v>
      </c>
      <c r="T93">
        <v>-40.4602</v>
      </c>
      <c r="V93" t="s">
        <v>618</v>
      </c>
      <c r="W93">
        <v>11.63</v>
      </c>
      <c r="X93" t="s">
        <v>631</v>
      </c>
      <c r="Y93">
        <v>26.936599999999999</v>
      </c>
      <c r="Z93" t="s">
        <v>638</v>
      </c>
      <c r="AA93">
        <v>24.3398</v>
      </c>
      <c r="AD93" t="s">
        <v>618</v>
      </c>
      <c r="AF93">
        <v>62.02</v>
      </c>
      <c r="AH93" t="s">
        <v>618</v>
      </c>
      <c r="AJ93">
        <f>63*AF93/100</f>
        <v>39.072600000000001</v>
      </c>
      <c r="AK93" t="s">
        <v>595</v>
      </c>
      <c r="AM93">
        <v>73.66</v>
      </c>
      <c r="AO93" t="s">
        <v>595</v>
      </c>
      <c r="AQ93">
        <f>63*AM93/100</f>
        <v>46.405799999999999</v>
      </c>
      <c r="AR93" t="s">
        <v>632</v>
      </c>
      <c r="AT93">
        <v>53.48</v>
      </c>
      <c r="AV93" t="s">
        <v>632</v>
      </c>
      <c r="AX93">
        <f>63*Supplementary_Fig7!AM93/100</f>
        <v>0</v>
      </c>
      <c r="AZ93" t="s">
        <v>615</v>
      </c>
      <c r="BA93">
        <v>81.45</v>
      </c>
      <c r="BB93" t="s">
        <v>601</v>
      </c>
      <c r="BC93">
        <v>96.86</v>
      </c>
      <c r="BD93" t="s">
        <v>632</v>
      </c>
      <c r="BE93">
        <v>116.35</v>
      </c>
      <c r="BG93" t="s">
        <v>615</v>
      </c>
      <c r="BH93">
        <v>1.47</v>
      </c>
      <c r="BI93" t="s">
        <v>601</v>
      </c>
      <c r="BJ93">
        <v>1.63</v>
      </c>
      <c r="BK93" t="s">
        <v>632</v>
      </c>
      <c r="BL93">
        <v>1.33</v>
      </c>
      <c r="BN93" t="s">
        <v>627</v>
      </c>
      <c r="BO93">
        <v>233.31299999999999</v>
      </c>
      <c r="BP93" t="s">
        <v>601</v>
      </c>
      <c r="BQ93">
        <v>281.56299999999999</v>
      </c>
      <c r="BR93" t="s">
        <v>632</v>
      </c>
      <c r="BS93">
        <v>395.72699999999998</v>
      </c>
    </row>
    <row r="94" spans="1:71" ht="13.15" x14ac:dyDescent="0.4">
      <c r="A94" t="s">
        <v>633</v>
      </c>
      <c r="B94">
        <v>552.4</v>
      </c>
      <c r="C94" t="s">
        <v>634</v>
      </c>
      <c r="D94">
        <v>286.35000000000002</v>
      </c>
      <c r="E94" t="s">
        <v>635</v>
      </c>
      <c r="F94">
        <v>203.77</v>
      </c>
      <c r="H94" t="s">
        <v>618</v>
      </c>
      <c r="I94">
        <v>-49.17</v>
      </c>
      <c r="J94" t="s">
        <v>634</v>
      </c>
      <c r="K94">
        <v>-55.95</v>
      </c>
      <c r="L94" t="s">
        <v>635</v>
      </c>
      <c r="M94">
        <v>-68.37</v>
      </c>
      <c r="Q94" t="s">
        <v>634</v>
      </c>
      <c r="R94">
        <v>-38.317100000000003</v>
      </c>
      <c r="S94" t="s">
        <v>397</v>
      </c>
      <c r="T94" s="1">
        <f>AVERAGE(T5:T93)</f>
        <v>-41.285495505617973</v>
      </c>
      <c r="V94" t="s">
        <v>621</v>
      </c>
      <c r="W94">
        <v>16.309999999999999</v>
      </c>
      <c r="X94" t="s">
        <v>634</v>
      </c>
      <c r="Y94">
        <v>17.632899999999999</v>
      </c>
      <c r="Z94" t="s">
        <v>397</v>
      </c>
      <c r="AA94" s="1">
        <f>AVERAGE(AA5:AA93)</f>
        <v>19.716414606741576</v>
      </c>
      <c r="AD94" t="s">
        <v>621</v>
      </c>
      <c r="AE94">
        <v>59.23</v>
      </c>
      <c r="AH94" t="s">
        <v>621</v>
      </c>
      <c r="AI94">
        <f t="shared" ref="AI94:AI99" si="8">63*AE94/100</f>
        <v>37.314899999999994</v>
      </c>
      <c r="AK94" t="s">
        <v>598</v>
      </c>
      <c r="AL94">
        <v>74.52</v>
      </c>
      <c r="AO94" t="s">
        <v>598</v>
      </c>
      <c r="AP94">
        <f>63*AL94/100</f>
        <v>46.947599999999994</v>
      </c>
      <c r="AR94" t="s">
        <v>635</v>
      </c>
      <c r="AT94">
        <v>53.06</v>
      </c>
      <c r="AV94" t="s">
        <v>635</v>
      </c>
      <c r="AX94">
        <f>63*Supplementary_Fig7!AM94/100</f>
        <v>0</v>
      </c>
      <c r="AZ94" t="s">
        <v>618</v>
      </c>
      <c r="BA94">
        <v>87.18</v>
      </c>
      <c r="BB94" t="s">
        <v>604</v>
      </c>
      <c r="BC94">
        <v>113.5</v>
      </c>
      <c r="BD94" t="s">
        <v>635</v>
      </c>
      <c r="BE94">
        <v>127.02</v>
      </c>
      <c r="BG94" t="s">
        <v>618</v>
      </c>
      <c r="BH94">
        <v>1.64</v>
      </c>
      <c r="BI94" t="s">
        <v>604</v>
      </c>
      <c r="BJ94">
        <v>1.52</v>
      </c>
      <c r="BK94" t="s">
        <v>635</v>
      </c>
      <c r="BL94">
        <v>1.333</v>
      </c>
      <c r="BN94" t="s">
        <v>630</v>
      </c>
      <c r="BO94">
        <v>97.252700000000004</v>
      </c>
      <c r="BP94" t="s">
        <v>604</v>
      </c>
      <c r="BQ94">
        <v>320.024</v>
      </c>
      <c r="BR94" t="s">
        <v>635</v>
      </c>
      <c r="BS94">
        <v>420.988</v>
      </c>
    </row>
    <row r="95" spans="1:71" ht="13.15" x14ac:dyDescent="0.4">
      <c r="A95" t="s">
        <v>636</v>
      </c>
      <c r="B95">
        <v>871</v>
      </c>
      <c r="C95" t="s">
        <v>637</v>
      </c>
      <c r="D95">
        <v>330.1</v>
      </c>
      <c r="E95" t="s">
        <v>638</v>
      </c>
      <c r="F95">
        <v>332.57</v>
      </c>
      <c r="H95" t="s">
        <v>621</v>
      </c>
      <c r="I95">
        <v>-54.91</v>
      </c>
      <c r="J95" t="s">
        <v>637</v>
      </c>
      <c r="K95">
        <v>-52.78</v>
      </c>
      <c r="L95" t="s">
        <v>638</v>
      </c>
      <c r="M95">
        <v>-64.8</v>
      </c>
      <c r="Q95" t="s">
        <v>637</v>
      </c>
      <c r="R95">
        <v>-39.720100000000002</v>
      </c>
      <c r="S95" t="s">
        <v>281</v>
      </c>
      <c r="T95" s="1">
        <f>STDEV(T5:T93)</f>
        <v>4.8775831820853837</v>
      </c>
      <c r="V95" t="s">
        <v>624</v>
      </c>
      <c r="W95">
        <v>11.21</v>
      </c>
      <c r="X95" t="s">
        <v>637</v>
      </c>
      <c r="Y95">
        <v>13.059900000000001</v>
      </c>
      <c r="Z95" t="s">
        <v>281</v>
      </c>
      <c r="AA95" s="1">
        <f>STDEV(AA5:AA93)</f>
        <v>8.1327473519596598</v>
      </c>
      <c r="AD95" t="s">
        <v>624</v>
      </c>
      <c r="AE95">
        <v>70.84</v>
      </c>
      <c r="AH95" t="s">
        <v>624</v>
      </c>
      <c r="AI95">
        <f t="shared" si="8"/>
        <v>44.629199999999997</v>
      </c>
      <c r="AK95" t="s">
        <v>601</v>
      </c>
      <c r="AM95">
        <v>101.6</v>
      </c>
      <c r="AO95" t="s">
        <v>601</v>
      </c>
      <c r="AQ95">
        <f>63*AM95/100</f>
        <v>64.007999999999996</v>
      </c>
      <c r="AR95" t="s">
        <v>638</v>
      </c>
      <c r="AT95">
        <v>69.55</v>
      </c>
      <c r="AV95" t="s">
        <v>638</v>
      </c>
      <c r="AX95">
        <f>63*Supplementary_Fig7!AM95/100</f>
        <v>0</v>
      </c>
      <c r="AZ95" t="s">
        <v>621</v>
      </c>
      <c r="BA95">
        <v>80.28</v>
      </c>
      <c r="BB95" t="s">
        <v>607</v>
      </c>
      <c r="BC95">
        <v>94.12</v>
      </c>
      <c r="BD95" t="s">
        <v>638</v>
      </c>
      <c r="BE95">
        <v>88.513000000000005</v>
      </c>
      <c r="BG95" t="s">
        <v>621</v>
      </c>
      <c r="BH95">
        <v>2.5</v>
      </c>
      <c r="BI95" t="s">
        <v>607</v>
      </c>
      <c r="BJ95">
        <v>1.52</v>
      </c>
      <c r="BK95" t="s">
        <v>638</v>
      </c>
      <c r="BL95">
        <v>1.91</v>
      </c>
      <c r="BN95" t="s">
        <v>633</v>
      </c>
      <c r="BO95">
        <v>310.62299999999999</v>
      </c>
      <c r="BP95" t="s">
        <v>607</v>
      </c>
      <c r="BQ95">
        <v>365.52800000000002</v>
      </c>
      <c r="BR95" t="s">
        <v>638</v>
      </c>
      <c r="BS95">
        <v>172.84899999999999</v>
      </c>
    </row>
    <row r="96" spans="1:71" ht="13.15" x14ac:dyDescent="0.4">
      <c r="A96" t="s">
        <v>639</v>
      </c>
      <c r="B96">
        <v>638.29999999999995</v>
      </c>
      <c r="C96" t="s">
        <v>640</v>
      </c>
      <c r="D96">
        <v>255.57</v>
      </c>
      <c r="E96" t="s">
        <v>397</v>
      </c>
      <c r="F96" s="1">
        <f>AVERAGE(F5:F95)</f>
        <v>183.75219780219788</v>
      </c>
      <c r="H96" t="s">
        <v>624</v>
      </c>
      <c r="I96">
        <v>-51.94</v>
      </c>
      <c r="J96" t="s">
        <v>640</v>
      </c>
      <c r="K96">
        <v>-63.22</v>
      </c>
      <c r="L96" t="s">
        <v>744</v>
      </c>
      <c r="M96" s="1">
        <f>AVERAGE(M5:M95)</f>
        <v>-61.080989010989029</v>
      </c>
      <c r="Q96" t="s">
        <v>640</v>
      </c>
      <c r="R96">
        <v>-43.528700000000001</v>
      </c>
      <c r="S96" t="s">
        <v>284</v>
      </c>
      <c r="T96" s="1">
        <f>T95/SQRT(89)</f>
        <v>0.51702278325651818</v>
      </c>
      <c r="V96" t="s">
        <v>627</v>
      </c>
      <c r="W96">
        <v>20.220300000000002</v>
      </c>
      <c r="X96" t="s">
        <v>640</v>
      </c>
      <c r="Y96">
        <v>19.691299999999998</v>
      </c>
      <c r="Z96" t="s">
        <v>284</v>
      </c>
      <c r="AA96" s="1">
        <f>AA95/SQRT(89)</f>
        <v>0.86206949517045783</v>
      </c>
      <c r="AD96" t="s">
        <v>627</v>
      </c>
      <c r="AE96">
        <v>87.16</v>
      </c>
      <c r="AH96" t="s">
        <v>627</v>
      </c>
      <c r="AI96">
        <f t="shared" si="8"/>
        <v>54.910800000000002</v>
      </c>
      <c r="AK96" t="s">
        <v>604</v>
      </c>
      <c r="AL96">
        <v>80.28</v>
      </c>
      <c r="AO96" t="s">
        <v>604</v>
      </c>
      <c r="AP96">
        <f>63*AL96/100</f>
        <v>50.576400000000007</v>
      </c>
      <c r="AR96" t="s">
        <v>260</v>
      </c>
      <c r="AT96">
        <v>52.85</v>
      </c>
      <c r="AV96" t="s">
        <v>260</v>
      </c>
      <c r="AX96">
        <f>63*Supplementary_Fig7!AM96/100</f>
        <v>0</v>
      </c>
      <c r="AZ96" t="s">
        <v>624</v>
      </c>
      <c r="BA96">
        <v>94.64</v>
      </c>
      <c r="BB96" t="s">
        <v>610</v>
      </c>
      <c r="BC96">
        <v>102.64</v>
      </c>
      <c r="BD96" t="s">
        <v>1069</v>
      </c>
      <c r="BE96">
        <v>93.96</v>
      </c>
      <c r="BG96" t="s">
        <v>624</v>
      </c>
      <c r="BH96">
        <v>1.56</v>
      </c>
      <c r="BI96" t="s">
        <v>610</v>
      </c>
      <c r="BJ96">
        <v>1.26</v>
      </c>
      <c r="BK96" t="s">
        <v>1069</v>
      </c>
      <c r="BL96">
        <v>1.34</v>
      </c>
      <c r="BN96" t="s">
        <v>636</v>
      </c>
      <c r="BO96">
        <v>125.214</v>
      </c>
      <c r="BP96" t="s">
        <v>610</v>
      </c>
      <c r="BQ96">
        <v>383.15</v>
      </c>
      <c r="BR96" t="s">
        <v>260</v>
      </c>
      <c r="BS96">
        <v>256.49799999999999</v>
      </c>
    </row>
    <row r="97" spans="1:71" ht="13.15" x14ac:dyDescent="0.4">
      <c r="A97" t="s">
        <v>641</v>
      </c>
      <c r="B97">
        <v>591.4</v>
      </c>
      <c r="C97" t="s">
        <v>642</v>
      </c>
      <c r="D97">
        <v>294.57</v>
      </c>
      <c r="E97" t="s">
        <v>281</v>
      </c>
      <c r="F97" s="1">
        <f>STDEV(F5:F95)</f>
        <v>63.057951790435283</v>
      </c>
      <c r="H97" t="s">
        <v>627</v>
      </c>
      <c r="I97">
        <v>-57.38</v>
      </c>
      <c r="J97" t="s">
        <v>642</v>
      </c>
      <c r="K97">
        <v>-65.959999999999994</v>
      </c>
      <c r="L97" t="s">
        <v>281</v>
      </c>
      <c r="M97" s="1">
        <f>STDEV(M5:M95)</f>
        <v>6.6386369174777364</v>
      </c>
      <c r="Q97" t="s">
        <v>642</v>
      </c>
      <c r="R97">
        <v>-37.427500000000002</v>
      </c>
      <c r="V97" t="s">
        <v>630</v>
      </c>
      <c r="W97">
        <v>18.806000000000001</v>
      </c>
      <c r="X97" t="s">
        <v>642</v>
      </c>
      <c r="Y97">
        <v>28.532499999999999</v>
      </c>
      <c r="AD97" t="s">
        <v>630</v>
      </c>
      <c r="AE97">
        <v>75.08</v>
      </c>
      <c r="AH97" t="s">
        <v>630</v>
      </c>
      <c r="AI97">
        <f t="shared" si="8"/>
        <v>47.300399999999996</v>
      </c>
      <c r="AK97" t="s">
        <v>607</v>
      </c>
      <c r="AM97">
        <v>79.239999999999995</v>
      </c>
      <c r="AO97" t="s">
        <v>607</v>
      </c>
      <c r="AQ97">
        <f t="shared" ref="AQ97:AQ102" si="9">63*AM97/100</f>
        <v>49.921199999999999</v>
      </c>
      <c r="AR97" t="s">
        <v>264</v>
      </c>
      <c r="AT97">
        <v>31.63</v>
      </c>
      <c r="AV97" t="s">
        <v>264</v>
      </c>
      <c r="AX97">
        <f>63*Supplementary_Fig7!AM97/100</f>
        <v>0</v>
      </c>
      <c r="AZ97" t="s">
        <v>627</v>
      </c>
      <c r="BA97">
        <v>86.26</v>
      </c>
      <c r="BB97" t="s">
        <v>613</v>
      </c>
      <c r="BC97">
        <v>97</v>
      </c>
      <c r="BD97" t="s">
        <v>1070</v>
      </c>
      <c r="BE97">
        <v>110.97</v>
      </c>
      <c r="BG97" t="s">
        <v>627</v>
      </c>
      <c r="BH97">
        <v>1.56</v>
      </c>
      <c r="BI97" t="s">
        <v>613</v>
      </c>
      <c r="BJ97">
        <v>1.409</v>
      </c>
      <c r="BK97" t="s">
        <v>1070</v>
      </c>
      <c r="BL97">
        <v>1.1399999999999999</v>
      </c>
      <c r="BN97" t="s">
        <v>639</v>
      </c>
      <c r="BO97">
        <v>85.600999999999999</v>
      </c>
      <c r="BP97" t="s">
        <v>613</v>
      </c>
      <c r="BQ97">
        <v>336.85199999999998</v>
      </c>
      <c r="BR97" t="s">
        <v>264</v>
      </c>
      <c r="BS97">
        <v>307.99299999999999</v>
      </c>
    </row>
    <row r="98" spans="1:71" ht="13.15" x14ac:dyDescent="0.4">
      <c r="A98" t="s">
        <v>643</v>
      </c>
      <c r="B98">
        <v>614.17999999999995</v>
      </c>
      <c r="C98" t="s">
        <v>644</v>
      </c>
      <c r="D98">
        <v>250.7</v>
      </c>
      <c r="E98" t="s">
        <v>284</v>
      </c>
      <c r="F98" s="1">
        <f>F97/SQRT(91)</f>
        <v>6.6102694696655044</v>
      </c>
      <c r="H98" t="s">
        <v>630</v>
      </c>
      <c r="I98">
        <v>-56.48</v>
      </c>
      <c r="J98" t="s">
        <v>644</v>
      </c>
      <c r="K98">
        <v>-67.73</v>
      </c>
      <c r="L98" t="s">
        <v>284</v>
      </c>
      <c r="M98" s="1">
        <f>M97/SQRT(91)</f>
        <v>0.69591824170942485</v>
      </c>
      <c r="Q98" t="s">
        <v>644</v>
      </c>
      <c r="R98">
        <v>-53.852800000000002</v>
      </c>
      <c r="V98" t="s">
        <v>633</v>
      </c>
      <c r="W98">
        <v>26.512599999999999</v>
      </c>
      <c r="X98" t="s">
        <v>644</v>
      </c>
      <c r="Y98">
        <v>13.8772</v>
      </c>
      <c r="AD98" t="s">
        <v>633</v>
      </c>
      <c r="AE98">
        <v>66.83</v>
      </c>
      <c r="AH98" t="s">
        <v>633</v>
      </c>
      <c r="AI98">
        <f t="shared" si="8"/>
        <v>42.102899999999998</v>
      </c>
      <c r="AK98" t="s">
        <v>610</v>
      </c>
      <c r="AM98">
        <v>76.12</v>
      </c>
      <c r="AO98" t="s">
        <v>610</v>
      </c>
      <c r="AQ98">
        <f t="shared" si="9"/>
        <v>47.955600000000004</v>
      </c>
      <c r="AR98" t="s">
        <v>266</v>
      </c>
      <c r="AS98">
        <v>62.15</v>
      </c>
      <c r="AV98" t="s">
        <v>266</v>
      </c>
      <c r="AW98">
        <f>63*Supplementary_Fig7!AL98/100</f>
        <v>0</v>
      </c>
      <c r="AZ98" t="s">
        <v>630</v>
      </c>
      <c r="BA98">
        <v>74.010000000000005</v>
      </c>
      <c r="BB98" t="s">
        <v>616</v>
      </c>
      <c r="BC98">
        <v>98.4</v>
      </c>
      <c r="BD98" t="s">
        <v>1071</v>
      </c>
      <c r="BE98">
        <v>130.94</v>
      </c>
      <c r="BG98" t="s">
        <v>630</v>
      </c>
      <c r="BH98">
        <v>2.54</v>
      </c>
      <c r="BI98" t="s">
        <v>616</v>
      </c>
      <c r="BJ98">
        <v>1.9</v>
      </c>
      <c r="BK98" t="s">
        <v>1071</v>
      </c>
      <c r="BL98">
        <v>1.37</v>
      </c>
      <c r="BN98" t="s">
        <v>641</v>
      </c>
      <c r="BO98">
        <v>210.738</v>
      </c>
      <c r="BP98" t="s">
        <v>616</v>
      </c>
      <c r="BQ98">
        <v>210.989</v>
      </c>
      <c r="BR98" t="s">
        <v>266</v>
      </c>
      <c r="BS98">
        <v>306.34899999999999</v>
      </c>
    </row>
    <row r="99" spans="1:71" x14ac:dyDescent="0.35">
      <c r="A99" t="s">
        <v>645</v>
      </c>
      <c r="B99">
        <v>437.4</v>
      </c>
      <c r="C99" t="s">
        <v>646</v>
      </c>
      <c r="D99">
        <v>415.02</v>
      </c>
      <c r="H99" t="s">
        <v>633</v>
      </c>
      <c r="I99">
        <v>-62.18</v>
      </c>
      <c r="J99" t="s">
        <v>646</v>
      </c>
      <c r="K99">
        <v>-61.58</v>
      </c>
      <c r="Q99" t="s">
        <v>646</v>
      </c>
      <c r="R99">
        <v>-33.436599999999999</v>
      </c>
      <c r="V99" t="s">
        <v>636</v>
      </c>
      <c r="W99">
        <v>23.414200000000001</v>
      </c>
      <c r="X99" t="s">
        <v>646</v>
      </c>
      <c r="Y99">
        <v>28.1434</v>
      </c>
      <c r="AD99" t="s">
        <v>636</v>
      </c>
      <c r="AE99">
        <v>77.39</v>
      </c>
      <c r="AH99" t="s">
        <v>636</v>
      </c>
      <c r="AI99">
        <f t="shared" si="8"/>
        <v>48.755699999999997</v>
      </c>
      <c r="AK99" t="s">
        <v>613</v>
      </c>
      <c r="AM99">
        <v>73.55</v>
      </c>
      <c r="AO99" t="s">
        <v>613</v>
      </c>
      <c r="AQ99">
        <f t="shared" si="9"/>
        <v>46.336499999999994</v>
      </c>
      <c r="AR99" t="s">
        <v>269</v>
      </c>
      <c r="AS99">
        <v>49.12</v>
      </c>
      <c r="AV99" t="s">
        <v>269</v>
      </c>
      <c r="AW99">
        <f>63*Supplementary_Fig7!AL99/100</f>
        <v>0</v>
      </c>
      <c r="AZ99" t="s">
        <v>633</v>
      </c>
      <c r="BA99">
        <v>87.98</v>
      </c>
      <c r="BB99" t="s">
        <v>619</v>
      </c>
      <c r="BC99">
        <v>102.05</v>
      </c>
      <c r="BD99" t="s">
        <v>1072</v>
      </c>
      <c r="BE99">
        <v>96.78</v>
      </c>
      <c r="BG99" t="s">
        <v>633</v>
      </c>
      <c r="BH99">
        <v>1.47</v>
      </c>
      <c r="BI99" t="s">
        <v>619</v>
      </c>
      <c r="BJ99">
        <v>1.61</v>
      </c>
      <c r="BK99" t="s">
        <v>1072</v>
      </c>
      <c r="BL99">
        <v>1.55</v>
      </c>
      <c r="BN99" t="s">
        <v>643</v>
      </c>
      <c r="BO99">
        <v>116.901</v>
      </c>
      <c r="BP99" t="s">
        <v>619</v>
      </c>
      <c r="BQ99">
        <v>261.53800000000001</v>
      </c>
      <c r="BR99" t="s">
        <v>269</v>
      </c>
      <c r="BS99">
        <v>222.12700000000001</v>
      </c>
    </row>
    <row r="100" spans="1:71" x14ac:dyDescent="0.35">
      <c r="A100" t="s">
        <v>647</v>
      </c>
      <c r="B100">
        <v>400.56</v>
      </c>
      <c r="C100" t="s">
        <v>648</v>
      </c>
      <c r="D100">
        <v>333.75</v>
      </c>
      <c r="H100" t="s">
        <v>636</v>
      </c>
      <c r="I100">
        <v>-58.9</v>
      </c>
      <c r="J100" t="s">
        <v>648</v>
      </c>
      <c r="K100">
        <v>-65.7</v>
      </c>
      <c r="Q100" t="s">
        <v>648</v>
      </c>
      <c r="R100">
        <v>-43.9499</v>
      </c>
      <c r="V100" t="s">
        <v>639</v>
      </c>
      <c r="W100">
        <v>17.911200000000001</v>
      </c>
      <c r="X100" t="s">
        <v>648</v>
      </c>
      <c r="Y100">
        <v>21.7501</v>
      </c>
      <c r="AD100" t="s">
        <v>639</v>
      </c>
      <c r="AF100">
        <v>62.8</v>
      </c>
      <c r="AH100" t="s">
        <v>639</v>
      </c>
      <c r="AJ100">
        <f>63*AF100/100</f>
        <v>39.563999999999993</v>
      </c>
      <c r="AK100" t="s">
        <v>616</v>
      </c>
      <c r="AM100">
        <v>71.790000000000006</v>
      </c>
      <c r="AO100" t="s">
        <v>616</v>
      </c>
      <c r="AQ100">
        <f t="shared" si="9"/>
        <v>45.227700000000006</v>
      </c>
      <c r="AR100" t="s">
        <v>272</v>
      </c>
      <c r="AV100" t="s">
        <v>272</v>
      </c>
      <c r="AZ100" t="s">
        <v>636</v>
      </c>
      <c r="BA100">
        <v>68.209999999999994</v>
      </c>
      <c r="BB100" t="s">
        <v>622</v>
      </c>
      <c r="BC100">
        <v>114.3</v>
      </c>
      <c r="BD100" t="s">
        <v>1073</v>
      </c>
      <c r="BE100">
        <v>100.29</v>
      </c>
      <c r="BG100" t="s">
        <v>636</v>
      </c>
      <c r="BH100">
        <v>2.6</v>
      </c>
      <c r="BI100" t="s">
        <v>622</v>
      </c>
      <c r="BJ100">
        <v>1.45</v>
      </c>
      <c r="BK100" t="s">
        <v>1073</v>
      </c>
      <c r="BL100">
        <v>1.28</v>
      </c>
      <c r="BN100" t="s">
        <v>645</v>
      </c>
      <c r="BO100">
        <v>207.322</v>
      </c>
      <c r="BP100" t="s">
        <v>622</v>
      </c>
      <c r="BQ100">
        <v>368.39499999999998</v>
      </c>
      <c r="BR100" t="s">
        <v>272</v>
      </c>
      <c r="BS100">
        <v>298.59699999999998</v>
      </c>
    </row>
    <row r="101" spans="1:71" x14ac:dyDescent="0.35">
      <c r="A101" t="s">
        <v>649</v>
      </c>
      <c r="B101">
        <v>715.9</v>
      </c>
      <c r="C101" t="s">
        <v>650</v>
      </c>
      <c r="D101">
        <v>431.13</v>
      </c>
      <c r="H101" t="s">
        <v>639</v>
      </c>
      <c r="I101">
        <v>-48</v>
      </c>
      <c r="J101" t="s">
        <v>650</v>
      </c>
      <c r="K101">
        <v>-60.7</v>
      </c>
      <c r="Q101" t="s">
        <v>650</v>
      </c>
      <c r="R101">
        <v>-47.88</v>
      </c>
      <c r="V101" t="s">
        <v>641</v>
      </c>
      <c r="W101">
        <v>12.303900000000001</v>
      </c>
      <c r="X101" t="s">
        <v>650</v>
      </c>
      <c r="Y101">
        <v>12.82</v>
      </c>
      <c r="AD101" t="s">
        <v>641</v>
      </c>
      <c r="AF101">
        <v>59.19</v>
      </c>
      <c r="AH101" t="s">
        <v>641</v>
      </c>
      <c r="AJ101">
        <f>63*AF101/100</f>
        <v>37.289699999999996</v>
      </c>
      <c r="AK101" t="s">
        <v>619</v>
      </c>
      <c r="AM101">
        <v>63.98</v>
      </c>
      <c r="AO101" t="s">
        <v>619</v>
      </c>
      <c r="AQ101">
        <f t="shared" si="9"/>
        <v>40.307400000000001</v>
      </c>
      <c r="AR101" t="s">
        <v>274</v>
      </c>
      <c r="AT101">
        <v>36.659999999999997</v>
      </c>
      <c r="AV101" t="s">
        <v>274</v>
      </c>
      <c r="AX101">
        <f>63*Supplementary_Fig7!AM101/100</f>
        <v>0</v>
      </c>
      <c r="AZ101" t="s">
        <v>639</v>
      </c>
      <c r="BA101">
        <v>75.72</v>
      </c>
      <c r="BB101" t="s">
        <v>625</v>
      </c>
      <c r="BC101">
        <v>101.47</v>
      </c>
      <c r="BD101" t="s">
        <v>1074</v>
      </c>
      <c r="BE101">
        <v>97.71</v>
      </c>
      <c r="BG101" t="s">
        <v>639</v>
      </c>
      <c r="BH101">
        <v>3.01</v>
      </c>
      <c r="BI101" t="s">
        <v>625</v>
      </c>
      <c r="BJ101">
        <v>1.4</v>
      </c>
      <c r="BK101" t="s">
        <v>1074</v>
      </c>
      <c r="BL101">
        <v>1.47</v>
      </c>
      <c r="BN101" t="s">
        <v>647</v>
      </c>
      <c r="BO101">
        <v>148.41300000000001</v>
      </c>
      <c r="BP101" t="s">
        <v>625</v>
      </c>
      <c r="BQ101">
        <v>276.99799999999999</v>
      </c>
      <c r="BR101" t="s">
        <v>274</v>
      </c>
      <c r="BS101">
        <v>353.05200000000002</v>
      </c>
    </row>
    <row r="102" spans="1:71" x14ac:dyDescent="0.35">
      <c r="A102" t="s">
        <v>651</v>
      </c>
      <c r="B102">
        <v>450.7</v>
      </c>
      <c r="C102" t="s">
        <v>652</v>
      </c>
      <c r="D102">
        <v>412.63</v>
      </c>
      <c r="H102" t="s">
        <v>641</v>
      </c>
      <c r="I102">
        <v>-49.16</v>
      </c>
      <c r="J102" t="s">
        <v>652</v>
      </c>
      <c r="K102">
        <v>-54.89</v>
      </c>
      <c r="Q102" t="s">
        <v>652</v>
      </c>
      <c r="R102">
        <v>-45.169800000000002</v>
      </c>
      <c r="V102" t="s">
        <v>643</v>
      </c>
      <c r="W102">
        <v>24.620100000000001</v>
      </c>
      <c r="X102" t="s">
        <v>652</v>
      </c>
      <c r="Y102">
        <v>9.7202000000000002</v>
      </c>
      <c r="AD102" t="s">
        <v>643</v>
      </c>
      <c r="AF102">
        <v>53.03</v>
      </c>
      <c r="AH102" t="s">
        <v>643</v>
      </c>
      <c r="AJ102">
        <f>63*AF102/100</f>
        <v>33.408899999999996</v>
      </c>
      <c r="AK102" t="s">
        <v>622</v>
      </c>
      <c r="AM102">
        <v>73.260000000000005</v>
      </c>
      <c r="AO102" t="s">
        <v>622</v>
      </c>
      <c r="AQ102">
        <f t="shared" si="9"/>
        <v>46.153800000000004</v>
      </c>
      <c r="AR102" t="s">
        <v>296</v>
      </c>
      <c r="AT102">
        <v>31.92</v>
      </c>
      <c r="AV102" t="s">
        <v>296</v>
      </c>
      <c r="AX102">
        <f>63*Supplementary_Fig7!AM102/100</f>
        <v>0</v>
      </c>
      <c r="AZ102" t="s">
        <v>641</v>
      </c>
      <c r="BA102">
        <v>82.38</v>
      </c>
      <c r="BB102" t="s">
        <v>628</v>
      </c>
      <c r="BC102">
        <v>101.02</v>
      </c>
      <c r="BD102" t="s">
        <v>1075</v>
      </c>
      <c r="BE102">
        <v>95.4</v>
      </c>
      <c r="BG102" t="s">
        <v>641</v>
      </c>
      <c r="BH102">
        <v>1.36</v>
      </c>
      <c r="BI102" t="s">
        <v>628</v>
      </c>
      <c r="BJ102">
        <v>1.37</v>
      </c>
      <c r="BK102" t="s">
        <v>1075</v>
      </c>
      <c r="BL102">
        <v>1.57</v>
      </c>
      <c r="BN102" t="s">
        <v>649</v>
      </c>
      <c r="BO102">
        <v>208.18100000000001</v>
      </c>
      <c r="BP102" t="s">
        <v>628</v>
      </c>
      <c r="BQ102">
        <v>425.625</v>
      </c>
      <c r="BR102" t="s">
        <v>296</v>
      </c>
      <c r="BS102">
        <v>310.12799999999999</v>
      </c>
    </row>
    <row r="103" spans="1:71" x14ac:dyDescent="0.35">
      <c r="A103" t="s">
        <v>653</v>
      </c>
      <c r="B103">
        <v>600.6</v>
      </c>
      <c r="C103" t="s">
        <v>654</v>
      </c>
      <c r="D103">
        <v>449.1</v>
      </c>
      <c r="H103" t="s">
        <v>643</v>
      </c>
      <c r="I103">
        <v>-63.06</v>
      </c>
      <c r="J103" t="s">
        <v>654</v>
      </c>
      <c r="K103">
        <v>-65.400000000000006</v>
      </c>
      <c r="Q103" t="s">
        <v>654</v>
      </c>
      <c r="R103">
        <v>-41.965499999999999</v>
      </c>
      <c r="V103" t="s">
        <v>645</v>
      </c>
      <c r="W103">
        <v>17.429400000000001</v>
      </c>
      <c r="X103" t="s">
        <v>654</v>
      </c>
      <c r="Y103">
        <v>23.4345</v>
      </c>
      <c r="AD103" t="s">
        <v>645</v>
      </c>
      <c r="AE103">
        <v>69</v>
      </c>
      <c r="AH103" t="s">
        <v>645</v>
      </c>
      <c r="AI103">
        <f>63*AE103/100</f>
        <v>43.47</v>
      </c>
      <c r="AK103" t="s">
        <v>625</v>
      </c>
      <c r="AL103">
        <v>60</v>
      </c>
      <c r="AO103" t="s">
        <v>625</v>
      </c>
      <c r="AP103">
        <f>63*AL103/100</f>
        <v>37.799999999999997</v>
      </c>
      <c r="AR103" t="s">
        <v>276</v>
      </c>
      <c r="AT103">
        <v>34.380000000000003</v>
      </c>
      <c r="AV103" t="s">
        <v>276</v>
      </c>
      <c r="AX103">
        <f>63*Supplementary_Fig7!AM103/100</f>
        <v>0</v>
      </c>
      <c r="AZ103" t="s">
        <v>643</v>
      </c>
      <c r="BA103">
        <v>84.64</v>
      </c>
      <c r="BB103" t="s">
        <v>631</v>
      </c>
      <c r="BC103">
        <v>109.03</v>
      </c>
      <c r="BD103" t="s">
        <v>1076</v>
      </c>
      <c r="BE103">
        <v>92.38</v>
      </c>
      <c r="BG103" t="s">
        <v>643</v>
      </c>
      <c r="BH103">
        <v>2.67</v>
      </c>
      <c r="BI103" t="s">
        <v>631</v>
      </c>
      <c r="BJ103">
        <v>1.57</v>
      </c>
      <c r="BK103" t="s">
        <v>1076</v>
      </c>
      <c r="BL103">
        <v>1.62</v>
      </c>
      <c r="BN103" t="s">
        <v>745</v>
      </c>
      <c r="BO103">
        <v>358.97399999999999</v>
      </c>
      <c r="BP103" t="s">
        <v>631</v>
      </c>
      <c r="BQ103">
        <v>358.59800000000001</v>
      </c>
      <c r="BR103" t="s">
        <v>276</v>
      </c>
      <c r="BS103">
        <v>283.7</v>
      </c>
    </row>
    <row r="104" spans="1:71" x14ac:dyDescent="0.35">
      <c r="A104" t="s">
        <v>655</v>
      </c>
      <c r="B104">
        <v>429.72</v>
      </c>
      <c r="C104" t="s">
        <v>656</v>
      </c>
      <c r="D104">
        <v>452.5</v>
      </c>
      <c r="H104" t="s">
        <v>645</v>
      </c>
      <c r="I104">
        <v>-52.43</v>
      </c>
      <c r="J104" t="s">
        <v>656</v>
      </c>
      <c r="K104">
        <v>-65.709999999999994</v>
      </c>
      <c r="Q104" t="s">
        <v>656</v>
      </c>
      <c r="R104">
        <v>-42.775700000000001</v>
      </c>
      <c r="V104" t="s">
        <v>647</v>
      </c>
      <c r="W104">
        <v>8.3085000000000004</v>
      </c>
      <c r="X104" t="s">
        <v>656</v>
      </c>
      <c r="Y104">
        <v>22.9343</v>
      </c>
      <c r="AD104" t="s">
        <v>647</v>
      </c>
      <c r="AF104">
        <v>41.57</v>
      </c>
      <c r="AH104" t="s">
        <v>647</v>
      </c>
      <c r="AJ104">
        <f>63*AF104/100</f>
        <v>26.1891</v>
      </c>
      <c r="AK104" t="s">
        <v>628</v>
      </c>
      <c r="AL104">
        <v>53.42</v>
      </c>
      <c r="AO104" t="s">
        <v>628</v>
      </c>
      <c r="AP104">
        <f>63*AL104/100</f>
        <v>33.654600000000002</v>
      </c>
      <c r="AR104" t="s">
        <v>891</v>
      </c>
      <c r="AT104">
        <v>61.85</v>
      </c>
      <c r="AV104" t="s">
        <v>891</v>
      </c>
      <c r="AX104">
        <f>63*Supplementary_Fig7!AM104/100</f>
        <v>0</v>
      </c>
      <c r="AZ104" t="s">
        <v>645</v>
      </c>
      <c r="BA104">
        <v>80.88</v>
      </c>
      <c r="BB104" t="s">
        <v>634</v>
      </c>
      <c r="BC104">
        <v>107.2</v>
      </c>
      <c r="BD104" t="s">
        <v>1077</v>
      </c>
      <c r="BE104">
        <v>122.55</v>
      </c>
      <c r="BG104" t="s">
        <v>645</v>
      </c>
      <c r="BH104">
        <v>1.6080000000000001</v>
      </c>
      <c r="BI104" t="s">
        <v>634</v>
      </c>
      <c r="BJ104">
        <v>1.62</v>
      </c>
      <c r="BK104" t="s">
        <v>1077</v>
      </c>
      <c r="BL104">
        <v>1.5</v>
      </c>
      <c r="BN104" t="s">
        <v>651</v>
      </c>
      <c r="BO104">
        <v>173.01599999999999</v>
      </c>
      <c r="BP104" t="s">
        <v>634</v>
      </c>
      <c r="BQ104">
        <v>318.92599999999999</v>
      </c>
      <c r="BR104" t="s">
        <v>891</v>
      </c>
      <c r="BS104">
        <v>342.00200000000001</v>
      </c>
    </row>
    <row r="105" spans="1:71" x14ac:dyDescent="0.35">
      <c r="A105" t="s">
        <v>657</v>
      </c>
      <c r="B105">
        <v>348.32</v>
      </c>
      <c r="C105" t="s">
        <v>658</v>
      </c>
      <c r="D105">
        <v>481</v>
      </c>
      <c r="H105" t="s">
        <v>647</v>
      </c>
      <c r="I105">
        <v>-45.16</v>
      </c>
      <c r="J105" t="s">
        <v>658</v>
      </c>
      <c r="K105">
        <v>-66.87</v>
      </c>
      <c r="Q105" t="s">
        <v>658</v>
      </c>
      <c r="R105">
        <v>-45.541400000000003</v>
      </c>
      <c r="V105" t="s">
        <v>649</v>
      </c>
      <c r="W105">
        <v>10.884399999999999</v>
      </c>
      <c r="X105" t="s">
        <v>658</v>
      </c>
      <c r="Y105">
        <v>21.328600000000002</v>
      </c>
      <c r="AD105" t="s">
        <v>649</v>
      </c>
      <c r="AF105">
        <v>56.25</v>
      </c>
      <c r="AH105" t="s">
        <v>649</v>
      </c>
      <c r="AJ105">
        <f>63*AF105/100</f>
        <v>35.4375</v>
      </c>
      <c r="AK105" t="s">
        <v>631</v>
      </c>
      <c r="AL105">
        <v>71.569999999999993</v>
      </c>
      <c r="AO105" t="s">
        <v>631</v>
      </c>
      <c r="AP105">
        <f>63*AL105/100</f>
        <v>45.089100000000002</v>
      </c>
      <c r="AR105" t="s">
        <v>1083</v>
      </c>
      <c r="AS105">
        <v>66.64</v>
      </c>
      <c r="AV105" t="s">
        <v>1083</v>
      </c>
      <c r="AW105">
        <f>63*Supplementary_Fig7!AL105/100</f>
        <v>0</v>
      </c>
      <c r="AZ105" t="s">
        <v>647</v>
      </c>
      <c r="BA105">
        <v>76.260000000000005</v>
      </c>
      <c r="BB105" t="s">
        <v>637</v>
      </c>
      <c r="BC105">
        <v>107.94</v>
      </c>
      <c r="BD105" t="s">
        <v>1078</v>
      </c>
      <c r="BE105">
        <v>90.83</v>
      </c>
      <c r="BG105" t="s">
        <v>647</v>
      </c>
      <c r="BH105">
        <v>1.74</v>
      </c>
      <c r="BI105" t="s">
        <v>637</v>
      </c>
      <c r="BJ105">
        <v>1.47</v>
      </c>
      <c r="BK105" t="s">
        <v>1078</v>
      </c>
      <c r="BL105">
        <v>1.58</v>
      </c>
      <c r="BN105" t="s">
        <v>653</v>
      </c>
      <c r="BO105">
        <v>235.10400000000001</v>
      </c>
      <c r="BP105" t="s">
        <v>637</v>
      </c>
      <c r="BQ105">
        <v>403.53699999999998</v>
      </c>
      <c r="BR105" t="s">
        <v>1083</v>
      </c>
      <c r="BS105">
        <v>304.82299999999998</v>
      </c>
    </row>
    <row r="106" spans="1:71" x14ac:dyDescent="0.35">
      <c r="A106" t="s">
        <v>659</v>
      </c>
      <c r="B106">
        <v>352.25</v>
      </c>
      <c r="C106" t="s">
        <v>660</v>
      </c>
      <c r="D106">
        <v>397.3</v>
      </c>
      <c r="H106" t="s">
        <v>649</v>
      </c>
      <c r="I106">
        <v>-47.15</v>
      </c>
      <c r="J106" t="s">
        <v>660</v>
      </c>
      <c r="K106">
        <v>-66.739999999999995</v>
      </c>
      <c r="Q106" t="s">
        <v>660</v>
      </c>
      <c r="R106">
        <v>-46.9803</v>
      </c>
      <c r="V106" t="s">
        <v>745</v>
      </c>
      <c r="W106">
        <v>23.492599999999999</v>
      </c>
      <c r="X106" t="s">
        <v>660</v>
      </c>
      <c r="Y106">
        <v>19.759699999999999</v>
      </c>
      <c r="AD106" t="s">
        <v>745</v>
      </c>
      <c r="AH106" t="s">
        <v>745</v>
      </c>
      <c r="AK106" t="s">
        <v>634</v>
      </c>
      <c r="AM106">
        <v>78.06</v>
      </c>
      <c r="AO106" t="s">
        <v>634</v>
      </c>
      <c r="AQ106">
        <f>63*AM106/100</f>
        <v>49.177799999999998</v>
      </c>
      <c r="AR106" t="s">
        <v>892</v>
      </c>
      <c r="AS106">
        <v>41.45</v>
      </c>
      <c r="AV106" t="s">
        <v>892</v>
      </c>
      <c r="AW106">
        <f>63*Supplementary_Fig7!AL106/100</f>
        <v>0</v>
      </c>
      <c r="AZ106" t="s">
        <v>649</v>
      </c>
      <c r="BA106">
        <v>82.18</v>
      </c>
      <c r="BB106" t="s">
        <v>640</v>
      </c>
      <c r="BC106">
        <v>106.73</v>
      </c>
      <c r="BD106" t="s">
        <v>1079</v>
      </c>
      <c r="BE106">
        <v>99.2</v>
      </c>
      <c r="BG106" t="s">
        <v>649</v>
      </c>
      <c r="BH106">
        <v>1.46</v>
      </c>
      <c r="BI106" t="s">
        <v>640</v>
      </c>
      <c r="BJ106">
        <v>1.61</v>
      </c>
      <c r="BK106" t="s">
        <v>1079</v>
      </c>
      <c r="BL106">
        <v>1.65</v>
      </c>
      <c r="BN106" t="s">
        <v>655</v>
      </c>
      <c r="BO106">
        <v>331.38</v>
      </c>
      <c r="BP106" t="s">
        <v>640</v>
      </c>
      <c r="BQ106">
        <v>337.80500000000001</v>
      </c>
      <c r="BR106" t="s">
        <v>892</v>
      </c>
      <c r="BS106">
        <v>234.12700000000001</v>
      </c>
    </row>
    <row r="107" spans="1:71" x14ac:dyDescent="0.35">
      <c r="A107" t="s">
        <v>661</v>
      </c>
      <c r="B107">
        <v>424.6</v>
      </c>
      <c r="C107" t="s">
        <v>662</v>
      </c>
      <c r="D107">
        <v>519.6</v>
      </c>
      <c r="H107" t="s">
        <v>745</v>
      </c>
      <c r="I107">
        <v>-61.96</v>
      </c>
      <c r="J107" t="s">
        <v>662</v>
      </c>
      <c r="K107">
        <v>-60.63</v>
      </c>
      <c r="Q107" t="s">
        <v>662</v>
      </c>
      <c r="R107">
        <v>-46.777299999999997</v>
      </c>
      <c r="V107" t="s">
        <v>651</v>
      </c>
      <c r="W107">
        <v>18.100000000000001</v>
      </c>
      <c r="X107" t="s">
        <v>662</v>
      </c>
      <c r="Y107">
        <v>13.8527</v>
      </c>
      <c r="AD107" t="s">
        <v>651</v>
      </c>
      <c r="AE107">
        <v>72.86</v>
      </c>
      <c r="AH107" t="s">
        <v>651</v>
      </c>
      <c r="AI107">
        <f>63*AE107/100</f>
        <v>45.901800000000001</v>
      </c>
      <c r="AK107" t="s">
        <v>637</v>
      </c>
      <c r="AM107">
        <v>89.55</v>
      </c>
      <c r="AO107" t="s">
        <v>637</v>
      </c>
      <c r="AQ107">
        <f>63*AM107/100</f>
        <v>56.416499999999999</v>
      </c>
      <c r="AR107" t="s">
        <v>1084</v>
      </c>
      <c r="AS107">
        <v>71.209999999999994</v>
      </c>
      <c r="AV107" t="s">
        <v>1084</v>
      </c>
      <c r="AW107">
        <f>63*Supplementary_Fig7!AL107/100</f>
        <v>0</v>
      </c>
      <c r="AZ107" t="s">
        <v>745</v>
      </c>
      <c r="BA107">
        <v>98.97</v>
      </c>
      <c r="BB107" t="s">
        <v>642</v>
      </c>
      <c r="BC107">
        <v>119.36</v>
      </c>
      <c r="BD107" t="s">
        <v>1080</v>
      </c>
      <c r="BE107">
        <v>118.03</v>
      </c>
      <c r="BG107" t="s">
        <v>745</v>
      </c>
      <c r="BH107">
        <v>1.27</v>
      </c>
      <c r="BI107" t="s">
        <v>642</v>
      </c>
      <c r="BJ107">
        <v>1.52</v>
      </c>
      <c r="BK107" t="s">
        <v>1080</v>
      </c>
      <c r="BL107">
        <v>1.66</v>
      </c>
      <c r="BN107" t="s">
        <v>657</v>
      </c>
      <c r="BO107">
        <v>287.91899999999998</v>
      </c>
      <c r="BP107" t="s">
        <v>642</v>
      </c>
      <c r="BQ107">
        <v>281.50200000000001</v>
      </c>
      <c r="BR107" t="s">
        <v>1084</v>
      </c>
      <c r="BS107">
        <v>314.34699999999998</v>
      </c>
    </row>
    <row r="108" spans="1:71" x14ac:dyDescent="0.35">
      <c r="A108" t="s">
        <v>663</v>
      </c>
      <c r="B108">
        <v>237.82</v>
      </c>
      <c r="C108" t="s">
        <v>664</v>
      </c>
      <c r="D108">
        <v>264.55</v>
      </c>
      <c r="H108" t="s">
        <v>651</v>
      </c>
      <c r="I108">
        <v>-52.2</v>
      </c>
      <c r="J108" t="s">
        <v>664</v>
      </c>
      <c r="K108">
        <v>-73.23</v>
      </c>
      <c r="Q108" t="s">
        <v>664</v>
      </c>
      <c r="R108">
        <v>-50.422600000000003</v>
      </c>
      <c r="V108" t="s">
        <v>653</v>
      </c>
      <c r="W108">
        <v>29.73</v>
      </c>
      <c r="X108" t="s">
        <v>664</v>
      </c>
      <c r="Y108">
        <v>22.807400000000001</v>
      </c>
      <c r="AD108" t="s">
        <v>653</v>
      </c>
      <c r="AF108">
        <v>50.05</v>
      </c>
      <c r="AH108" t="s">
        <v>653</v>
      </c>
      <c r="AJ108">
        <f>63*AF108/100</f>
        <v>31.531499999999998</v>
      </c>
      <c r="AK108" t="s">
        <v>640</v>
      </c>
      <c r="AM108">
        <v>74.98</v>
      </c>
      <c r="AO108" t="s">
        <v>640</v>
      </c>
      <c r="AQ108">
        <f>63*AM108/100</f>
        <v>47.237400000000008</v>
      </c>
      <c r="AR108" t="s">
        <v>893</v>
      </c>
      <c r="AT108">
        <v>84.35</v>
      </c>
      <c r="AV108" t="s">
        <v>893</v>
      </c>
      <c r="AX108">
        <f>63*Supplementary_Fig7!AM108/100</f>
        <v>0</v>
      </c>
      <c r="AZ108" t="s">
        <v>651</v>
      </c>
      <c r="BA108">
        <v>74.84</v>
      </c>
      <c r="BB108" t="s">
        <v>644</v>
      </c>
      <c r="BC108">
        <v>121.8</v>
      </c>
      <c r="BD108" t="s">
        <v>1081</v>
      </c>
      <c r="BE108">
        <v>112.6</v>
      </c>
      <c r="BG108" t="s">
        <v>651</v>
      </c>
      <c r="BH108">
        <v>1.86</v>
      </c>
      <c r="BI108" t="s">
        <v>644</v>
      </c>
      <c r="BJ108">
        <v>1.33</v>
      </c>
      <c r="BK108" t="s">
        <v>1081</v>
      </c>
      <c r="BL108">
        <v>1.72</v>
      </c>
      <c r="BN108" t="s">
        <v>659</v>
      </c>
      <c r="BO108">
        <v>298.41300000000001</v>
      </c>
      <c r="BP108" t="s">
        <v>644</v>
      </c>
      <c r="BQ108">
        <v>442.91800000000001</v>
      </c>
      <c r="BR108" t="s">
        <v>893</v>
      </c>
      <c r="BS108">
        <v>282.733</v>
      </c>
    </row>
    <row r="109" spans="1:71" x14ac:dyDescent="0.35">
      <c r="A109" t="s">
        <v>665</v>
      </c>
      <c r="B109">
        <v>411.25</v>
      </c>
      <c r="C109" t="s">
        <v>666</v>
      </c>
      <c r="D109">
        <v>277.57</v>
      </c>
      <c r="H109" t="s">
        <v>653</v>
      </c>
      <c r="I109">
        <v>-68.959999999999994</v>
      </c>
      <c r="J109" t="s">
        <v>666</v>
      </c>
      <c r="K109">
        <v>-57.8</v>
      </c>
      <c r="Q109" t="s">
        <v>666</v>
      </c>
      <c r="R109">
        <v>-32.290660000000003</v>
      </c>
      <c r="V109" t="s">
        <v>655</v>
      </c>
      <c r="W109">
        <v>15.359</v>
      </c>
      <c r="X109" t="s">
        <v>666</v>
      </c>
      <c r="Y109">
        <v>25.509340000000002</v>
      </c>
      <c r="AD109" t="s">
        <v>655</v>
      </c>
      <c r="AE109">
        <v>55.79</v>
      </c>
      <c r="AH109" t="s">
        <v>655</v>
      </c>
      <c r="AI109">
        <f>63*AE109/100</f>
        <v>35.1477</v>
      </c>
      <c r="AK109" t="s">
        <v>642</v>
      </c>
      <c r="AM109">
        <v>58.88</v>
      </c>
      <c r="AO109" t="s">
        <v>642</v>
      </c>
      <c r="AQ109">
        <f>63*AM109/100</f>
        <v>37.0944</v>
      </c>
      <c r="AR109" t="s">
        <v>894</v>
      </c>
      <c r="AS109">
        <v>62.38</v>
      </c>
      <c r="AV109" t="s">
        <v>894</v>
      </c>
      <c r="AW109">
        <f>63*Supplementary_Fig7!AL109/100</f>
        <v>0</v>
      </c>
      <c r="AZ109" t="s">
        <v>653</v>
      </c>
      <c r="BA109">
        <v>82.16</v>
      </c>
      <c r="BB109" t="s">
        <v>646</v>
      </c>
      <c r="BC109">
        <v>109.91</v>
      </c>
      <c r="BD109" t="s">
        <v>1085</v>
      </c>
      <c r="BE109">
        <v>101.48</v>
      </c>
      <c r="BG109" t="s">
        <v>653</v>
      </c>
      <c r="BH109">
        <v>1.6</v>
      </c>
      <c r="BI109" t="s">
        <v>646</v>
      </c>
      <c r="BJ109">
        <v>1.86</v>
      </c>
      <c r="BK109" t="s">
        <v>1085</v>
      </c>
      <c r="BL109">
        <v>1.42</v>
      </c>
      <c r="BN109" t="s">
        <v>661</v>
      </c>
      <c r="BO109">
        <v>238.316</v>
      </c>
      <c r="BP109" t="s">
        <v>646</v>
      </c>
      <c r="BQ109">
        <v>265.81200000000001</v>
      </c>
      <c r="BR109" t="s">
        <v>894</v>
      </c>
      <c r="BS109">
        <v>312.149</v>
      </c>
    </row>
    <row r="110" spans="1:71" x14ac:dyDescent="0.35">
      <c r="A110" t="s">
        <v>667</v>
      </c>
      <c r="B110">
        <v>440.9</v>
      </c>
      <c r="C110" t="s">
        <v>668</v>
      </c>
      <c r="D110">
        <v>255.85</v>
      </c>
      <c r="H110" t="s">
        <v>655</v>
      </c>
      <c r="I110">
        <v>-53.11</v>
      </c>
      <c r="J110" t="s">
        <v>668</v>
      </c>
      <c r="K110">
        <v>-69.819999999999993</v>
      </c>
      <c r="Q110" t="s">
        <v>668</v>
      </c>
      <c r="R110">
        <v>-39.0518</v>
      </c>
      <c r="V110" t="s">
        <v>657</v>
      </c>
      <c r="W110">
        <v>18.930499999999999</v>
      </c>
      <c r="X110" t="s">
        <v>668</v>
      </c>
      <c r="Y110">
        <v>30.7682</v>
      </c>
      <c r="AD110" t="s">
        <v>657</v>
      </c>
      <c r="AF110">
        <v>34.33</v>
      </c>
      <c r="AH110" t="s">
        <v>657</v>
      </c>
      <c r="AJ110">
        <f>63*AF110/100</f>
        <v>21.6279</v>
      </c>
      <c r="AK110" t="s">
        <v>644</v>
      </c>
      <c r="AM110">
        <v>58.58</v>
      </c>
      <c r="AO110" t="s">
        <v>644</v>
      </c>
      <c r="AQ110">
        <f>63*AM110/100</f>
        <v>36.9054</v>
      </c>
      <c r="AR110" t="s">
        <v>895</v>
      </c>
      <c r="AT110">
        <v>80.2</v>
      </c>
      <c r="AV110" t="s">
        <v>895</v>
      </c>
      <c r="AX110">
        <f>63*Supplementary_Fig7!AM110/100</f>
        <v>0</v>
      </c>
      <c r="AZ110" t="s">
        <v>655</v>
      </c>
      <c r="BA110">
        <v>87.53</v>
      </c>
      <c r="BB110" t="s">
        <v>648</v>
      </c>
      <c r="BC110">
        <v>117.67</v>
      </c>
      <c r="BD110" t="s">
        <v>1086</v>
      </c>
      <c r="BG110" t="s">
        <v>655</v>
      </c>
      <c r="BH110">
        <v>1.42</v>
      </c>
      <c r="BI110" t="s">
        <v>648</v>
      </c>
      <c r="BJ110">
        <v>1.52</v>
      </c>
      <c r="BK110" t="s">
        <v>1086</v>
      </c>
      <c r="BN110" t="s">
        <v>663</v>
      </c>
      <c r="BO110">
        <v>258.42500000000001</v>
      </c>
      <c r="BP110" t="s">
        <v>648</v>
      </c>
      <c r="BQ110">
        <v>331.99</v>
      </c>
      <c r="BR110" t="s">
        <v>895</v>
      </c>
      <c r="BS110">
        <v>332.88600000000002</v>
      </c>
    </row>
    <row r="111" spans="1:71" x14ac:dyDescent="0.35">
      <c r="A111" t="s">
        <v>669</v>
      </c>
      <c r="B111">
        <v>463.75</v>
      </c>
      <c r="C111" t="s">
        <v>670</v>
      </c>
      <c r="D111">
        <v>412.9</v>
      </c>
      <c r="H111" t="s">
        <v>657</v>
      </c>
      <c r="I111">
        <v>-57.98</v>
      </c>
      <c r="J111" t="s">
        <v>670</v>
      </c>
      <c r="K111">
        <v>-54.41</v>
      </c>
      <c r="Q111" t="s">
        <v>670</v>
      </c>
      <c r="R111">
        <v>-37.734200000000001</v>
      </c>
      <c r="V111" t="s">
        <v>659</v>
      </c>
      <c r="W111">
        <v>19.7271</v>
      </c>
      <c r="X111" t="s">
        <v>670</v>
      </c>
      <c r="Y111">
        <v>16.675799999999999</v>
      </c>
      <c r="AD111" t="s">
        <v>659</v>
      </c>
      <c r="AE111">
        <v>53.25</v>
      </c>
      <c r="AH111" t="s">
        <v>659</v>
      </c>
      <c r="AI111">
        <f>63*AE111/100</f>
        <v>33.547499999999999</v>
      </c>
      <c r="AK111" t="s">
        <v>646</v>
      </c>
      <c r="AL111">
        <v>74.430000000000007</v>
      </c>
      <c r="AO111" t="s">
        <v>646</v>
      </c>
      <c r="AP111">
        <f>63*AL111/100</f>
        <v>46.890900000000002</v>
      </c>
      <c r="AR111" t="s">
        <v>896</v>
      </c>
      <c r="AT111">
        <v>71.97</v>
      </c>
      <c r="AV111" t="s">
        <v>896</v>
      </c>
      <c r="AX111">
        <f>63*Supplementary_Fig7!AM111/100</f>
        <v>0</v>
      </c>
      <c r="AZ111" t="s">
        <v>657</v>
      </c>
      <c r="BA111">
        <v>92.17</v>
      </c>
      <c r="BB111" t="s">
        <v>650</v>
      </c>
      <c r="BC111">
        <v>89.04</v>
      </c>
      <c r="BD111" t="s">
        <v>1087</v>
      </c>
      <c r="BE111">
        <v>95.67</v>
      </c>
      <c r="BG111" t="s">
        <v>657</v>
      </c>
      <c r="BH111">
        <v>1.51</v>
      </c>
      <c r="BI111" t="s">
        <v>650</v>
      </c>
      <c r="BJ111">
        <v>1.83</v>
      </c>
      <c r="BK111" t="s">
        <v>1087</v>
      </c>
      <c r="BL111">
        <v>1.42</v>
      </c>
      <c r="BN111" t="s">
        <v>665</v>
      </c>
      <c r="BO111">
        <v>295.05500000000001</v>
      </c>
      <c r="BP111" t="s">
        <v>650</v>
      </c>
      <c r="BQ111">
        <v>219.64599999999999</v>
      </c>
      <c r="BR111" t="s">
        <v>896</v>
      </c>
      <c r="BS111">
        <v>286.70699999999999</v>
      </c>
    </row>
    <row r="112" spans="1:71" x14ac:dyDescent="0.35">
      <c r="A112" t="s">
        <v>671</v>
      </c>
      <c r="B112">
        <v>525</v>
      </c>
      <c r="C112" t="s">
        <v>672</v>
      </c>
      <c r="D112">
        <v>243.47</v>
      </c>
      <c r="H112" t="s">
        <v>659</v>
      </c>
      <c r="I112">
        <v>-61.54</v>
      </c>
      <c r="J112" t="s">
        <v>672</v>
      </c>
      <c r="K112">
        <v>-67.78</v>
      </c>
      <c r="Q112" t="s">
        <v>672</v>
      </c>
      <c r="R112">
        <v>-39.942100000000003</v>
      </c>
      <c r="V112" t="s">
        <v>661</v>
      </c>
      <c r="W112">
        <v>16.381900000000002</v>
      </c>
      <c r="X112" t="s">
        <v>672</v>
      </c>
      <c r="Y112">
        <v>27.837900000000001</v>
      </c>
      <c r="AD112" t="s">
        <v>661</v>
      </c>
      <c r="AE112">
        <v>78.05</v>
      </c>
      <c r="AH112" t="s">
        <v>661</v>
      </c>
      <c r="AI112">
        <f>63*AE112/100</f>
        <v>49.171499999999995</v>
      </c>
      <c r="AK112" t="s">
        <v>648</v>
      </c>
      <c r="AM112">
        <v>63.28</v>
      </c>
      <c r="AO112" t="s">
        <v>648</v>
      </c>
      <c r="AQ112">
        <f>63*AM112/100</f>
        <v>39.866399999999999</v>
      </c>
      <c r="AR112" t="s">
        <v>1098</v>
      </c>
      <c r="AT112">
        <v>21.79</v>
      </c>
      <c r="AV112" t="s">
        <v>1098</v>
      </c>
      <c r="AX112">
        <f>63*Supplementary_Fig7!AM112/100</f>
        <v>0</v>
      </c>
      <c r="AZ112" t="s">
        <v>659</v>
      </c>
      <c r="BA112">
        <v>91.09</v>
      </c>
      <c r="BB112" t="s">
        <v>652</v>
      </c>
      <c r="BC112">
        <v>102.44</v>
      </c>
      <c r="BD112" t="s">
        <v>1088</v>
      </c>
      <c r="BE112">
        <v>98.27</v>
      </c>
      <c r="BG112" t="s">
        <v>659</v>
      </c>
      <c r="BH112">
        <v>1.43</v>
      </c>
      <c r="BI112" t="s">
        <v>652</v>
      </c>
      <c r="BJ112">
        <v>1.9</v>
      </c>
      <c r="BK112" t="s">
        <v>1088</v>
      </c>
      <c r="BL112">
        <v>1.64</v>
      </c>
      <c r="BN112" t="s">
        <v>667</v>
      </c>
      <c r="BO112">
        <v>240.04900000000001</v>
      </c>
      <c r="BP112" t="s">
        <v>652</v>
      </c>
      <c r="BQ112">
        <v>219.59100000000001</v>
      </c>
      <c r="BR112" t="s">
        <v>1105</v>
      </c>
      <c r="BS112">
        <v>185.40899999999999</v>
      </c>
    </row>
    <row r="113" spans="1:71" x14ac:dyDescent="0.35">
      <c r="A113" t="s">
        <v>673</v>
      </c>
      <c r="B113">
        <v>191.12</v>
      </c>
      <c r="C113" t="s">
        <v>674</v>
      </c>
      <c r="D113">
        <v>319.25</v>
      </c>
      <c r="H113" t="s">
        <v>661</v>
      </c>
      <c r="I113">
        <v>-53.09</v>
      </c>
      <c r="J113" t="s">
        <v>674</v>
      </c>
      <c r="K113">
        <v>-55.28</v>
      </c>
      <c r="Q113" t="s">
        <v>674</v>
      </c>
      <c r="R113">
        <v>-35.789499999999997</v>
      </c>
      <c r="V113" t="s">
        <v>663</v>
      </c>
      <c r="W113">
        <v>23.207100000000001</v>
      </c>
      <c r="X113" t="s">
        <v>674</v>
      </c>
      <c r="Y113">
        <v>19.490500000000001</v>
      </c>
      <c r="AD113" t="s">
        <v>663</v>
      </c>
      <c r="AF113">
        <v>29.88</v>
      </c>
      <c r="AH113" t="s">
        <v>663</v>
      </c>
      <c r="AJ113">
        <f t="shared" ref="AJ113:AJ121" si="10">63*AF113/100</f>
        <v>18.824399999999997</v>
      </c>
      <c r="AK113" t="s">
        <v>650</v>
      </c>
      <c r="AM113">
        <v>95.27</v>
      </c>
      <c r="AO113" t="s">
        <v>650</v>
      </c>
      <c r="AQ113">
        <f>63*AM113/100</f>
        <v>60.020099999999992</v>
      </c>
      <c r="AR113" t="s">
        <v>1099</v>
      </c>
      <c r="AT113">
        <v>52.8</v>
      </c>
      <c r="AV113" t="s">
        <v>1099</v>
      </c>
      <c r="AX113">
        <f>63*Supplementary_Fig7!AM113/100</f>
        <v>0</v>
      </c>
      <c r="AZ113" t="s">
        <v>661</v>
      </c>
      <c r="BA113">
        <v>91.22</v>
      </c>
      <c r="BB113" t="s">
        <v>654</v>
      </c>
      <c r="BC113">
        <v>84.82</v>
      </c>
      <c r="BD113" t="s">
        <v>1089</v>
      </c>
      <c r="BE113">
        <v>123.39</v>
      </c>
      <c r="BG113" t="s">
        <v>661</v>
      </c>
      <c r="BH113">
        <v>1.56</v>
      </c>
      <c r="BI113" t="s">
        <v>654</v>
      </c>
      <c r="BJ113">
        <v>1.81</v>
      </c>
      <c r="BK113" t="s">
        <v>1089</v>
      </c>
      <c r="BL113">
        <v>1.5</v>
      </c>
      <c r="BN113" t="s">
        <v>669</v>
      </c>
      <c r="BO113">
        <v>245.36</v>
      </c>
      <c r="BP113" t="s">
        <v>654</v>
      </c>
      <c r="BQ113">
        <v>244.661</v>
      </c>
      <c r="BR113" t="s">
        <v>1106</v>
      </c>
      <c r="BS113">
        <v>256.315</v>
      </c>
    </row>
    <row r="114" spans="1:71" x14ac:dyDescent="0.35">
      <c r="A114" t="s">
        <v>675</v>
      </c>
      <c r="B114">
        <v>640.29999999999995</v>
      </c>
      <c r="C114" t="s">
        <v>676</v>
      </c>
      <c r="D114">
        <v>399.7</v>
      </c>
      <c r="H114" t="s">
        <v>663</v>
      </c>
      <c r="I114">
        <v>-61.65</v>
      </c>
      <c r="J114" t="s">
        <v>676</v>
      </c>
      <c r="K114">
        <v>-68.430000000000007</v>
      </c>
      <c r="Q114" t="s">
        <v>676</v>
      </c>
      <c r="R114">
        <v>-38.90305</v>
      </c>
      <c r="V114" t="s">
        <v>665</v>
      </c>
      <c r="W114">
        <v>22.8123</v>
      </c>
      <c r="X114" t="s">
        <v>676</v>
      </c>
      <c r="Y114">
        <v>29.526949999999999</v>
      </c>
      <c r="AD114" t="s">
        <v>665</v>
      </c>
      <c r="AF114">
        <v>56.05</v>
      </c>
      <c r="AH114" t="s">
        <v>665</v>
      </c>
      <c r="AJ114">
        <f t="shared" si="10"/>
        <v>35.311499999999995</v>
      </c>
      <c r="AK114" t="s">
        <v>652</v>
      </c>
      <c r="AM114">
        <v>74.23</v>
      </c>
      <c r="AO114" t="s">
        <v>652</v>
      </c>
      <c r="AQ114">
        <f>63*AM114/100</f>
        <v>46.764900000000004</v>
      </c>
      <c r="AR114" t="s">
        <v>1100</v>
      </c>
      <c r="AT114">
        <v>28.58</v>
      </c>
      <c r="AV114" t="s">
        <v>1100</v>
      </c>
      <c r="AX114">
        <f>63*Supplementary_Fig7!AM114/100</f>
        <v>0</v>
      </c>
      <c r="AZ114" t="s">
        <v>663</v>
      </c>
      <c r="BA114">
        <v>93.78</v>
      </c>
      <c r="BB114" t="s">
        <v>656</v>
      </c>
      <c r="BC114">
        <v>103.54</v>
      </c>
      <c r="BD114" t="s">
        <v>1090</v>
      </c>
      <c r="BE114">
        <v>110.97</v>
      </c>
      <c r="BG114" t="s">
        <v>663</v>
      </c>
      <c r="BH114">
        <v>1.53</v>
      </c>
      <c r="BI114" t="s">
        <v>656</v>
      </c>
      <c r="BJ114">
        <v>2.04</v>
      </c>
      <c r="BK114" t="s">
        <v>1090</v>
      </c>
      <c r="BL114">
        <v>1.38</v>
      </c>
      <c r="BN114" t="s">
        <v>671</v>
      </c>
      <c r="BO114">
        <v>276.87599999999998</v>
      </c>
      <c r="BP114" t="s">
        <v>656</v>
      </c>
      <c r="BQ114">
        <v>216.96199999999999</v>
      </c>
      <c r="BR114" t="s">
        <v>1107</v>
      </c>
      <c r="BS114">
        <v>75.213700000000003</v>
      </c>
    </row>
    <row r="115" spans="1:71" x14ac:dyDescent="0.35">
      <c r="A115" t="s">
        <v>677</v>
      </c>
      <c r="B115">
        <v>283.32</v>
      </c>
      <c r="C115" t="s">
        <v>678</v>
      </c>
      <c r="D115">
        <v>393.4</v>
      </c>
      <c r="H115" t="s">
        <v>665</v>
      </c>
      <c r="I115">
        <v>-59.28</v>
      </c>
      <c r="J115" t="s">
        <v>678</v>
      </c>
      <c r="K115">
        <v>-70.430000000000007</v>
      </c>
      <c r="Q115" t="s">
        <v>678</v>
      </c>
      <c r="R115">
        <v>-39.214300000000001</v>
      </c>
      <c r="V115" t="s">
        <v>667</v>
      </c>
      <c r="W115">
        <v>25.884</v>
      </c>
      <c r="X115" t="s">
        <v>678</v>
      </c>
      <c r="Y115">
        <v>31.215699999999998</v>
      </c>
      <c r="AD115" t="s">
        <v>667</v>
      </c>
      <c r="AF115">
        <v>37.01</v>
      </c>
      <c r="AH115" t="s">
        <v>667</v>
      </c>
      <c r="AJ115">
        <f t="shared" si="10"/>
        <v>23.316299999999998</v>
      </c>
      <c r="AK115" t="s">
        <v>654</v>
      </c>
      <c r="AM115">
        <v>108.44</v>
      </c>
      <c r="AO115" t="s">
        <v>654</v>
      </c>
      <c r="AQ115">
        <f>63*AM115/100</f>
        <v>68.3172</v>
      </c>
      <c r="AR115" t="s">
        <v>1101</v>
      </c>
      <c r="AT115">
        <v>18.010000000000002</v>
      </c>
      <c r="AV115" t="s">
        <v>1101</v>
      </c>
      <c r="AX115">
        <f>63*Supplementary_Fig7!AM115/100</f>
        <v>0</v>
      </c>
      <c r="AZ115" t="s">
        <v>665</v>
      </c>
      <c r="BA115">
        <v>100.94</v>
      </c>
      <c r="BB115" t="s">
        <v>658</v>
      </c>
      <c r="BC115">
        <v>89.26</v>
      </c>
      <c r="BD115" t="s">
        <v>1091</v>
      </c>
      <c r="BE115">
        <v>114.34</v>
      </c>
      <c r="BG115" t="s">
        <v>665</v>
      </c>
      <c r="BH115">
        <v>1.49</v>
      </c>
      <c r="BI115" t="s">
        <v>658</v>
      </c>
      <c r="BJ115">
        <v>1.8</v>
      </c>
      <c r="BK115" t="s">
        <v>1091</v>
      </c>
      <c r="BL115">
        <v>1.66</v>
      </c>
      <c r="BN115" t="s">
        <v>673</v>
      </c>
      <c r="BO115">
        <v>112.508</v>
      </c>
      <c r="BP115" t="s">
        <v>658</v>
      </c>
      <c r="BQ115">
        <v>284.55399999999997</v>
      </c>
      <c r="BR115" t="s">
        <v>1108</v>
      </c>
      <c r="BS115">
        <v>298.96300000000002</v>
      </c>
    </row>
    <row r="116" spans="1:71" x14ac:dyDescent="0.35">
      <c r="A116" t="s">
        <v>679</v>
      </c>
      <c r="B116">
        <v>294.55</v>
      </c>
      <c r="C116" t="s">
        <v>680</v>
      </c>
      <c r="D116">
        <v>443.6</v>
      </c>
      <c r="H116" t="s">
        <v>667</v>
      </c>
      <c r="I116">
        <v>-65.430000000000007</v>
      </c>
      <c r="J116" t="s">
        <v>680</v>
      </c>
      <c r="K116">
        <v>-69.099999999999994</v>
      </c>
      <c r="Q116" t="s">
        <v>680</v>
      </c>
      <c r="R116">
        <v>-49.590299999999999</v>
      </c>
      <c r="V116" t="s">
        <v>669</v>
      </c>
      <c r="W116">
        <v>16.34</v>
      </c>
      <c r="X116" t="s">
        <v>680</v>
      </c>
      <c r="Y116">
        <v>19.509699999999999</v>
      </c>
      <c r="AD116" t="s">
        <v>669</v>
      </c>
      <c r="AF116">
        <v>84.16</v>
      </c>
      <c r="AH116" t="s">
        <v>669</v>
      </c>
      <c r="AJ116">
        <f t="shared" si="10"/>
        <v>53.020800000000001</v>
      </c>
      <c r="AK116" t="s">
        <v>656</v>
      </c>
      <c r="AL116">
        <v>142.25</v>
      </c>
      <c r="AO116" t="s">
        <v>656</v>
      </c>
      <c r="AP116">
        <f>63*AL116/100</f>
        <v>89.617500000000007</v>
      </c>
      <c r="AR116" t="s">
        <v>1102</v>
      </c>
      <c r="AT116">
        <v>52.48</v>
      </c>
      <c r="AV116" t="s">
        <v>1102</v>
      </c>
      <c r="AX116">
        <f>63*Supplementary_Fig7!AM116/100</f>
        <v>0</v>
      </c>
      <c r="AZ116" t="s">
        <v>667</v>
      </c>
      <c r="BA116">
        <v>84.41</v>
      </c>
      <c r="BB116" t="s">
        <v>660</v>
      </c>
      <c r="BC116">
        <v>85.68</v>
      </c>
      <c r="BD116" t="s">
        <v>1092</v>
      </c>
      <c r="BE116">
        <v>85.4</v>
      </c>
      <c r="BG116" t="s">
        <v>667</v>
      </c>
      <c r="BH116">
        <v>1.63</v>
      </c>
      <c r="BI116" t="s">
        <v>660</v>
      </c>
      <c r="BJ116">
        <v>1.77</v>
      </c>
      <c r="BK116" t="s">
        <v>1092</v>
      </c>
      <c r="BL116">
        <v>1.32</v>
      </c>
      <c r="BN116" t="s">
        <v>675</v>
      </c>
      <c r="BO116">
        <v>217.03299999999999</v>
      </c>
      <c r="BP116" t="s">
        <v>660</v>
      </c>
      <c r="BQ116">
        <v>268.43700000000001</v>
      </c>
      <c r="BR116" t="s">
        <v>1109</v>
      </c>
      <c r="BS116">
        <v>331.72699999999998</v>
      </c>
    </row>
    <row r="117" spans="1:71" x14ac:dyDescent="0.35">
      <c r="A117" t="s">
        <v>681</v>
      </c>
      <c r="B117">
        <v>282.62</v>
      </c>
      <c r="C117" t="s">
        <v>682</v>
      </c>
      <c r="D117">
        <v>325.60000000000002</v>
      </c>
      <c r="H117" t="s">
        <v>669</v>
      </c>
      <c r="I117">
        <v>-54</v>
      </c>
      <c r="J117" t="s">
        <v>682</v>
      </c>
      <c r="K117">
        <v>-68.569999999999993</v>
      </c>
      <c r="Q117" t="s">
        <v>682</v>
      </c>
      <c r="R117">
        <v>-54.437199999999997</v>
      </c>
      <c r="V117" t="s">
        <v>671</v>
      </c>
      <c r="W117">
        <v>23.221</v>
      </c>
      <c r="X117" t="s">
        <v>682</v>
      </c>
      <c r="Y117">
        <v>14.1328</v>
      </c>
      <c r="AD117" t="s">
        <v>671</v>
      </c>
      <c r="AF117">
        <v>91.19</v>
      </c>
      <c r="AH117" t="s">
        <v>671</v>
      </c>
      <c r="AJ117">
        <f t="shared" si="10"/>
        <v>57.4497</v>
      </c>
      <c r="AK117" t="s">
        <v>658</v>
      </c>
      <c r="AM117">
        <v>137.78</v>
      </c>
      <c r="AO117" t="s">
        <v>658</v>
      </c>
      <c r="AQ117">
        <f>63*AM117/100</f>
        <v>86.801400000000001</v>
      </c>
      <c r="AR117" t="s">
        <v>1103</v>
      </c>
      <c r="AT117">
        <v>18.059999999999999</v>
      </c>
      <c r="AV117" t="s">
        <v>1103</v>
      </c>
      <c r="AX117">
        <f>63*Supplementary_Fig7!AM117/100</f>
        <v>0</v>
      </c>
      <c r="AZ117" t="s">
        <v>669</v>
      </c>
      <c r="BA117">
        <v>97.11</v>
      </c>
      <c r="BB117" t="s">
        <v>662</v>
      </c>
      <c r="BC117">
        <v>89.71</v>
      </c>
      <c r="BD117" t="s">
        <v>1093</v>
      </c>
      <c r="BE117">
        <v>114.92</v>
      </c>
      <c r="BG117" t="s">
        <v>669</v>
      </c>
      <c r="BH117">
        <v>1.69</v>
      </c>
      <c r="BI117" t="s">
        <v>662</v>
      </c>
      <c r="BJ117">
        <v>1.76</v>
      </c>
      <c r="BK117" t="s">
        <v>1093</v>
      </c>
      <c r="BL117">
        <v>1.55</v>
      </c>
      <c r="BN117" t="s">
        <v>677</v>
      </c>
      <c r="BO117">
        <v>136.26400000000001</v>
      </c>
      <c r="BP117" t="s">
        <v>662</v>
      </c>
      <c r="BQ117">
        <v>248.2</v>
      </c>
      <c r="BR117" t="s">
        <v>1110</v>
      </c>
      <c r="BS117">
        <v>319.95100000000002</v>
      </c>
    </row>
    <row r="118" spans="1:71" x14ac:dyDescent="0.35">
      <c r="A118" t="s">
        <v>683</v>
      </c>
      <c r="B118">
        <v>519.97</v>
      </c>
      <c r="C118" t="s">
        <v>684</v>
      </c>
      <c r="D118">
        <v>482.4</v>
      </c>
      <c r="H118" t="s">
        <v>671</v>
      </c>
      <c r="I118">
        <v>-57.22</v>
      </c>
      <c r="J118" t="s">
        <v>684</v>
      </c>
      <c r="K118">
        <v>-71.37</v>
      </c>
      <c r="Q118" t="s">
        <v>684</v>
      </c>
      <c r="R118">
        <v>-47.081699999999998</v>
      </c>
      <c r="V118" t="s">
        <v>673</v>
      </c>
      <c r="W118">
        <v>8.0969999999999995</v>
      </c>
      <c r="X118" t="s">
        <v>684</v>
      </c>
      <c r="Y118">
        <v>24.2883</v>
      </c>
      <c r="AD118" t="s">
        <v>673</v>
      </c>
      <c r="AF118">
        <v>39.76</v>
      </c>
      <c r="AH118" t="s">
        <v>673</v>
      </c>
      <c r="AJ118">
        <f t="shared" si="10"/>
        <v>25.048799999999996</v>
      </c>
      <c r="AK118" t="s">
        <v>660</v>
      </c>
      <c r="AL118">
        <v>104.11</v>
      </c>
      <c r="AO118" t="s">
        <v>660</v>
      </c>
      <c r="AP118">
        <f>63*AL118/100</f>
        <v>65.589300000000009</v>
      </c>
      <c r="AR118" t="s">
        <v>1104</v>
      </c>
      <c r="AT118">
        <v>48.39</v>
      </c>
      <c r="AV118" t="s">
        <v>1104</v>
      </c>
      <c r="AX118">
        <f>63*Supplementary_Fig7!AM118/100</f>
        <v>0</v>
      </c>
      <c r="AZ118" t="s">
        <v>671</v>
      </c>
      <c r="BA118">
        <v>86.24</v>
      </c>
      <c r="BB118" t="s">
        <v>664</v>
      </c>
      <c r="BC118">
        <v>110.68</v>
      </c>
      <c r="BD118" t="s">
        <v>1094</v>
      </c>
      <c r="BE118">
        <v>126.19</v>
      </c>
      <c r="BG118" t="s">
        <v>671</v>
      </c>
      <c r="BH118">
        <v>1.59</v>
      </c>
      <c r="BI118" t="s">
        <v>664</v>
      </c>
      <c r="BJ118">
        <v>1.49</v>
      </c>
      <c r="BK118" t="s">
        <v>1094</v>
      </c>
      <c r="BL118">
        <v>1.45</v>
      </c>
      <c r="BN118" t="s">
        <v>679</v>
      </c>
      <c r="BO118">
        <v>234.86</v>
      </c>
      <c r="BP118" t="s">
        <v>664</v>
      </c>
      <c r="BQ118">
        <v>363.88</v>
      </c>
      <c r="BR118" t="s">
        <v>1111</v>
      </c>
      <c r="BS118">
        <v>256.95999999999998</v>
      </c>
    </row>
    <row r="119" spans="1:71" x14ac:dyDescent="0.35">
      <c r="A119" t="s">
        <v>685</v>
      </c>
      <c r="B119">
        <v>563.5</v>
      </c>
      <c r="C119" t="s">
        <v>686</v>
      </c>
      <c r="D119">
        <v>352.6</v>
      </c>
      <c r="H119" t="s">
        <v>673</v>
      </c>
      <c r="I119">
        <v>-43.63</v>
      </c>
      <c r="J119" t="s">
        <v>686</v>
      </c>
      <c r="K119">
        <v>-71.73</v>
      </c>
      <c r="Q119" t="s">
        <v>686</v>
      </c>
      <c r="R119">
        <v>-51.3352</v>
      </c>
      <c r="V119" t="s">
        <v>675</v>
      </c>
      <c r="W119">
        <v>20.451599999999999</v>
      </c>
      <c r="X119" t="s">
        <v>686</v>
      </c>
      <c r="Y119">
        <v>20.3948</v>
      </c>
      <c r="AD119" t="s">
        <v>675</v>
      </c>
      <c r="AF119">
        <v>93.2</v>
      </c>
      <c r="AH119" t="s">
        <v>675</v>
      </c>
      <c r="AJ119">
        <f t="shared" si="10"/>
        <v>58.716000000000001</v>
      </c>
      <c r="AK119" t="s">
        <v>662</v>
      </c>
      <c r="AM119">
        <v>116</v>
      </c>
      <c r="AO119" t="s">
        <v>662</v>
      </c>
      <c r="AQ119">
        <f>63*AM119/100</f>
        <v>73.08</v>
      </c>
      <c r="AR119" t="s">
        <v>1105</v>
      </c>
      <c r="AT119">
        <v>38.04</v>
      </c>
      <c r="AV119" t="s">
        <v>1105</v>
      </c>
      <c r="AX119">
        <f>63*Supplementary_Fig7!AM119/100</f>
        <v>0</v>
      </c>
      <c r="AZ119" t="s">
        <v>673</v>
      </c>
      <c r="BA119">
        <v>58.32</v>
      </c>
      <c r="BB119" t="s">
        <v>666</v>
      </c>
      <c r="BC119">
        <v>110</v>
      </c>
      <c r="BD119" t="s">
        <v>1095</v>
      </c>
      <c r="BE119">
        <v>98.68</v>
      </c>
      <c r="BG119" t="s">
        <v>673</v>
      </c>
      <c r="BH119">
        <v>2.17</v>
      </c>
      <c r="BI119" t="s">
        <v>666</v>
      </c>
      <c r="BJ119">
        <v>1.85</v>
      </c>
      <c r="BK119" t="s">
        <v>1095</v>
      </c>
      <c r="BL119">
        <v>1.36</v>
      </c>
      <c r="BN119" t="s">
        <v>681</v>
      </c>
      <c r="BO119">
        <v>144.13900000000001</v>
      </c>
      <c r="BP119" t="s">
        <v>666</v>
      </c>
      <c r="BQ119">
        <v>259.45100000000002</v>
      </c>
      <c r="BR119" t="s">
        <v>1112</v>
      </c>
      <c r="BS119">
        <v>315.26299999999998</v>
      </c>
    </row>
    <row r="120" spans="1:71" x14ac:dyDescent="0.35">
      <c r="A120" t="s">
        <v>687</v>
      </c>
      <c r="B120">
        <v>476.15</v>
      </c>
      <c r="C120" t="s">
        <v>688</v>
      </c>
      <c r="D120">
        <v>341.37</v>
      </c>
      <c r="H120" t="s">
        <v>675</v>
      </c>
      <c r="I120">
        <v>-56.28</v>
      </c>
      <c r="J120" t="s">
        <v>688</v>
      </c>
      <c r="K120">
        <v>-60.9</v>
      </c>
      <c r="Q120" t="s">
        <v>688</v>
      </c>
      <c r="R120">
        <v>-44.637300000000003</v>
      </c>
      <c r="V120" t="s">
        <v>677</v>
      </c>
      <c r="W120">
        <v>8.4600000000000009</v>
      </c>
      <c r="X120" t="s">
        <v>688</v>
      </c>
      <c r="Y120">
        <v>16.262699999999999</v>
      </c>
      <c r="AD120" t="s">
        <v>677</v>
      </c>
      <c r="AF120">
        <v>57.62</v>
      </c>
      <c r="AH120" t="s">
        <v>677</v>
      </c>
      <c r="AJ120">
        <f t="shared" si="10"/>
        <v>36.300600000000003</v>
      </c>
      <c r="AK120" t="s">
        <v>664</v>
      </c>
      <c r="AL120">
        <v>73.48</v>
      </c>
      <c r="AO120" t="s">
        <v>664</v>
      </c>
      <c r="AP120">
        <f>63*AL120/100</f>
        <v>46.292400000000008</v>
      </c>
      <c r="AR120" t="s">
        <v>1106</v>
      </c>
      <c r="AT120">
        <v>52.27</v>
      </c>
      <c r="AV120" t="s">
        <v>1106</v>
      </c>
      <c r="AX120">
        <f>63*Supplementary_Fig7!AM120/100</f>
        <v>0</v>
      </c>
      <c r="AZ120" t="s">
        <v>675</v>
      </c>
      <c r="BA120">
        <v>81.55</v>
      </c>
      <c r="BB120" t="s">
        <v>668</v>
      </c>
      <c r="BC120">
        <v>115.34</v>
      </c>
      <c r="BD120" t="s">
        <v>1096</v>
      </c>
      <c r="BE120">
        <v>121.14</v>
      </c>
      <c r="BG120" t="s">
        <v>675</v>
      </c>
      <c r="BH120">
        <v>1.66</v>
      </c>
      <c r="BI120" t="s">
        <v>668</v>
      </c>
      <c r="BJ120">
        <v>1.68</v>
      </c>
      <c r="BK120" t="s">
        <v>1096</v>
      </c>
      <c r="BL120">
        <v>1.32</v>
      </c>
      <c r="BN120" t="s">
        <v>683</v>
      </c>
      <c r="BO120">
        <v>207.99299999999999</v>
      </c>
      <c r="BP120" t="s">
        <v>668</v>
      </c>
      <c r="BQ120">
        <v>322.34399999999999</v>
      </c>
      <c r="BR120" t="s">
        <v>1113</v>
      </c>
      <c r="BS120">
        <v>417.52100000000002</v>
      </c>
    </row>
    <row r="121" spans="1:71" ht="13.15" x14ac:dyDescent="0.4">
      <c r="A121" t="s">
        <v>397</v>
      </c>
      <c r="B121" s="1">
        <f>AVERAGE(B5:B120)</f>
        <v>505.59965517241392</v>
      </c>
      <c r="C121" t="s">
        <v>689</v>
      </c>
      <c r="D121">
        <v>350.97</v>
      </c>
      <c r="H121" t="s">
        <v>677</v>
      </c>
      <c r="I121">
        <v>-44.47</v>
      </c>
      <c r="J121" t="s">
        <v>689</v>
      </c>
      <c r="K121">
        <v>-65.739999999999995</v>
      </c>
      <c r="Q121" t="s">
        <v>689</v>
      </c>
      <c r="R121">
        <v>-39.748399999999997</v>
      </c>
      <c r="V121" t="s">
        <v>679</v>
      </c>
      <c r="W121">
        <v>12.4734</v>
      </c>
      <c r="X121" t="s">
        <v>689</v>
      </c>
      <c r="Y121">
        <v>25.991599999999998</v>
      </c>
      <c r="AD121" t="s">
        <v>679</v>
      </c>
      <c r="AF121">
        <v>44.76</v>
      </c>
      <c r="AH121" t="s">
        <v>679</v>
      </c>
      <c r="AJ121">
        <f t="shared" si="10"/>
        <v>28.198799999999995</v>
      </c>
      <c r="AK121" t="s">
        <v>666</v>
      </c>
      <c r="AM121">
        <v>60.57</v>
      </c>
      <c r="AO121" t="s">
        <v>666</v>
      </c>
      <c r="AQ121">
        <f>63*AM121/100</f>
        <v>38.159099999999995</v>
      </c>
      <c r="AR121" t="s">
        <v>1107</v>
      </c>
      <c r="AS121">
        <v>27.15</v>
      </c>
      <c r="AV121" t="s">
        <v>1107</v>
      </c>
      <c r="AW121">
        <f>63*Supplementary_Fig7!AL121/100</f>
        <v>0</v>
      </c>
      <c r="AZ121" t="s">
        <v>677</v>
      </c>
      <c r="BA121">
        <v>87.22</v>
      </c>
      <c r="BB121" t="s">
        <v>670</v>
      </c>
      <c r="BC121">
        <v>93.58</v>
      </c>
      <c r="BD121" t="s">
        <v>1097</v>
      </c>
      <c r="BE121">
        <v>118.52</v>
      </c>
      <c r="BG121" t="s">
        <v>677</v>
      </c>
      <c r="BH121">
        <v>1.74</v>
      </c>
      <c r="BI121" t="s">
        <v>670</v>
      </c>
      <c r="BJ121">
        <v>1.87</v>
      </c>
      <c r="BK121" t="s">
        <v>1097</v>
      </c>
      <c r="BL121">
        <v>1.99</v>
      </c>
      <c r="BN121" t="s">
        <v>685</v>
      </c>
      <c r="BO121">
        <v>252.715</v>
      </c>
      <c r="BP121" t="s">
        <v>670</v>
      </c>
      <c r="BQ121">
        <v>243.529</v>
      </c>
      <c r="BR121" t="s">
        <v>1114</v>
      </c>
      <c r="BS121">
        <v>298.47500000000002</v>
      </c>
    </row>
    <row r="122" spans="1:71" ht="13.15" x14ac:dyDescent="0.4">
      <c r="A122" t="s">
        <v>281</v>
      </c>
      <c r="B122" s="1">
        <f>STDEV(B5:B120)</f>
        <v>182.71155629395238</v>
      </c>
      <c r="C122" t="s">
        <v>690</v>
      </c>
      <c r="D122">
        <v>310.05</v>
      </c>
      <c r="H122" t="s">
        <v>679</v>
      </c>
      <c r="I122">
        <v>-51.6</v>
      </c>
      <c r="J122" t="s">
        <v>690</v>
      </c>
      <c r="K122">
        <v>-66.150000000000006</v>
      </c>
      <c r="Q122" t="s">
        <v>690</v>
      </c>
      <c r="R122">
        <v>-43.095399999999998</v>
      </c>
      <c r="V122" t="s">
        <v>681</v>
      </c>
      <c r="W122">
        <v>15.9061</v>
      </c>
      <c r="X122" t="s">
        <v>690</v>
      </c>
      <c r="Y122">
        <v>23.054600000000001</v>
      </c>
      <c r="AD122" t="s">
        <v>681</v>
      </c>
      <c r="AE122">
        <v>44.6</v>
      </c>
      <c r="AH122" t="s">
        <v>681</v>
      </c>
      <c r="AI122">
        <f>63*AE122/100</f>
        <v>28.098000000000003</v>
      </c>
      <c r="AK122" t="s">
        <v>668</v>
      </c>
      <c r="AM122">
        <v>66.849999999999994</v>
      </c>
      <c r="AO122" t="s">
        <v>668</v>
      </c>
      <c r="AQ122">
        <f>63*AM122/100</f>
        <v>42.11549999999999</v>
      </c>
      <c r="AR122" t="s">
        <v>1108</v>
      </c>
      <c r="AT122">
        <v>59</v>
      </c>
      <c r="AV122" t="s">
        <v>1108</v>
      </c>
      <c r="AX122">
        <f>63*Supplementary_Fig7!AM122/100</f>
        <v>0</v>
      </c>
      <c r="AZ122" t="s">
        <v>679</v>
      </c>
      <c r="BA122">
        <v>88.62</v>
      </c>
      <c r="BB122" t="s">
        <v>672</v>
      </c>
      <c r="BC122">
        <v>93.94</v>
      </c>
      <c r="BD122" t="s">
        <v>1115</v>
      </c>
      <c r="BE122">
        <v>92.91</v>
      </c>
      <c r="BG122" t="s">
        <v>679</v>
      </c>
      <c r="BH122">
        <v>1.71</v>
      </c>
      <c r="BI122" t="s">
        <v>672</v>
      </c>
      <c r="BJ122">
        <v>1.68</v>
      </c>
      <c r="BK122" t="s">
        <v>1115</v>
      </c>
      <c r="BL122">
        <v>1.58</v>
      </c>
      <c r="BN122" t="s">
        <v>687</v>
      </c>
      <c r="BO122">
        <v>192.613</v>
      </c>
      <c r="BP122" t="s">
        <v>672</v>
      </c>
      <c r="BQ122">
        <v>318.86399999999998</v>
      </c>
      <c r="BR122" t="s">
        <v>1116</v>
      </c>
      <c r="BS122">
        <v>204.69800000000001</v>
      </c>
    </row>
    <row r="123" spans="1:71" ht="13.15" x14ac:dyDescent="0.4">
      <c r="A123" t="s">
        <v>284</v>
      </c>
      <c r="B123" s="1">
        <f>B122/SQRT(116)</f>
        <v>16.964342117430469</v>
      </c>
      <c r="C123" t="s">
        <v>691</v>
      </c>
      <c r="D123">
        <v>293.92</v>
      </c>
      <c r="H123" t="s">
        <v>681</v>
      </c>
      <c r="I123">
        <v>-52.47</v>
      </c>
      <c r="J123" t="s">
        <v>691</v>
      </c>
      <c r="K123">
        <v>-67.040000000000006</v>
      </c>
      <c r="Q123" t="s">
        <v>691</v>
      </c>
      <c r="R123">
        <v>-43.231900000000003</v>
      </c>
      <c r="V123" t="s">
        <v>683</v>
      </c>
      <c r="W123">
        <v>14.639900000000001</v>
      </c>
      <c r="X123" t="s">
        <v>691</v>
      </c>
      <c r="Y123">
        <v>23.8081</v>
      </c>
      <c r="AD123" t="s">
        <v>683</v>
      </c>
      <c r="AE123">
        <v>67.87</v>
      </c>
      <c r="AH123" t="s">
        <v>683</v>
      </c>
      <c r="AI123">
        <f>63*AE123/100</f>
        <v>42.758100000000006</v>
      </c>
      <c r="AK123" t="s">
        <v>670</v>
      </c>
      <c r="AM123">
        <v>124.89</v>
      </c>
      <c r="AO123" t="s">
        <v>670</v>
      </c>
      <c r="AQ123">
        <f>63*AM123/100</f>
        <v>78.680700000000002</v>
      </c>
      <c r="AR123" t="s">
        <v>1109</v>
      </c>
      <c r="AS123">
        <v>59.78</v>
      </c>
      <c r="AV123" t="s">
        <v>1109</v>
      </c>
      <c r="AW123">
        <f>63*Supplementary_Fig7!AL123/100</f>
        <v>0</v>
      </c>
      <c r="AZ123" t="s">
        <v>681</v>
      </c>
      <c r="BA123">
        <v>73.459999999999994</v>
      </c>
      <c r="BB123" t="s">
        <v>674</v>
      </c>
      <c r="BD123" t="s">
        <v>1117</v>
      </c>
      <c r="BE123">
        <v>92.91</v>
      </c>
      <c r="BG123" t="s">
        <v>681</v>
      </c>
      <c r="BH123">
        <v>2.5499999999999998</v>
      </c>
      <c r="BI123" t="s">
        <v>674</v>
      </c>
      <c r="BJ123">
        <v>1.67</v>
      </c>
      <c r="BK123" t="s">
        <v>1117</v>
      </c>
      <c r="BL123">
        <v>1.44</v>
      </c>
      <c r="BO123" s="1">
        <f>AVERAGE(BO5:BP122)</f>
        <v>186.34771462711871</v>
      </c>
      <c r="BP123" t="s">
        <v>674</v>
      </c>
      <c r="BQ123">
        <v>291.51900000000001</v>
      </c>
      <c r="BR123" t="s">
        <v>1118</v>
      </c>
      <c r="BS123">
        <v>260.07299999999998</v>
      </c>
    </row>
    <row r="124" spans="1:71" x14ac:dyDescent="0.35">
      <c r="C124" t="s">
        <v>692</v>
      </c>
      <c r="D124">
        <v>292.42</v>
      </c>
      <c r="H124" t="s">
        <v>683</v>
      </c>
      <c r="I124">
        <v>-54.08</v>
      </c>
      <c r="J124" t="s">
        <v>692</v>
      </c>
      <c r="K124">
        <v>-62.17</v>
      </c>
      <c r="Q124" t="s">
        <v>692</v>
      </c>
      <c r="R124">
        <v>-53.041800000000002</v>
      </c>
      <c r="V124" t="s">
        <v>685</v>
      </c>
      <c r="W124">
        <v>10.656499999999999</v>
      </c>
      <c r="X124" t="s">
        <v>692</v>
      </c>
      <c r="Y124">
        <v>9.1281999999999996</v>
      </c>
      <c r="AD124" t="s">
        <v>685</v>
      </c>
      <c r="AE124">
        <v>85.44</v>
      </c>
      <c r="AH124" t="s">
        <v>685</v>
      </c>
      <c r="AI124">
        <f>63*AE124/100</f>
        <v>53.827200000000005</v>
      </c>
      <c r="AK124" t="s">
        <v>672</v>
      </c>
      <c r="AL124">
        <v>56.22</v>
      </c>
      <c r="AO124" t="s">
        <v>672</v>
      </c>
      <c r="AP124">
        <f>63*AL124/100</f>
        <v>35.418599999999998</v>
      </c>
      <c r="AR124" t="s">
        <v>1110</v>
      </c>
      <c r="AT124">
        <v>78.56</v>
      </c>
      <c r="AV124" t="s">
        <v>1110</v>
      </c>
      <c r="AX124">
        <f>63*Supplementary_Fig7!AM124/100</f>
        <v>0</v>
      </c>
      <c r="AZ124" t="s">
        <v>683</v>
      </c>
      <c r="BA124">
        <v>76.77</v>
      </c>
      <c r="BB124" t="s">
        <v>676</v>
      </c>
      <c r="BC124">
        <v>106.29</v>
      </c>
      <c r="BD124" t="s">
        <v>1119</v>
      </c>
      <c r="BE124">
        <v>121.4</v>
      </c>
      <c r="BG124" t="s">
        <v>683</v>
      </c>
      <c r="BH124">
        <v>1.82</v>
      </c>
      <c r="BI124" t="s">
        <v>676</v>
      </c>
      <c r="BJ124">
        <v>1.57</v>
      </c>
      <c r="BK124" t="s">
        <v>1119</v>
      </c>
      <c r="BL124">
        <v>1.41</v>
      </c>
      <c r="BP124" t="s">
        <v>676</v>
      </c>
      <c r="BQ124">
        <v>306.28800000000001</v>
      </c>
      <c r="BR124" t="s">
        <v>1120</v>
      </c>
      <c r="BS124">
        <v>345.60399999999998</v>
      </c>
    </row>
    <row r="125" spans="1:71" x14ac:dyDescent="0.35">
      <c r="C125" t="s">
        <v>693</v>
      </c>
      <c r="D125">
        <v>479.9</v>
      </c>
      <c r="H125" t="s">
        <v>685</v>
      </c>
      <c r="I125">
        <v>-50.43</v>
      </c>
      <c r="J125" t="s">
        <v>693</v>
      </c>
      <c r="K125">
        <v>-65.599999999999994</v>
      </c>
      <c r="Q125" t="s">
        <v>693</v>
      </c>
      <c r="R125">
        <v>-45.896099999999997</v>
      </c>
      <c r="V125" t="s">
        <v>687</v>
      </c>
      <c r="W125">
        <v>14.498699999999999</v>
      </c>
      <c r="X125" t="s">
        <v>693</v>
      </c>
      <c r="Y125">
        <v>19.703900000000001</v>
      </c>
      <c r="AD125" t="s">
        <v>687</v>
      </c>
      <c r="AE125">
        <v>60.75</v>
      </c>
      <c r="AH125" t="s">
        <v>687</v>
      </c>
      <c r="AI125">
        <f>63*AE125/100</f>
        <v>38.272500000000001</v>
      </c>
      <c r="AK125" t="s">
        <v>674</v>
      </c>
      <c r="AM125">
        <v>79.260000000000005</v>
      </c>
      <c r="AO125" t="s">
        <v>674</v>
      </c>
      <c r="AQ125">
        <f t="shared" ref="AQ125:AQ132" si="11">63*AM125/100</f>
        <v>49.933799999999998</v>
      </c>
      <c r="AR125" t="s">
        <v>1111</v>
      </c>
      <c r="AT125">
        <v>55.24</v>
      </c>
      <c r="AV125" t="s">
        <v>1111</v>
      </c>
      <c r="AX125">
        <f>63*Supplementary_Fig7!AM125/100</f>
        <v>0</v>
      </c>
      <c r="AZ125" t="s">
        <v>685</v>
      </c>
      <c r="BA125">
        <v>95.23731875</v>
      </c>
      <c r="BB125" t="s">
        <v>678</v>
      </c>
      <c r="BC125">
        <v>88.67</v>
      </c>
      <c r="BD125" t="s">
        <v>1121</v>
      </c>
      <c r="BE125">
        <v>113.22</v>
      </c>
      <c r="BG125" t="s">
        <v>685</v>
      </c>
      <c r="BH125">
        <v>1.6</v>
      </c>
      <c r="BI125" t="s">
        <v>678</v>
      </c>
      <c r="BJ125">
        <v>1.76</v>
      </c>
      <c r="BK125" t="s">
        <v>1121</v>
      </c>
      <c r="BL125">
        <v>2.0299999999999998</v>
      </c>
      <c r="BP125" t="s">
        <v>678</v>
      </c>
      <c r="BQ125">
        <v>352.01499999999999</v>
      </c>
      <c r="BR125" t="s">
        <v>1122</v>
      </c>
      <c r="BS125">
        <v>408.298</v>
      </c>
    </row>
    <row r="126" spans="1:71" ht="13.15" x14ac:dyDescent="0.4">
      <c r="C126" t="s">
        <v>694</v>
      </c>
      <c r="D126">
        <v>349.5</v>
      </c>
      <c r="H126" t="s">
        <v>687</v>
      </c>
      <c r="I126">
        <v>-50.06</v>
      </c>
      <c r="J126" t="s">
        <v>694</v>
      </c>
      <c r="K126">
        <v>-65.569999999999993</v>
      </c>
      <c r="Q126" t="s">
        <v>694</v>
      </c>
      <c r="R126">
        <v>-39.820900000000002</v>
      </c>
      <c r="V126" t="s">
        <v>397</v>
      </c>
      <c r="W126" s="1">
        <f>AVERAGE(W5:W125)</f>
        <v>17.372917355371904</v>
      </c>
      <c r="X126" t="s">
        <v>694</v>
      </c>
      <c r="Y126">
        <v>25.749099999999999</v>
      </c>
      <c r="AD126" t="s">
        <v>1123</v>
      </c>
      <c r="AE126">
        <v>80.33</v>
      </c>
      <c r="AH126" t="s">
        <v>1123</v>
      </c>
      <c r="AI126">
        <f>63*AE126/100</f>
        <v>50.607900000000001</v>
      </c>
      <c r="AK126" t="s">
        <v>676</v>
      </c>
      <c r="AM126">
        <v>113.09</v>
      </c>
      <c r="AO126" t="s">
        <v>676</v>
      </c>
      <c r="AQ126">
        <f t="shared" si="11"/>
        <v>71.246700000000004</v>
      </c>
      <c r="AR126" t="s">
        <v>1112</v>
      </c>
      <c r="AT126">
        <v>65.53</v>
      </c>
      <c r="AV126" t="s">
        <v>1112</v>
      </c>
      <c r="AX126">
        <f>63*Supplementary_Fig7!AM126/100</f>
        <v>0</v>
      </c>
      <c r="AZ126" t="s">
        <v>687</v>
      </c>
      <c r="BA126">
        <v>81.387143750000007</v>
      </c>
      <c r="BB126" t="s">
        <v>680</v>
      </c>
      <c r="BC126">
        <v>100.52</v>
      </c>
      <c r="BD126" t="s">
        <v>1125</v>
      </c>
      <c r="BE126">
        <v>125.68</v>
      </c>
      <c r="BG126" t="s">
        <v>687</v>
      </c>
      <c r="BH126">
        <v>1.65</v>
      </c>
      <c r="BI126" t="s">
        <v>680</v>
      </c>
      <c r="BJ126">
        <v>1.74</v>
      </c>
      <c r="BK126" t="s">
        <v>1125</v>
      </c>
      <c r="BL126">
        <v>1.59</v>
      </c>
      <c r="BP126" t="s">
        <v>680</v>
      </c>
      <c r="BQ126">
        <v>325.93</v>
      </c>
      <c r="BR126" t="s">
        <v>1124</v>
      </c>
      <c r="BS126">
        <v>327.65600000000001</v>
      </c>
    </row>
    <row r="127" spans="1:71" ht="13.15" x14ac:dyDescent="0.4">
      <c r="C127" t="s">
        <v>695</v>
      </c>
      <c r="D127">
        <v>303.8</v>
      </c>
      <c r="H127" t="s">
        <v>699</v>
      </c>
      <c r="I127">
        <v>-52.73</v>
      </c>
      <c r="J127" t="s">
        <v>695</v>
      </c>
      <c r="K127">
        <v>-63.57</v>
      </c>
      <c r="Q127" t="s">
        <v>695</v>
      </c>
      <c r="R127">
        <v>-48.929600000000001</v>
      </c>
      <c r="V127" t="s">
        <v>281</v>
      </c>
      <c r="W127" s="1">
        <f>STDEV(W5:W125)</f>
        <v>6.8392810103679436</v>
      </c>
      <c r="X127" t="s">
        <v>695</v>
      </c>
      <c r="Y127">
        <v>14.6404</v>
      </c>
      <c r="AD127" t="s">
        <v>161</v>
      </c>
      <c r="AF127">
        <v>72.790000000000006</v>
      </c>
      <c r="AH127" t="s">
        <v>161</v>
      </c>
      <c r="AJ127">
        <f>63*AF127/100</f>
        <v>45.857700000000001</v>
      </c>
      <c r="AK127" t="s">
        <v>678</v>
      </c>
      <c r="AM127">
        <v>85.65</v>
      </c>
      <c r="AO127" t="s">
        <v>678</v>
      </c>
      <c r="AQ127">
        <f t="shared" si="11"/>
        <v>53.959500000000006</v>
      </c>
      <c r="AR127" t="s">
        <v>1113</v>
      </c>
      <c r="AT127">
        <v>53.46</v>
      </c>
      <c r="AV127" t="s">
        <v>1113</v>
      </c>
      <c r="AX127">
        <f>63*Supplementary_Fig7!AM127/100</f>
        <v>0</v>
      </c>
      <c r="BA127" s="1">
        <f>AVERAGE(BA5:BA126)</f>
        <v>84.822987397540942</v>
      </c>
      <c r="BB127" t="s">
        <v>682</v>
      </c>
      <c r="BC127">
        <v>105.08</v>
      </c>
      <c r="BD127" t="s">
        <v>1126</v>
      </c>
      <c r="BE127">
        <v>100.68</v>
      </c>
      <c r="BH127" s="1">
        <f>AVERAGE(BH5:BH126)</f>
        <v>2.1090491803278688</v>
      </c>
      <c r="BI127" t="s">
        <v>682</v>
      </c>
      <c r="BJ127">
        <v>1.62</v>
      </c>
      <c r="BK127" t="s">
        <v>1126</v>
      </c>
      <c r="BL127">
        <v>1.4</v>
      </c>
      <c r="BP127" t="s">
        <v>682</v>
      </c>
      <c r="BQ127">
        <v>338.52300000000002</v>
      </c>
      <c r="BS127" s="1">
        <f>AVERAGE(BS5:BS126)</f>
        <v>304.07517310924368</v>
      </c>
    </row>
    <row r="128" spans="1:71" ht="13.15" x14ac:dyDescent="0.4">
      <c r="C128" t="s">
        <v>397</v>
      </c>
      <c r="D128" s="1">
        <f>AVERAGE(D5:D127)</f>
        <v>337.96398373983743</v>
      </c>
      <c r="H128" t="s">
        <v>702</v>
      </c>
      <c r="I128">
        <v>-63.1</v>
      </c>
      <c r="J128" t="s">
        <v>397</v>
      </c>
      <c r="K128" s="1">
        <f>AVERAGE(K5:K127)</f>
        <v>-65.239593495934926</v>
      </c>
      <c r="Q128" t="s">
        <v>397</v>
      </c>
      <c r="R128" s="1">
        <f>AVERAGE(R5:R127)</f>
        <v>-44.664641951219529</v>
      </c>
      <c r="V128" t="s">
        <v>284</v>
      </c>
      <c r="W128" s="1">
        <f>W127/SQRT(121)</f>
        <v>0.62175281912435854</v>
      </c>
      <c r="X128" t="s">
        <v>397</v>
      </c>
      <c r="Y128" s="1">
        <f>AVERAGE(Y5:Y127)</f>
        <v>20.574951544715454</v>
      </c>
      <c r="AD128" t="s">
        <v>158</v>
      </c>
      <c r="AE128">
        <v>60.57</v>
      </c>
      <c r="AH128" t="s">
        <v>158</v>
      </c>
      <c r="AI128">
        <f>63*AE128/100</f>
        <v>38.159099999999995</v>
      </c>
      <c r="AK128" t="s">
        <v>680</v>
      </c>
      <c r="AM128">
        <v>91.47</v>
      </c>
      <c r="AO128" t="s">
        <v>680</v>
      </c>
      <c r="AQ128">
        <f t="shared" si="11"/>
        <v>57.626099999999994</v>
      </c>
      <c r="AR128" t="s">
        <v>1114</v>
      </c>
      <c r="AT128">
        <v>52.91</v>
      </c>
      <c r="AV128" t="s">
        <v>1114</v>
      </c>
      <c r="AX128">
        <f>63*Supplementary_Fig7!AM128/100</f>
        <v>0</v>
      </c>
      <c r="BB128" t="s">
        <v>684</v>
      </c>
      <c r="BC128">
        <v>87.87</v>
      </c>
      <c r="BE128" s="1">
        <f>AVERAGE(BE5:BE127)</f>
        <v>104.3994705882353</v>
      </c>
      <c r="BI128" t="s">
        <v>684</v>
      </c>
      <c r="BJ128">
        <v>1.89</v>
      </c>
      <c r="BL128" s="1">
        <f>AVERAGE(BL5:BL127)</f>
        <v>1.4582605042016805</v>
      </c>
      <c r="BP128" t="s">
        <v>684</v>
      </c>
      <c r="BQ128">
        <v>243.89500000000001</v>
      </c>
    </row>
    <row r="129" spans="3:69" ht="13.15" x14ac:dyDescent="0.4">
      <c r="C129" t="s">
        <v>281</v>
      </c>
      <c r="D129" s="1">
        <f>STDEV(D5:D127)</f>
        <v>80.195113325020088</v>
      </c>
      <c r="H129" t="s">
        <v>703</v>
      </c>
      <c r="I129">
        <v>-56.73</v>
      </c>
      <c r="J129" t="s">
        <v>281</v>
      </c>
      <c r="K129" s="1">
        <f>STDEV(K5:K127)</f>
        <v>6.9627043217955089</v>
      </c>
      <c r="Q129" t="s">
        <v>281</v>
      </c>
      <c r="R129" s="1">
        <f>STDEV(R5:R127)</f>
        <v>6.5034714063374501</v>
      </c>
      <c r="X129" t="s">
        <v>281</v>
      </c>
      <c r="Y129" s="1">
        <f>STDEV(Y5:Y127)</f>
        <v>6.9041144651908199</v>
      </c>
      <c r="AD129" t="s">
        <v>1127</v>
      </c>
      <c r="AE129">
        <v>89.38</v>
      </c>
      <c r="AH129" t="s">
        <v>1127</v>
      </c>
      <c r="AI129">
        <f>63*AE129/100</f>
        <v>56.309399999999997</v>
      </c>
      <c r="AK129" t="s">
        <v>682</v>
      </c>
      <c r="AM129">
        <v>86.72</v>
      </c>
      <c r="AO129" t="s">
        <v>682</v>
      </c>
      <c r="AQ129">
        <f t="shared" si="11"/>
        <v>54.633599999999994</v>
      </c>
      <c r="AR129" t="s">
        <v>1116</v>
      </c>
      <c r="AT129">
        <v>21.86</v>
      </c>
      <c r="AV129" t="s">
        <v>1116</v>
      </c>
      <c r="AX129">
        <f>63*Supplementary_Fig7!AM129/100</f>
        <v>0</v>
      </c>
      <c r="BB129" t="s">
        <v>686</v>
      </c>
      <c r="BC129">
        <v>106.77</v>
      </c>
      <c r="BI129" t="s">
        <v>686</v>
      </c>
      <c r="BJ129">
        <v>1.7</v>
      </c>
      <c r="BP129" t="s">
        <v>686</v>
      </c>
      <c r="BQ129">
        <v>302.38099999999997</v>
      </c>
    </row>
    <row r="130" spans="3:69" ht="13.15" x14ac:dyDescent="0.4">
      <c r="C130" t="s">
        <v>284</v>
      </c>
      <c r="D130" s="1">
        <f>D129/SQRT(123)</f>
        <v>7.2309498533884193</v>
      </c>
      <c r="H130" t="s">
        <v>704</v>
      </c>
      <c r="I130">
        <v>-62</v>
      </c>
      <c r="J130" t="s">
        <v>284</v>
      </c>
      <c r="K130" s="1">
        <f>K129/SQRT(123)</f>
        <v>0.62780590621307086</v>
      </c>
      <c r="Q130" t="s">
        <v>284</v>
      </c>
      <c r="R130" s="1">
        <f>STDEV(R6:R128)/SQRT(123)</f>
        <v>0.58631981574210446</v>
      </c>
      <c r="X130" t="s">
        <v>284</v>
      </c>
      <c r="Y130" s="1">
        <f>Y129/SQRT(123)</f>
        <v>0.62252303675307408</v>
      </c>
      <c r="AD130" t="s">
        <v>168</v>
      </c>
      <c r="AF130">
        <v>92.56</v>
      </c>
      <c r="AH130" t="s">
        <v>168</v>
      </c>
      <c r="AJ130">
        <f>63*AF130/100</f>
        <v>58.312799999999996</v>
      </c>
      <c r="AK130" t="s">
        <v>684</v>
      </c>
      <c r="AM130">
        <v>99.14</v>
      </c>
      <c r="AO130" t="s">
        <v>684</v>
      </c>
      <c r="AQ130">
        <f t="shared" si="11"/>
        <v>62.458199999999998</v>
      </c>
      <c r="AR130" t="s">
        <v>1118</v>
      </c>
      <c r="AT130">
        <v>59.42</v>
      </c>
      <c r="AV130" t="s">
        <v>1118</v>
      </c>
      <c r="AX130">
        <f>63*Supplementary_Fig7!AM130/100</f>
        <v>0</v>
      </c>
      <c r="BB130" t="s">
        <v>688</v>
      </c>
      <c r="BC130">
        <v>101.6</v>
      </c>
      <c r="BI130" t="s">
        <v>688</v>
      </c>
      <c r="BJ130">
        <v>1.72</v>
      </c>
      <c r="BP130" t="s">
        <v>688</v>
      </c>
      <c r="BQ130">
        <v>283.83199999999999</v>
      </c>
    </row>
    <row r="131" spans="3:69" x14ac:dyDescent="0.35">
      <c r="H131" t="s">
        <v>705</v>
      </c>
      <c r="I131">
        <v>-58.83</v>
      </c>
      <c r="AD131" t="s">
        <v>172</v>
      </c>
      <c r="AE131">
        <v>75.13</v>
      </c>
      <c r="AH131" t="s">
        <v>172</v>
      </c>
      <c r="AI131">
        <f>63*AE131/100</f>
        <v>47.331899999999997</v>
      </c>
      <c r="AK131" t="s">
        <v>686</v>
      </c>
      <c r="AM131">
        <v>87.33</v>
      </c>
      <c r="AO131" t="s">
        <v>686</v>
      </c>
      <c r="AQ131">
        <f t="shared" si="11"/>
        <v>55.017899999999997</v>
      </c>
      <c r="AR131" t="s">
        <v>1120</v>
      </c>
      <c r="AS131">
        <v>70.31</v>
      </c>
      <c r="AV131" t="s">
        <v>1120</v>
      </c>
      <c r="AW131">
        <f>63*Supplementary_Fig7!AL131/100</f>
        <v>0</v>
      </c>
      <c r="BB131" t="s">
        <v>689</v>
      </c>
      <c r="BC131">
        <v>85.36</v>
      </c>
      <c r="BI131" t="s">
        <v>689</v>
      </c>
      <c r="BJ131">
        <v>1.63</v>
      </c>
      <c r="BP131" t="s">
        <v>689</v>
      </c>
      <c r="BQ131">
        <v>241.453</v>
      </c>
    </row>
    <row r="132" spans="3:69" x14ac:dyDescent="0.35">
      <c r="H132" t="s">
        <v>706</v>
      </c>
      <c r="I132">
        <v>-64.73</v>
      </c>
      <c r="AD132" t="s">
        <v>1129</v>
      </c>
      <c r="AE132">
        <v>84.78</v>
      </c>
      <c r="AH132" t="s">
        <v>1129</v>
      </c>
      <c r="AI132">
        <f>63*AE132/100</f>
        <v>53.4114</v>
      </c>
      <c r="AK132" t="s">
        <v>688</v>
      </c>
      <c r="AM132">
        <v>74.7</v>
      </c>
      <c r="AO132" t="s">
        <v>688</v>
      </c>
      <c r="AQ132">
        <f t="shared" si="11"/>
        <v>47.061000000000007</v>
      </c>
      <c r="AR132" t="s">
        <v>1122</v>
      </c>
      <c r="AS132">
        <v>72.819999999999993</v>
      </c>
      <c r="AV132" t="s">
        <v>1122</v>
      </c>
      <c r="AW132">
        <f>63*Supplementary_Fig7!AL132/100</f>
        <v>0</v>
      </c>
      <c r="BB132" t="s">
        <v>690</v>
      </c>
      <c r="BC132">
        <v>98.28</v>
      </c>
      <c r="BI132" t="s">
        <v>690</v>
      </c>
      <c r="BJ132">
        <v>1.28</v>
      </c>
      <c r="BP132" t="s">
        <v>690</v>
      </c>
      <c r="BQ132">
        <v>474.54199999999997</v>
      </c>
    </row>
    <row r="133" spans="3:69" x14ac:dyDescent="0.35">
      <c r="H133" t="s">
        <v>707</v>
      </c>
      <c r="I133">
        <v>-62.8</v>
      </c>
      <c r="AD133" t="s">
        <v>177</v>
      </c>
      <c r="AF133">
        <v>55.84</v>
      </c>
      <c r="AH133" t="s">
        <v>177</v>
      </c>
      <c r="AJ133">
        <f>63*AF133/100</f>
        <v>35.179200000000002</v>
      </c>
      <c r="AK133" t="s">
        <v>689</v>
      </c>
      <c r="AL133">
        <v>97.34</v>
      </c>
      <c r="AO133" t="s">
        <v>689</v>
      </c>
      <c r="AP133">
        <f>63*AL133/100</f>
        <v>61.324199999999998</v>
      </c>
      <c r="AR133" t="s">
        <v>1124</v>
      </c>
      <c r="AT133">
        <v>54.06</v>
      </c>
      <c r="AV133" t="s">
        <v>1124</v>
      </c>
      <c r="AX133">
        <f>63*Supplementary_Fig7!AM133/100</f>
        <v>0</v>
      </c>
      <c r="BB133" t="s">
        <v>691</v>
      </c>
      <c r="BC133">
        <v>119.98</v>
      </c>
      <c r="BI133" t="s">
        <v>691</v>
      </c>
      <c r="BJ133">
        <v>1.32</v>
      </c>
      <c r="BP133" t="s">
        <v>691</v>
      </c>
      <c r="BQ133">
        <v>371.44600000000003</v>
      </c>
    </row>
    <row r="134" spans="3:69" ht="13.15" x14ac:dyDescent="0.4">
      <c r="H134" t="s">
        <v>205</v>
      </c>
      <c r="I134">
        <v>-62.14</v>
      </c>
      <c r="AD134" t="s">
        <v>201</v>
      </c>
      <c r="AF134">
        <v>50.69</v>
      </c>
      <c r="AH134" t="s">
        <v>201</v>
      </c>
      <c r="AJ134">
        <f>63*AF134/100</f>
        <v>31.934699999999999</v>
      </c>
      <c r="AK134" t="s">
        <v>690</v>
      </c>
      <c r="AL134">
        <v>101.55</v>
      </c>
      <c r="AO134" t="s">
        <v>690</v>
      </c>
      <c r="AP134">
        <f>63*AL134/100</f>
        <v>63.976499999999994</v>
      </c>
      <c r="AT134" s="1">
        <f>AVERAGE(Supplementary_Fig7!AL5:AM133)</f>
        <v>7.3181818181818183</v>
      </c>
      <c r="AX134" s="1">
        <f>AVERAGE(Supplementary_Fig7!AP5:AQ133)</f>
        <v>5.1826086956521742</v>
      </c>
      <c r="BB134" t="s">
        <v>692</v>
      </c>
      <c r="BC134">
        <v>104.37</v>
      </c>
      <c r="BI134" t="s">
        <v>692</v>
      </c>
      <c r="BJ134">
        <v>1.25</v>
      </c>
      <c r="BP134" t="s">
        <v>692</v>
      </c>
      <c r="BQ134">
        <v>374.31400000000002</v>
      </c>
    </row>
    <row r="135" spans="3:69" x14ac:dyDescent="0.35">
      <c r="H135" t="s">
        <v>708</v>
      </c>
      <c r="I135">
        <v>-60.94</v>
      </c>
      <c r="AD135" t="s">
        <v>1130</v>
      </c>
      <c r="AF135">
        <v>39.19</v>
      </c>
      <c r="AH135" t="s">
        <v>1130</v>
      </c>
      <c r="AJ135">
        <f>63*AF135/100</f>
        <v>24.689699999999998</v>
      </c>
      <c r="AK135" t="s">
        <v>691</v>
      </c>
      <c r="AM135">
        <v>88.66</v>
      </c>
      <c r="AO135" t="s">
        <v>691</v>
      </c>
      <c r="AQ135">
        <f>63*AM135/100</f>
        <v>55.855800000000002</v>
      </c>
      <c r="BB135" t="s">
        <v>693</v>
      </c>
      <c r="BC135">
        <v>99.6</v>
      </c>
      <c r="BI135" t="s">
        <v>693</v>
      </c>
      <c r="BJ135">
        <v>1.48</v>
      </c>
      <c r="BP135" t="s">
        <v>693</v>
      </c>
      <c r="BQ135">
        <v>332.601</v>
      </c>
    </row>
    <row r="136" spans="3:69" x14ac:dyDescent="0.35">
      <c r="H136" t="s">
        <v>208</v>
      </c>
      <c r="I136">
        <v>-54.47</v>
      </c>
      <c r="AD136" t="s">
        <v>1131</v>
      </c>
      <c r="AE136">
        <v>71.17</v>
      </c>
      <c r="AH136" t="s">
        <v>1131</v>
      </c>
      <c r="AI136">
        <f>63*AE136/100</f>
        <v>44.8371</v>
      </c>
      <c r="AK136" t="s">
        <v>692</v>
      </c>
      <c r="AL136">
        <v>75.36</v>
      </c>
      <c r="AO136" t="s">
        <v>692</v>
      </c>
      <c r="AP136">
        <f>63*AL136/100</f>
        <v>47.476800000000004</v>
      </c>
      <c r="BB136" t="s">
        <v>694</v>
      </c>
      <c r="BC136">
        <v>85.43</v>
      </c>
      <c r="BI136" t="s">
        <v>694</v>
      </c>
      <c r="BJ136">
        <v>1.62</v>
      </c>
      <c r="BP136" t="s">
        <v>694</v>
      </c>
      <c r="BQ136">
        <v>296.52</v>
      </c>
    </row>
    <row r="137" spans="3:69" x14ac:dyDescent="0.35">
      <c r="H137" t="s">
        <v>213</v>
      </c>
      <c r="I137">
        <v>-64.599999999999994</v>
      </c>
      <c r="AD137" t="s">
        <v>1132</v>
      </c>
      <c r="AF137">
        <v>48.43</v>
      </c>
      <c r="AH137" t="s">
        <v>1132</v>
      </c>
      <c r="AJ137">
        <f>63*AF137/100</f>
        <v>30.510900000000003</v>
      </c>
      <c r="AK137" t="s">
        <v>693</v>
      </c>
      <c r="AM137">
        <v>98.36</v>
      </c>
      <c r="AO137" t="s">
        <v>693</v>
      </c>
      <c r="AQ137">
        <f>63*AM137/100</f>
        <v>61.966800000000006</v>
      </c>
      <c r="BB137" t="s">
        <v>695</v>
      </c>
      <c r="BC137">
        <v>91.04</v>
      </c>
      <c r="BI137" t="s">
        <v>695</v>
      </c>
      <c r="BJ137">
        <v>1.32</v>
      </c>
      <c r="BP137" t="s">
        <v>695</v>
      </c>
      <c r="BQ137">
        <v>312.27100000000002</v>
      </c>
    </row>
    <row r="138" spans="3:69" ht="13.15" x14ac:dyDescent="0.4">
      <c r="H138" t="s">
        <v>216</v>
      </c>
      <c r="I138">
        <v>-70.430000000000007</v>
      </c>
      <c r="AD138" t="s">
        <v>1133</v>
      </c>
      <c r="AF138">
        <v>39.729999999999997</v>
      </c>
      <c r="AH138" t="s">
        <v>1133</v>
      </c>
      <c r="AJ138">
        <f>63*AF138/100</f>
        <v>25.029899999999998</v>
      </c>
      <c r="AK138" t="s">
        <v>694</v>
      </c>
      <c r="AM138">
        <v>79.03</v>
      </c>
      <c r="AO138" t="s">
        <v>694</v>
      </c>
      <c r="AQ138">
        <f>63*AM138/100</f>
        <v>49.788900000000005</v>
      </c>
      <c r="BC138" s="1">
        <f>AVERAGE(BC5:BD137)</f>
        <v>101.8330708661418</v>
      </c>
      <c r="BJ138" s="1">
        <f>AVERAGE(BJ5:BJ137)</f>
        <v>1.6641230769230775</v>
      </c>
      <c r="BQ138" s="1">
        <f>AVERAGE(BQ5:BR137)</f>
        <v>302.70670542635679</v>
      </c>
    </row>
    <row r="139" spans="3:69" x14ac:dyDescent="0.35">
      <c r="H139" t="s">
        <v>219</v>
      </c>
      <c r="I139">
        <v>-68.680000000000007</v>
      </c>
      <c r="AD139" t="s">
        <v>1134</v>
      </c>
      <c r="AE139">
        <v>46.19</v>
      </c>
      <c r="AH139" t="s">
        <v>1134</v>
      </c>
      <c r="AI139">
        <f>63*AE139/100</f>
        <v>29.099699999999999</v>
      </c>
      <c r="AK139" t="s">
        <v>695</v>
      </c>
      <c r="AL139">
        <v>63.8</v>
      </c>
      <c r="AO139" t="s">
        <v>695</v>
      </c>
      <c r="AP139">
        <f>63*AL139/100</f>
        <v>40.193999999999996</v>
      </c>
    </row>
    <row r="140" spans="3:69" x14ac:dyDescent="0.35">
      <c r="H140" t="s">
        <v>709</v>
      </c>
      <c r="I140">
        <v>-75.33</v>
      </c>
      <c r="AD140" t="s">
        <v>1135</v>
      </c>
      <c r="AE140">
        <v>77.790000000000006</v>
      </c>
      <c r="AH140" t="s">
        <v>1135</v>
      </c>
      <c r="AI140">
        <f>63*AE140/100</f>
        <v>49.007700000000007</v>
      </c>
      <c r="AK140" t="s">
        <v>228</v>
      </c>
      <c r="AM140">
        <v>75.47</v>
      </c>
      <c r="AO140" t="s">
        <v>228</v>
      </c>
      <c r="AQ140">
        <f>63*AM140/100</f>
        <v>47.546099999999996</v>
      </c>
    </row>
    <row r="141" spans="3:69" x14ac:dyDescent="0.35">
      <c r="H141" t="s">
        <v>710</v>
      </c>
      <c r="I141">
        <v>-60.13</v>
      </c>
      <c r="AD141" t="s">
        <v>1136</v>
      </c>
      <c r="AF141">
        <v>73</v>
      </c>
      <c r="AH141" t="s">
        <v>1136</v>
      </c>
      <c r="AJ141">
        <f>63*AF141/100</f>
        <v>45.99</v>
      </c>
      <c r="AK141" t="s">
        <v>1138</v>
      </c>
      <c r="AM141">
        <v>61.28</v>
      </c>
      <c r="AO141" t="s">
        <v>1138</v>
      </c>
      <c r="AQ141">
        <f>63*AM141/100</f>
        <v>38.606400000000001</v>
      </c>
    </row>
    <row r="142" spans="3:69" ht="13.15" x14ac:dyDescent="0.4">
      <c r="H142" t="s">
        <v>712</v>
      </c>
      <c r="I142">
        <v>-61.21</v>
      </c>
      <c r="AF142" s="1">
        <f>AVERAGE(AE5:AF141)</f>
        <v>61.554609374999998</v>
      </c>
      <c r="AJ142" s="1">
        <f>AVERAGE(AI5:AJ141)</f>
        <v>38.779403906249989</v>
      </c>
      <c r="AK142" t="s">
        <v>1139</v>
      </c>
      <c r="AL142">
        <v>44.87</v>
      </c>
      <c r="AO142" t="s">
        <v>1139</v>
      </c>
      <c r="AP142">
        <f>63*AL142/100</f>
        <v>28.2681</v>
      </c>
    </row>
    <row r="143" spans="3:69" x14ac:dyDescent="0.35">
      <c r="H143" t="s">
        <v>713</v>
      </c>
      <c r="I143">
        <v>-67</v>
      </c>
      <c r="AK143" t="s">
        <v>1140</v>
      </c>
      <c r="AM143">
        <v>85.07</v>
      </c>
      <c r="AO143" t="s">
        <v>1140</v>
      </c>
      <c r="AQ143">
        <f>63*AM143/100</f>
        <v>53.594099999999997</v>
      </c>
    </row>
    <row r="144" spans="3:69" x14ac:dyDescent="0.35">
      <c r="H144" t="s">
        <v>714</v>
      </c>
      <c r="I144">
        <v>-53.47</v>
      </c>
      <c r="AK144" t="s">
        <v>1141</v>
      </c>
      <c r="AM144">
        <v>57.55</v>
      </c>
      <c r="AO144" t="s">
        <v>1141</v>
      </c>
      <c r="AQ144">
        <f>63*AM144/100</f>
        <v>36.256499999999996</v>
      </c>
    </row>
    <row r="145" spans="8:43" x14ac:dyDescent="0.35">
      <c r="H145" t="s">
        <v>715</v>
      </c>
      <c r="I145">
        <v>-59.33</v>
      </c>
      <c r="AK145" t="s">
        <v>1142</v>
      </c>
      <c r="AM145">
        <v>98.36</v>
      </c>
      <c r="AO145" t="s">
        <v>1142</v>
      </c>
      <c r="AQ145">
        <f>63*AM145/100</f>
        <v>61.966800000000006</v>
      </c>
    </row>
    <row r="146" spans="8:43" x14ac:dyDescent="0.35">
      <c r="H146" t="s">
        <v>716</v>
      </c>
      <c r="I146">
        <v>-62.12</v>
      </c>
      <c r="AK146" t="s">
        <v>942</v>
      </c>
      <c r="AL146">
        <v>66.61</v>
      </c>
      <c r="AO146" t="s">
        <v>942</v>
      </c>
      <c r="AP146">
        <f>63*AL146/100</f>
        <v>41.964300000000001</v>
      </c>
    </row>
    <row r="147" spans="8:43" x14ac:dyDescent="0.35">
      <c r="H147" t="s">
        <v>717</v>
      </c>
      <c r="I147">
        <v>-71.78</v>
      </c>
      <c r="AK147" t="s">
        <v>933</v>
      </c>
      <c r="AM147">
        <v>98.53</v>
      </c>
      <c r="AO147" t="s">
        <v>933</v>
      </c>
      <c r="AQ147">
        <f>63*AM147/100</f>
        <v>62.073900000000002</v>
      </c>
    </row>
    <row r="148" spans="8:43" x14ac:dyDescent="0.35">
      <c r="H148" t="s">
        <v>718</v>
      </c>
      <c r="I148">
        <v>-56.54</v>
      </c>
      <c r="AK148" t="s">
        <v>934</v>
      </c>
      <c r="AL148">
        <v>77.45</v>
      </c>
      <c r="AO148" t="s">
        <v>934</v>
      </c>
      <c r="AP148">
        <f>63*AL148/100</f>
        <v>48.793500000000002</v>
      </c>
    </row>
    <row r="149" spans="8:43" x14ac:dyDescent="0.35">
      <c r="H149" t="s">
        <v>719</v>
      </c>
      <c r="I149">
        <v>-65.3</v>
      </c>
      <c r="AK149" t="s">
        <v>935</v>
      </c>
      <c r="AM149">
        <v>69.540000000000006</v>
      </c>
      <c r="AO149" t="s">
        <v>935</v>
      </c>
      <c r="AQ149">
        <f>63*AM149/100</f>
        <v>43.810200000000002</v>
      </c>
    </row>
    <row r="150" spans="8:43" x14ac:dyDescent="0.35">
      <c r="H150" t="s">
        <v>720</v>
      </c>
      <c r="I150">
        <v>-61.31</v>
      </c>
      <c r="AK150" t="s">
        <v>936</v>
      </c>
      <c r="AL150">
        <v>85.84</v>
      </c>
      <c r="AO150" t="s">
        <v>936</v>
      </c>
      <c r="AP150">
        <f>63*AL150/100</f>
        <v>54.0792</v>
      </c>
    </row>
    <row r="151" spans="8:43" x14ac:dyDescent="0.35">
      <c r="H151" t="s">
        <v>721</v>
      </c>
      <c r="I151">
        <v>-54.73</v>
      </c>
      <c r="AK151" t="s">
        <v>937</v>
      </c>
      <c r="AM151">
        <v>107.53</v>
      </c>
      <c r="AO151" t="s">
        <v>937</v>
      </c>
      <c r="AQ151">
        <f>63*AM151/100</f>
        <v>67.743899999999996</v>
      </c>
    </row>
    <row r="152" spans="8:43" x14ac:dyDescent="0.35">
      <c r="H152" t="s">
        <v>722</v>
      </c>
      <c r="I152">
        <v>-67.56</v>
      </c>
      <c r="AK152" t="s">
        <v>938</v>
      </c>
      <c r="AM152">
        <v>70.930000000000007</v>
      </c>
      <c r="AO152" t="s">
        <v>938</v>
      </c>
      <c r="AQ152">
        <f>63*AM152/100</f>
        <v>44.685900000000004</v>
      </c>
    </row>
    <row r="153" spans="8:43" x14ac:dyDescent="0.35">
      <c r="H153" t="s">
        <v>723</v>
      </c>
      <c r="I153">
        <v>-63.34</v>
      </c>
      <c r="AK153" t="s">
        <v>939</v>
      </c>
      <c r="AL153">
        <v>79.81</v>
      </c>
      <c r="AO153" t="s">
        <v>939</v>
      </c>
      <c r="AP153">
        <f>63*AL153/100</f>
        <v>50.280299999999997</v>
      </c>
    </row>
    <row r="154" spans="8:43" x14ac:dyDescent="0.35">
      <c r="H154" t="s">
        <v>724</v>
      </c>
      <c r="I154">
        <v>-60.88</v>
      </c>
      <c r="AK154" t="s">
        <v>940</v>
      </c>
      <c r="AM154">
        <v>64.209999999999994</v>
      </c>
      <c r="AO154" t="s">
        <v>940</v>
      </c>
      <c r="AQ154">
        <f>63*AM154/100</f>
        <v>40.452299999999994</v>
      </c>
    </row>
    <row r="155" spans="8:43" ht="13.15" x14ac:dyDescent="0.4">
      <c r="H155" t="s">
        <v>725</v>
      </c>
      <c r="I155">
        <v>-59.11</v>
      </c>
      <c r="AM155" s="1">
        <f>AVERAGE(AL5:AM154)</f>
        <v>79.317328767123314</v>
      </c>
      <c r="AQ155" s="1">
        <f>AVERAGE(AP5:AQ154)</f>
        <v>49.969917123287686</v>
      </c>
    </row>
    <row r="156" spans="8:43" x14ac:dyDescent="0.35">
      <c r="H156" t="s">
        <v>726</v>
      </c>
      <c r="I156">
        <v>-58.77</v>
      </c>
    </row>
    <row r="157" spans="8:43" x14ac:dyDescent="0.35">
      <c r="H157" t="s">
        <v>727</v>
      </c>
      <c r="I157">
        <v>-60.52</v>
      </c>
    </row>
    <row r="158" spans="8:43" x14ac:dyDescent="0.35">
      <c r="H158" t="s">
        <v>728</v>
      </c>
      <c r="I158">
        <v>-55.35</v>
      </c>
    </row>
    <row r="159" spans="8:43" x14ac:dyDescent="0.35">
      <c r="H159" t="s">
        <v>729</v>
      </c>
      <c r="I159">
        <v>-62.25</v>
      </c>
    </row>
    <row r="160" spans="8:43" x14ac:dyDescent="0.35">
      <c r="H160" t="s">
        <v>730</v>
      </c>
      <c r="I160">
        <v>-59.39</v>
      </c>
    </row>
    <row r="161" spans="8:9" x14ac:dyDescent="0.35">
      <c r="H161" t="s">
        <v>731</v>
      </c>
      <c r="I161">
        <v>-57.12</v>
      </c>
    </row>
    <row r="162" spans="8:9" x14ac:dyDescent="0.35">
      <c r="H162" t="s">
        <v>732</v>
      </c>
      <c r="I162">
        <v>-62.23</v>
      </c>
    </row>
    <row r="163" spans="8:9" x14ac:dyDescent="0.35">
      <c r="H163" t="s">
        <v>733</v>
      </c>
      <c r="I163">
        <v>-58.73</v>
      </c>
    </row>
    <row r="164" spans="8:9" x14ac:dyDescent="0.35">
      <c r="H164" t="s">
        <v>734</v>
      </c>
      <c r="I164">
        <v>-58.17</v>
      </c>
    </row>
    <row r="165" spans="8:9" x14ac:dyDescent="0.35">
      <c r="H165" t="s">
        <v>735</v>
      </c>
      <c r="I165">
        <v>-64.63</v>
      </c>
    </row>
    <row r="166" spans="8:9" x14ac:dyDescent="0.35">
      <c r="H166" t="s">
        <v>736</v>
      </c>
      <c r="I166">
        <v>-59.68</v>
      </c>
    </row>
    <row r="167" spans="8:9" x14ac:dyDescent="0.35">
      <c r="H167" t="s">
        <v>737</v>
      </c>
      <c r="I167">
        <v>-56.64</v>
      </c>
    </row>
    <row r="168" spans="8:9" x14ac:dyDescent="0.35">
      <c r="H168" t="s">
        <v>738</v>
      </c>
      <c r="I168">
        <v>-59.73</v>
      </c>
    </row>
    <row r="169" spans="8:9" x14ac:dyDescent="0.35">
      <c r="H169" t="s">
        <v>739</v>
      </c>
      <c r="I169">
        <v>-67</v>
      </c>
    </row>
    <row r="170" spans="8:9" ht="13.15" x14ac:dyDescent="0.4">
      <c r="H170" t="s">
        <v>397</v>
      </c>
      <c r="I170" s="1">
        <f>AVERAGE(I5:I169)</f>
        <v>-56.715454545454527</v>
      </c>
    </row>
    <row r="171" spans="8:9" ht="13.15" x14ac:dyDescent="0.4">
      <c r="H171" t="s">
        <v>281</v>
      </c>
      <c r="I171" s="1">
        <f>STDEV(I5:I169)</f>
        <v>6.5402333118809732</v>
      </c>
    </row>
    <row r="172" spans="8:9" ht="13.15" x14ac:dyDescent="0.4">
      <c r="H172" t="s">
        <v>284</v>
      </c>
      <c r="I172" s="1">
        <f>I171/SQRT(166)</f>
        <v>0.5076205523258488</v>
      </c>
    </row>
  </sheetData>
  <mergeCells count="35">
    <mergeCell ref="BK3:BL3"/>
    <mergeCell ref="BN3:BO3"/>
    <mergeCell ref="BP3:BQ3"/>
    <mergeCell ref="BR3:BS3"/>
    <mergeCell ref="AZ3:BA3"/>
    <mergeCell ref="BB3:BC3"/>
    <mergeCell ref="BD3:BE3"/>
    <mergeCell ref="BG3:BH3"/>
    <mergeCell ref="BI3:BJ3"/>
    <mergeCell ref="AH3:AJ3"/>
    <mergeCell ref="AK3:AN3"/>
    <mergeCell ref="AO3:AQ3"/>
    <mergeCell ref="AR3:AU3"/>
    <mergeCell ref="AV3:AX3"/>
    <mergeCell ref="AZ2:BE2"/>
    <mergeCell ref="BG2:BL2"/>
    <mergeCell ref="BN2:BS2"/>
    <mergeCell ref="A3:B3"/>
    <mergeCell ref="C3:D3"/>
    <mergeCell ref="E3:F3"/>
    <mergeCell ref="H3:I3"/>
    <mergeCell ref="J3:K3"/>
    <mergeCell ref="L3:M3"/>
    <mergeCell ref="O3:P3"/>
    <mergeCell ref="Q3:R3"/>
    <mergeCell ref="S3:T3"/>
    <mergeCell ref="V3:W3"/>
    <mergeCell ref="X3:Y3"/>
    <mergeCell ref="Z3:AA3"/>
    <mergeCell ref="AD3:AG3"/>
    <mergeCell ref="A2:F2"/>
    <mergeCell ref="H2:M2"/>
    <mergeCell ref="O2:T2"/>
    <mergeCell ref="V2:AA2"/>
    <mergeCell ref="AD2:AX2"/>
  </mergeCells>
  <pageMargins left="0.78749999999999998" right="0.78749999999999998" top="1.05277777777778" bottom="1.05277777777778" header="0.78749999999999998" footer="0.78749999999999998"/>
  <pageSetup firstPageNumber="0" orientation="portrait" horizontalDpi="1200" verticalDpi="1200" r:id="rId1"/>
  <headerFooter>
    <oddHeader>&amp;C&amp;"Times New Roman,Regular"&amp;12&amp;A</oddHeader>
    <oddFooter>&amp;C&amp;"Times New Roman,Regular"&amp;12Page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J68"/>
  <sheetViews>
    <sheetView zoomScale="120" zoomScaleNormal="120" workbookViewId="0"/>
  </sheetViews>
  <sheetFormatPr defaultRowHeight="12.75" x14ac:dyDescent="0.35"/>
  <cols>
    <col min="1" max="1025" width="11.33203125"/>
  </cols>
  <sheetData>
    <row r="1" spans="1:62" ht="131.25" x14ac:dyDescent="0.4">
      <c r="A1" s="37" t="s">
        <v>1182</v>
      </c>
    </row>
    <row r="3" spans="1:62" ht="15" x14ac:dyDescent="0.4">
      <c r="A3" s="43" t="s">
        <v>1183</v>
      </c>
      <c r="B3" s="43"/>
      <c r="C3" s="43"/>
      <c r="D3" s="43"/>
      <c r="E3" s="43"/>
      <c r="F3" s="43"/>
      <c r="H3" s="43" t="s">
        <v>1184</v>
      </c>
      <c r="I3" s="43"/>
      <c r="J3" s="43"/>
      <c r="K3" s="43"/>
      <c r="L3" s="43"/>
      <c r="M3" s="43"/>
      <c r="O3" s="43" t="s">
        <v>1185</v>
      </c>
      <c r="P3" s="43"/>
      <c r="Q3" s="43"/>
      <c r="R3" s="43"/>
      <c r="S3" s="43"/>
      <c r="T3" s="43"/>
      <c r="V3" s="43" t="s">
        <v>1186</v>
      </c>
      <c r="W3" s="43"/>
      <c r="X3" s="43"/>
      <c r="Y3" s="43"/>
      <c r="Z3" s="43"/>
      <c r="AA3" s="43"/>
      <c r="AC3" s="43" t="s">
        <v>1187</v>
      </c>
      <c r="AD3" s="43"/>
      <c r="AE3" s="43"/>
      <c r="AF3" s="43"/>
      <c r="AG3" s="43"/>
      <c r="AH3" s="43"/>
      <c r="AJ3" s="43" t="s">
        <v>1188</v>
      </c>
      <c r="AK3" s="43"/>
      <c r="AL3" s="43"/>
      <c r="AM3" s="43"/>
      <c r="AN3" s="43"/>
      <c r="AO3" s="43"/>
      <c r="AQ3" s="43" t="s">
        <v>1149</v>
      </c>
      <c r="AR3" s="43"/>
      <c r="AS3" s="43"/>
      <c r="AT3" s="43"/>
      <c r="AU3" s="43"/>
      <c r="AV3" s="43"/>
      <c r="AX3" s="43" t="s">
        <v>1189</v>
      </c>
      <c r="AY3" s="43"/>
      <c r="AZ3" s="43"/>
      <c r="BA3" s="43"/>
      <c r="BB3" s="43"/>
      <c r="BC3" s="43"/>
      <c r="BE3" s="43" t="s">
        <v>1190</v>
      </c>
      <c r="BF3" s="43"/>
      <c r="BG3" s="43"/>
      <c r="BH3" s="43"/>
      <c r="BI3" s="43"/>
      <c r="BJ3" s="43"/>
    </row>
    <row r="4" spans="1:62" x14ac:dyDescent="0.35">
      <c r="A4" s="49" t="s">
        <v>1031</v>
      </c>
      <c r="B4" s="49"/>
      <c r="C4" s="50" t="s">
        <v>9</v>
      </c>
      <c r="D4" s="50"/>
      <c r="E4" s="51" t="s">
        <v>10</v>
      </c>
      <c r="F4" s="51"/>
      <c r="H4" s="49" t="s">
        <v>1031</v>
      </c>
      <c r="I4" s="49"/>
      <c r="J4" s="50" t="s">
        <v>9</v>
      </c>
      <c r="K4" s="50"/>
      <c r="L4" s="51" t="s">
        <v>10</v>
      </c>
      <c r="M4" s="51"/>
      <c r="O4" s="49" t="s">
        <v>1031</v>
      </c>
      <c r="P4" s="49"/>
      <c r="Q4" s="50" t="s">
        <v>9</v>
      </c>
      <c r="R4" s="50"/>
      <c r="S4" s="51" t="s">
        <v>10</v>
      </c>
      <c r="T4" s="51"/>
      <c r="V4" s="49" t="s">
        <v>1031</v>
      </c>
      <c r="W4" s="49"/>
      <c r="X4" s="50" t="s">
        <v>9</v>
      </c>
      <c r="Y4" s="50"/>
      <c r="Z4" s="51" t="s">
        <v>10</v>
      </c>
      <c r="AA4" s="51"/>
      <c r="AC4" s="49" t="s">
        <v>1031</v>
      </c>
      <c r="AD4" s="49"/>
      <c r="AE4" s="50" t="s">
        <v>9</v>
      </c>
      <c r="AF4" s="50"/>
      <c r="AG4" s="51" t="s">
        <v>10</v>
      </c>
      <c r="AH4" s="51"/>
      <c r="AJ4" s="49" t="s">
        <v>1031</v>
      </c>
      <c r="AK4" s="49"/>
      <c r="AL4" s="50" t="s">
        <v>9</v>
      </c>
      <c r="AM4" s="50"/>
      <c r="AN4" s="51" t="s">
        <v>10</v>
      </c>
      <c r="AO4" s="51"/>
      <c r="AQ4" s="49" t="s">
        <v>1031</v>
      </c>
      <c r="AR4" s="49"/>
      <c r="AS4" s="50" t="s">
        <v>9</v>
      </c>
      <c r="AT4" s="50"/>
      <c r="AU4" s="51" t="s">
        <v>10</v>
      </c>
      <c r="AV4" s="51"/>
      <c r="AX4" s="49" t="s">
        <v>1031</v>
      </c>
      <c r="AY4" s="49"/>
      <c r="AZ4" s="50" t="s">
        <v>9</v>
      </c>
      <c r="BA4" s="50"/>
      <c r="BB4" s="51" t="s">
        <v>10</v>
      </c>
      <c r="BC4" s="51"/>
      <c r="BE4" s="49" t="s">
        <v>1031</v>
      </c>
      <c r="BF4" s="49"/>
      <c r="BG4" s="50" t="s">
        <v>9</v>
      </c>
      <c r="BH4" s="50"/>
      <c r="BI4" s="51" t="s">
        <v>10</v>
      </c>
      <c r="BJ4" s="51"/>
    </row>
    <row r="5" spans="1:62" ht="15" x14ac:dyDescent="0.5">
      <c r="A5" t="s">
        <v>15</v>
      </c>
      <c r="B5" t="s">
        <v>1191</v>
      </c>
      <c r="C5" t="s">
        <v>15</v>
      </c>
      <c r="D5" t="s">
        <v>1191</v>
      </c>
      <c r="E5" t="s">
        <v>15</v>
      </c>
      <c r="F5" t="s">
        <v>1191</v>
      </c>
      <c r="H5" t="s">
        <v>15</v>
      </c>
      <c r="I5" t="s">
        <v>863</v>
      </c>
      <c r="J5" t="s">
        <v>15</v>
      </c>
      <c r="K5" t="s">
        <v>863</v>
      </c>
      <c r="L5" t="s">
        <v>15</v>
      </c>
      <c r="M5" t="s">
        <v>863</v>
      </c>
      <c r="O5" t="s">
        <v>15</v>
      </c>
      <c r="P5" t="s">
        <v>864</v>
      </c>
      <c r="Q5" t="s">
        <v>15</v>
      </c>
      <c r="R5" t="s">
        <v>864</v>
      </c>
      <c r="S5" t="s">
        <v>15</v>
      </c>
      <c r="T5" t="s">
        <v>864</v>
      </c>
      <c r="V5" t="s">
        <v>15</v>
      </c>
      <c r="W5" t="s">
        <v>866</v>
      </c>
      <c r="X5" t="s">
        <v>15</v>
      </c>
      <c r="Y5" t="s">
        <v>866</v>
      </c>
      <c r="Z5" t="s">
        <v>15</v>
      </c>
      <c r="AA5" t="s">
        <v>866</v>
      </c>
      <c r="AC5" t="s">
        <v>15</v>
      </c>
      <c r="AD5" t="s">
        <v>865</v>
      </c>
      <c r="AE5" t="s">
        <v>15</v>
      </c>
      <c r="AF5" t="s">
        <v>865</v>
      </c>
      <c r="AG5" t="s">
        <v>15</v>
      </c>
      <c r="AH5" t="s">
        <v>865</v>
      </c>
      <c r="AJ5" t="s">
        <v>15</v>
      </c>
      <c r="AK5" t="s">
        <v>867</v>
      </c>
      <c r="AL5" t="s">
        <v>15</v>
      </c>
      <c r="AM5" t="s">
        <v>867</v>
      </c>
      <c r="AN5" t="s">
        <v>15</v>
      </c>
      <c r="AO5" t="s">
        <v>867</v>
      </c>
      <c r="AQ5" t="s">
        <v>15</v>
      </c>
      <c r="AR5" t="s">
        <v>868</v>
      </c>
      <c r="AS5" t="s">
        <v>15</v>
      </c>
      <c r="AT5" t="s">
        <v>868</v>
      </c>
      <c r="AU5" t="s">
        <v>15</v>
      </c>
      <c r="AV5" t="s">
        <v>868</v>
      </c>
      <c r="AX5" t="s">
        <v>15</v>
      </c>
      <c r="AY5" t="s">
        <v>869</v>
      </c>
      <c r="AZ5" t="s">
        <v>15</v>
      </c>
      <c r="BA5" t="s">
        <v>869</v>
      </c>
      <c r="BB5" t="s">
        <v>15</v>
      </c>
      <c r="BC5" t="s">
        <v>869</v>
      </c>
      <c r="BE5" t="s">
        <v>15</v>
      </c>
      <c r="BF5" t="s">
        <v>1192</v>
      </c>
      <c r="BG5" t="s">
        <v>15</v>
      </c>
      <c r="BH5" t="s">
        <v>1192</v>
      </c>
      <c r="BI5" t="s">
        <v>15</v>
      </c>
      <c r="BJ5" t="s">
        <v>1192</v>
      </c>
    </row>
    <row r="6" spans="1:62" x14ac:dyDescent="0.35">
      <c r="A6" t="s">
        <v>33</v>
      </c>
      <c r="B6">
        <v>19.79</v>
      </c>
      <c r="C6" t="s">
        <v>37</v>
      </c>
      <c r="D6">
        <v>11.08</v>
      </c>
      <c r="E6" t="s">
        <v>41</v>
      </c>
      <c r="F6">
        <v>16.87</v>
      </c>
      <c r="H6" t="s">
        <v>33</v>
      </c>
      <c r="I6">
        <v>24.93</v>
      </c>
      <c r="J6" t="s">
        <v>34</v>
      </c>
      <c r="K6">
        <v>34.31</v>
      </c>
      <c r="L6" t="s">
        <v>41</v>
      </c>
      <c r="M6">
        <v>22.16</v>
      </c>
      <c r="O6" t="s">
        <v>33</v>
      </c>
      <c r="P6">
        <v>1.42</v>
      </c>
      <c r="Q6" t="s">
        <v>34</v>
      </c>
      <c r="R6">
        <v>1.27</v>
      </c>
      <c r="S6" t="s">
        <v>41</v>
      </c>
      <c r="T6">
        <v>1.1599999999999999</v>
      </c>
      <c r="V6" t="s">
        <v>23</v>
      </c>
      <c r="W6">
        <v>2.33</v>
      </c>
      <c r="X6" t="s">
        <v>24</v>
      </c>
      <c r="Y6">
        <v>1.58</v>
      </c>
      <c r="Z6" t="s">
        <v>25</v>
      </c>
      <c r="AA6">
        <v>1.71</v>
      </c>
      <c r="AC6" t="s">
        <v>33</v>
      </c>
      <c r="AD6">
        <v>13.27</v>
      </c>
      <c r="AG6" t="s">
        <v>41</v>
      </c>
      <c r="AH6">
        <v>11.45</v>
      </c>
      <c r="AJ6" t="s">
        <v>23</v>
      </c>
      <c r="AK6">
        <v>0</v>
      </c>
      <c r="AL6" t="s">
        <v>24</v>
      </c>
      <c r="AM6">
        <v>0.03</v>
      </c>
      <c r="AN6" t="s">
        <v>25</v>
      </c>
      <c r="AO6">
        <v>0.81</v>
      </c>
      <c r="AQ6" t="s">
        <v>23</v>
      </c>
      <c r="AR6">
        <v>1.97</v>
      </c>
      <c r="AS6" t="s">
        <v>37</v>
      </c>
      <c r="AT6">
        <f>7.54/11.08</f>
        <v>0.68050541516245489</v>
      </c>
      <c r="AU6" t="s">
        <v>41</v>
      </c>
      <c r="AV6">
        <v>1.01</v>
      </c>
      <c r="AX6" t="s">
        <v>23</v>
      </c>
      <c r="AY6">
        <v>0.27</v>
      </c>
      <c r="AZ6" t="s">
        <v>24</v>
      </c>
      <c r="BA6">
        <f>47.78/83.31</f>
        <v>0.57352058576401388</v>
      </c>
      <c r="BB6" t="s">
        <v>53</v>
      </c>
      <c r="BC6">
        <v>0.5</v>
      </c>
      <c r="BE6" t="s">
        <v>33</v>
      </c>
      <c r="BF6">
        <v>17.66</v>
      </c>
      <c r="BG6" t="s">
        <v>24</v>
      </c>
      <c r="BH6">
        <v>20</v>
      </c>
      <c r="BI6" t="s">
        <v>41</v>
      </c>
      <c r="BJ6">
        <v>5.94</v>
      </c>
    </row>
    <row r="7" spans="1:62" x14ac:dyDescent="0.35">
      <c r="A7" t="s">
        <v>59</v>
      </c>
      <c r="B7">
        <v>12.37</v>
      </c>
      <c r="C7" t="s">
        <v>40</v>
      </c>
      <c r="D7">
        <v>40.46</v>
      </c>
      <c r="E7" t="s">
        <v>44</v>
      </c>
      <c r="F7">
        <v>9.43</v>
      </c>
      <c r="H7" t="s">
        <v>48</v>
      </c>
      <c r="I7">
        <v>25.19</v>
      </c>
      <c r="J7" t="s">
        <v>37</v>
      </c>
      <c r="K7">
        <v>31.05</v>
      </c>
      <c r="L7" t="s">
        <v>44</v>
      </c>
      <c r="M7">
        <v>17.670000000000002</v>
      </c>
      <c r="O7" t="s">
        <v>48</v>
      </c>
      <c r="P7">
        <v>0.83</v>
      </c>
      <c r="Q7" t="s">
        <v>37</v>
      </c>
      <c r="R7">
        <v>0.9</v>
      </c>
      <c r="S7" t="s">
        <v>44</v>
      </c>
      <c r="T7">
        <v>1.18</v>
      </c>
      <c r="V7" t="s">
        <v>33</v>
      </c>
      <c r="W7">
        <v>3.14</v>
      </c>
      <c r="X7" t="s">
        <v>34</v>
      </c>
      <c r="Y7">
        <v>1.55</v>
      </c>
      <c r="Z7" t="s">
        <v>35</v>
      </c>
      <c r="AA7">
        <v>1.2</v>
      </c>
      <c r="AC7" t="s">
        <v>48</v>
      </c>
      <c r="AD7">
        <v>7.18</v>
      </c>
      <c r="AE7" t="s">
        <v>34</v>
      </c>
      <c r="AF7">
        <v>17.25</v>
      </c>
      <c r="AG7" t="s">
        <v>44</v>
      </c>
      <c r="AH7">
        <v>10.77</v>
      </c>
      <c r="AJ7" t="s">
        <v>33</v>
      </c>
      <c r="AK7">
        <v>0.2</v>
      </c>
      <c r="AL7" t="s">
        <v>34</v>
      </c>
      <c r="AM7">
        <v>0.33</v>
      </c>
      <c r="AN7" t="s">
        <v>41</v>
      </c>
      <c r="AO7">
        <v>0.4</v>
      </c>
      <c r="AQ7" t="s">
        <v>33</v>
      </c>
      <c r="AR7">
        <v>1.71</v>
      </c>
      <c r="AS7" t="s">
        <v>40</v>
      </c>
      <c r="AT7">
        <f>25.67/40.46</f>
        <v>0.63445378151260512</v>
      </c>
      <c r="AU7" t="s">
        <v>44</v>
      </c>
      <c r="AV7">
        <v>0.74</v>
      </c>
      <c r="AX7" t="s">
        <v>33</v>
      </c>
      <c r="AY7">
        <v>0.38</v>
      </c>
      <c r="AZ7" t="s">
        <v>34</v>
      </c>
      <c r="BA7">
        <f>9.39/14.08</f>
        <v>0.66690340909090917</v>
      </c>
      <c r="BB7" t="s">
        <v>56</v>
      </c>
      <c r="BC7">
        <v>0.54</v>
      </c>
      <c r="BE7" t="s">
        <v>48</v>
      </c>
      <c r="BF7">
        <v>9.3000000000000007</v>
      </c>
      <c r="BG7" t="s">
        <v>49</v>
      </c>
      <c r="BH7">
        <v>19</v>
      </c>
      <c r="BI7" t="s">
        <v>44</v>
      </c>
      <c r="BJ7">
        <v>9.41</v>
      </c>
    </row>
    <row r="8" spans="1:62" x14ac:dyDescent="0.35">
      <c r="A8" t="s">
        <v>62</v>
      </c>
      <c r="B8">
        <v>47.8</v>
      </c>
      <c r="C8" t="s">
        <v>49</v>
      </c>
      <c r="D8">
        <v>39.96</v>
      </c>
      <c r="E8" t="s">
        <v>56</v>
      </c>
      <c r="F8">
        <v>22.73</v>
      </c>
      <c r="H8" t="s">
        <v>59</v>
      </c>
      <c r="I8">
        <v>31.06</v>
      </c>
      <c r="J8" t="s">
        <v>870</v>
      </c>
      <c r="K8">
        <v>40.99</v>
      </c>
      <c r="L8" t="s">
        <v>56</v>
      </c>
      <c r="M8">
        <v>26.87</v>
      </c>
      <c r="O8" t="s">
        <v>59</v>
      </c>
      <c r="P8">
        <v>0.57999999999999996</v>
      </c>
      <c r="Q8" t="s">
        <v>870</v>
      </c>
      <c r="R8">
        <v>2.37</v>
      </c>
      <c r="S8" t="s">
        <v>56</v>
      </c>
      <c r="T8">
        <v>1.91</v>
      </c>
      <c r="V8" t="s">
        <v>36</v>
      </c>
      <c r="W8">
        <v>1.7</v>
      </c>
      <c r="X8" t="s">
        <v>40</v>
      </c>
      <c r="Y8">
        <v>0.92</v>
      </c>
      <c r="Z8" t="s">
        <v>41</v>
      </c>
      <c r="AA8">
        <v>2.76</v>
      </c>
      <c r="AC8" t="s">
        <v>59</v>
      </c>
      <c r="AD8">
        <v>3.8</v>
      </c>
      <c r="AE8" t="s">
        <v>37</v>
      </c>
      <c r="AF8">
        <v>5.4</v>
      </c>
      <c r="AG8" t="s">
        <v>56</v>
      </c>
      <c r="AH8">
        <v>10.199999999999999</v>
      </c>
      <c r="AJ8" t="s">
        <v>36</v>
      </c>
      <c r="AK8">
        <v>0.33</v>
      </c>
      <c r="AL8" t="s">
        <v>37</v>
      </c>
      <c r="AM8">
        <v>0.66</v>
      </c>
      <c r="AN8" t="s">
        <v>44</v>
      </c>
      <c r="AO8">
        <v>0.46</v>
      </c>
      <c r="AQ8" t="s">
        <v>36</v>
      </c>
      <c r="AR8">
        <v>1.1100000000000001</v>
      </c>
      <c r="AS8" t="s">
        <v>49</v>
      </c>
      <c r="AT8">
        <f>23.55/39.96</f>
        <v>0.58933933933933935</v>
      </c>
      <c r="AU8" t="s">
        <v>56</v>
      </c>
      <c r="AV8">
        <v>0.64</v>
      </c>
      <c r="AX8" t="s">
        <v>36</v>
      </c>
      <c r="AY8">
        <v>0.54</v>
      </c>
      <c r="AZ8" t="s">
        <v>37</v>
      </c>
      <c r="BA8">
        <f>2.86/11.08</f>
        <v>0.25812274368231047</v>
      </c>
      <c r="BB8" t="s">
        <v>58</v>
      </c>
      <c r="BC8">
        <v>0.7</v>
      </c>
      <c r="BE8" t="s">
        <v>59</v>
      </c>
      <c r="BF8">
        <v>7.29</v>
      </c>
      <c r="BG8" t="s">
        <v>57</v>
      </c>
      <c r="BH8">
        <v>12</v>
      </c>
      <c r="BI8" t="s">
        <v>56</v>
      </c>
      <c r="BJ8">
        <v>9</v>
      </c>
    </row>
    <row r="9" spans="1:62" x14ac:dyDescent="0.35">
      <c r="A9" t="s">
        <v>77</v>
      </c>
      <c r="B9">
        <v>14.57</v>
      </c>
      <c r="C9" t="s">
        <v>57</v>
      </c>
      <c r="D9">
        <v>11.43</v>
      </c>
      <c r="E9" t="s">
        <v>73</v>
      </c>
      <c r="F9">
        <v>21.16</v>
      </c>
      <c r="H9" t="s">
        <v>62</v>
      </c>
      <c r="I9">
        <v>51.39</v>
      </c>
      <c r="J9" t="s">
        <v>55</v>
      </c>
      <c r="K9">
        <v>18.829999999999998</v>
      </c>
      <c r="L9" t="s">
        <v>73</v>
      </c>
      <c r="M9">
        <v>25.34</v>
      </c>
      <c r="O9" t="s">
        <v>62</v>
      </c>
      <c r="P9">
        <v>0.71</v>
      </c>
      <c r="Q9" t="s">
        <v>55</v>
      </c>
      <c r="R9">
        <v>1.61</v>
      </c>
      <c r="S9" t="s">
        <v>73</v>
      </c>
      <c r="T9">
        <v>1.1000000000000001</v>
      </c>
      <c r="V9" t="s">
        <v>39</v>
      </c>
      <c r="W9">
        <v>2.73</v>
      </c>
      <c r="X9" t="s">
        <v>43</v>
      </c>
      <c r="Y9">
        <v>2.19</v>
      </c>
      <c r="Z9" t="s">
        <v>44</v>
      </c>
      <c r="AA9">
        <v>1.99</v>
      </c>
      <c r="AC9" t="s">
        <v>62</v>
      </c>
      <c r="AD9">
        <v>3.72</v>
      </c>
      <c r="AE9" t="s">
        <v>870</v>
      </c>
      <c r="AF9">
        <v>15.42</v>
      </c>
      <c r="AG9" t="s">
        <v>73</v>
      </c>
      <c r="AH9">
        <v>4.7699999999999996</v>
      </c>
      <c r="AJ9" t="s">
        <v>39</v>
      </c>
      <c r="AK9">
        <v>0.48</v>
      </c>
      <c r="AL9" t="s">
        <v>40</v>
      </c>
      <c r="AM9">
        <v>0.2</v>
      </c>
      <c r="AN9" t="s">
        <v>53</v>
      </c>
      <c r="AO9">
        <v>0.06</v>
      </c>
      <c r="AQ9" t="s">
        <v>39</v>
      </c>
      <c r="AR9">
        <v>0.99</v>
      </c>
      <c r="AS9" t="s">
        <v>57</v>
      </c>
      <c r="AT9" s="8">
        <f>10.57/11.43</f>
        <v>0.92475940507436571</v>
      </c>
      <c r="AU9" t="s">
        <v>58</v>
      </c>
      <c r="AV9">
        <v>0.62</v>
      </c>
      <c r="AX9" t="s">
        <v>39</v>
      </c>
      <c r="AY9">
        <v>0.65</v>
      </c>
      <c r="AZ9" t="s">
        <v>40</v>
      </c>
      <c r="BA9">
        <f>12.45/40.46</f>
        <v>0.30771131982204641</v>
      </c>
      <c r="BB9" t="s">
        <v>61</v>
      </c>
      <c r="BC9">
        <v>0.85</v>
      </c>
      <c r="BE9" t="s">
        <v>62</v>
      </c>
      <c r="BF9">
        <v>9.6</v>
      </c>
      <c r="BG9" t="s">
        <v>63</v>
      </c>
      <c r="BH9">
        <v>8</v>
      </c>
      <c r="BI9" t="s">
        <v>73</v>
      </c>
      <c r="BJ9">
        <v>9.5399999999999991</v>
      </c>
    </row>
    <row r="10" spans="1:62" x14ac:dyDescent="0.35">
      <c r="A10" t="s">
        <v>81</v>
      </c>
      <c r="B10">
        <v>13.25</v>
      </c>
      <c r="C10" t="s">
        <v>63</v>
      </c>
      <c r="D10">
        <v>62.64</v>
      </c>
      <c r="E10" t="s">
        <v>76</v>
      </c>
      <c r="F10">
        <v>7.88</v>
      </c>
      <c r="H10" t="s">
        <v>77</v>
      </c>
      <c r="I10">
        <v>17.21</v>
      </c>
      <c r="J10" t="s">
        <v>60</v>
      </c>
      <c r="K10">
        <v>60.97</v>
      </c>
      <c r="L10" t="s">
        <v>76</v>
      </c>
      <c r="M10">
        <v>13.71</v>
      </c>
      <c r="O10" t="s">
        <v>77</v>
      </c>
      <c r="P10">
        <v>0.86</v>
      </c>
      <c r="Q10" t="s">
        <v>60</v>
      </c>
      <c r="R10">
        <v>1.56</v>
      </c>
      <c r="S10" t="s">
        <v>76</v>
      </c>
      <c r="T10">
        <v>0.88</v>
      </c>
      <c r="V10" t="s">
        <v>42</v>
      </c>
      <c r="W10">
        <v>1.31</v>
      </c>
      <c r="X10" t="s">
        <v>871</v>
      </c>
      <c r="Y10">
        <v>1.49</v>
      </c>
      <c r="Z10" t="s">
        <v>53</v>
      </c>
      <c r="AA10">
        <v>1.6</v>
      </c>
      <c r="AC10" t="s">
        <v>77</v>
      </c>
      <c r="AD10">
        <v>6.62</v>
      </c>
      <c r="AE10" t="s">
        <v>55</v>
      </c>
      <c r="AF10">
        <v>10.57</v>
      </c>
      <c r="AG10" t="s">
        <v>76</v>
      </c>
      <c r="AH10">
        <v>3.83</v>
      </c>
      <c r="AJ10" t="s">
        <v>42</v>
      </c>
      <c r="AK10">
        <v>0.48</v>
      </c>
      <c r="AL10" t="s">
        <v>43</v>
      </c>
      <c r="AM10">
        <v>0.73</v>
      </c>
      <c r="AN10" t="s">
        <v>56</v>
      </c>
      <c r="AO10">
        <v>0.2</v>
      </c>
      <c r="AQ10" t="s">
        <v>42</v>
      </c>
      <c r="AR10">
        <v>0.97</v>
      </c>
      <c r="AS10" t="s">
        <v>63</v>
      </c>
      <c r="AT10">
        <f>42.96/62.64</f>
        <v>0.68582375478927204</v>
      </c>
      <c r="AU10" t="s">
        <v>73</v>
      </c>
      <c r="AV10">
        <v>0.75</v>
      </c>
      <c r="AX10" t="s">
        <v>42</v>
      </c>
      <c r="AY10">
        <v>0.72</v>
      </c>
      <c r="AZ10" t="s">
        <v>43</v>
      </c>
      <c r="BB10" t="s">
        <v>64</v>
      </c>
      <c r="BC10">
        <f>2.49/4.86</f>
        <v>0.51234567901234573</v>
      </c>
      <c r="BE10" t="s">
        <v>77</v>
      </c>
      <c r="BF10">
        <v>10.67</v>
      </c>
      <c r="BG10" t="s">
        <v>72</v>
      </c>
      <c r="BH10">
        <v>8</v>
      </c>
      <c r="BI10" t="s">
        <v>76</v>
      </c>
      <c r="BJ10">
        <v>12</v>
      </c>
    </row>
    <row r="11" spans="1:62" x14ac:dyDescent="0.35">
      <c r="A11" t="s">
        <v>83</v>
      </c>
      <c r="B11">
        <v>28.49</v>
      </c>
      <c r="C11" t="s">
        <v>72</v>
      </c>
      <c r="D11">
        <v>29.2</v>
      </c>
      <c r="E11" t="s">
        <v>357</v>
      </c>
      <c r="F11">
        <v>4.8600000000000003</v>
      </c>
      <c r="H11" t="s">
        <v>81</v>
      </c>
      <c r="I11">
        <v>19.05</v>
      </c>
      <c r="J11" t="s">
        <v>69</v>
      </c>
      <c r="K11">
        <v>39.36</v>
      </c>
      <c r="L11" t="s">
        <v>357</v>
      </c>
      <c r="M11">
        <v>8.7899999999999991</v>
      </c>
      <c r="O11" t="s">
        <v>81</v>
      </c>
      <c r="P11">
        <v>1.1399999999999999</v>
      </c>
      <c r="Q11" t="s">
        <v>69</v>
      </c>
      <c r="R11">
        <v>0.99</v>
      </c>
      <c r="S11" t="s">
        <v>357</v>
      </c>
      <c r="T11">
        <v>1.03</v>
      </c>
      <c r="V11" t="s">
        <v>45</v>
      </c>
      <c r="W11">
        <v>1.29</v>
      </c>
      <c r="X11" t="s">
        <v>870</v>
      </c>
      <c r="Y11">
        <v>1.49</v>
      </c>
      <c r="Z11" t="s">
        <v>56</v>
      </c>
      <c r="AA11">
        <v>5.39</v>
      </c>
      <c r="AC11" t="s">
        <v>81</v>
      </c>
      <c r="AD11">
        <v>6.6</v>
      </c>
      <c r="AE11" t="s">
        <v>60</v>
      </c>
      <c r="AF11">
        <v>10.94</v>
      </c>
      <c r="AG11" t="s">
        <v>357</v>
      </c>
      <c r="AH11">
        <v>6.59</v>
      </c>
      <c r="AJ11" t="s">
        <v>45</v>
      </c>
      <c r="AK11">
        <v>0.03</v>
      </c>
      <c r="AL11" t="s">
        <v>49</v>
      </c>
      <c r="AM11">
        <v>0.03</v>
      </c>
      <c r="AN11" t="s">
        <v>58</v>
      </c>
      <c r="AO11">
        <v>0.23</v>
      </c>
      <c r="AQ11" t="s">
        <v>45</v>
      </c>
      <c r="AR11">
        <v>0.96</v>
      </c>
      <c r="AS11" t="s">
        <v>72</v>
      </c>
      <c r="AT11">
        <v>0.94</v>
      </c>
      <c r="AU11" t="s">
        <v>76</v>
      </c>
      <c r="AV11">
        <v>0.43</v>
      </c>
      <c r="AX11" t="s">
        <v>45</v>
      </c>
      <c r="AY11">
        <v>0.25</v>
      </c>
      <c r="AZ11" t="s">
        <v>49</v>
      </c>
      <c r="BA11">
        <f>16.75/39.96</f>
        <v>0.41916916916916919</v>
      </c>
      <c r="BB11" t="s">
        <v>73</v>
      </c>
      <c r="BC11">
        <f>10.25/15.98</f>
        <v>0.64142678347934912</v>
      </c>
      <c r="BE11" t="s">
        <v>81</v>
      </c>
      <c r="BF11">
        <v>13.2</v>
      </c>
      <c r="BG11" t="s">
        <v>80</v>
      </c>
      <c r="BH11">
        <v>9</v>
      </c>
      <c r="BI11" t="s">
        <v>357</v>
      </c>
      <c r="BJ11">
        <v>19</v>
      </c>
    </row>
    <row r="12" spans="1:62" ht="13.15" x14ac:dyDescent="0.4">
      <c r="A12" t="s">
        <v>85</v>
      </c>
      <c r="B12">
        <v>50.57</v>
      </c>
      <c r="C12" t="s">
        <v>80</v>
      </c>
      <c r="D12">
        <v>27.38</v>
      </c>
      <c r="E12" t="s">
        <v>361</v>
      </c>
      <c r="F12" s="8">
        <v>15.98</v>
      </c>
      <c r="H12" t="s">
        <v>83</v>
      </c>
      <c r="I12">
        <v>45.09</v>
      </c>
      <c r="J12" t="s">
        <v>78</v>
      </c>
      <c r="K12" s="8">
        <v>35.68</v>
      </c>
      <c r="L12" t="s">
        <v>361</v>
      </c>
      <c r="M12" s="8">
        <v>24.55</v>
      </c>
      <c r="O12" t="s">
        <v>83</v>
      </c>
      <c r="P12">
        <v>1.43</v>
      </c>
      <c r="Q12" t="s">
        <v>78</v>
      </c>
      <c r="R12">
        <v>0.99</v>
      </c>
      <c r="S12" t="s">
        <v>361</v>
      </c>
      <c r="T12" s="8">
        <v>1.72</v>
      </c>
      <c r="V12" t="s">
        <v>48</v>
      </c>
      <c r="W12">
        <v>2.5099999999999998</v>
      </c>
      <c r="X12" t="s">
        <v>49</v>
      </c>
      <c r="Y12">
        <v>2.61</v>
      </c>
      <c r="Z12" t="s">
        <v>58</v>
      </c>
      <c r="AA12">
        <v>3.6</v>
      </c>
      <c r="AC12" t="s">
        <v>83</v>
      </c>
      <c r="AD12">
        <v>9.68</v>
      </c>
      <c r="AE12" t="s">
        <v>69</v>
      </c>
      <c r="AF12">
        <v>10.3</v>
      </c>
      <c r="AG12" t="s">
        <v>361</v>
      </c>
      <c r="AH12" s="8">
        <v>14.7</v>
      </c>
      <c r="AJ12" t="s">
        <v>48</v>
      </c>
      <c r="AK12">
        <v>0.75</v>
      </c>
      <c r="AL12" t="s">
        <v>52</v>
      </c>
      <c r="AM12">
        <v>0.2</v>
      </c>
      <c r="AN12" t="s">
        <v>61</v>
      </c>
      <c r="AO12">
        <v>0.5</v>
      </c>
      <c r="AQ12" t="s">
        <v>48</v>
      </c>
      <c r="AR12">
        <v>0.96</v>
      </c>
      <c r="AS12" t="s">
        <v>80</v>
      </c>
      <c r="AT12">
        <f>16.73/27.38</f>
        <v>0.61102994886778672</v>
      </c>
      <c r="AU12" t="s">
        <v>357</v>
      </c>
      <c r="AV12">
        <f>4.61/4.86</f>
        <v>0.94855967078189296</v>
      </c>
      <c r="AX12" t="s">
        <v>48</v>
      </c>
      <c r="AY12">
        <v>1.33</v>
      </c>
      <c r="AZ12" t="s">
        <v>52</v>
      </c>
      <c r="BA12">
        <f>15.32/23.13</f>
        <v>0.66234327712926944</v>
      </c>
      <c r="BB12" t="s">
        <v>76</v>
      </c>
      <c r="BC12">
        <f>22.09/37.22</f>
        <v>0.59349811929070395</v>
      </c>
      <c r="BE12" t="s">
        <v>83</v>
      </c>
      <c r="BF12">
        <v>13.87</v>
      </c>
      <c r="BH12" s="1">
        <f>AVERAGE(BH6:BH11)</f>
        <v>12.666666666666666</v>
      </c>
      <c r="BI12" t="s">
        <v>361</v>
      </c>
      <c r="BJ12" s="8">
        <v>18</v>
      </c>
    </row>
    <row r="13" spans="1:62" ht="13.15" x14ac:dyDescent="0.4">
      <c r="A13" t="s">
        <v>90</v>
      </c>
      <c r="B13">
        <v>32.64</v>
      </c>
      <c r="D13" s="1">
        <f>AVERAGE(D6:D12)</f>
        <v>31.735714285714284</v>
      </c>
      <c r="E13" t="s">
        <v>365</v>
      </c>
      <c r="F13" s="8">
        <v>37.22</v>
      </c>
      <c r="H13" t="s">
        <v>85</v>
      </c>
      <c r="I13">
        <v>54.64</v>
      </c>
      <c r="J13" t="s">
        <v>397</v>
      </c>
      <c r="K13" s="1">
        <f>AVERAGE(K6:K12)</f>
        <v>37.312857142857141</v>
      </c>
      <c r="L13" t="s">
        <v>365</v>
      </c>
      <c r="M13" s="8">
        <v>42.32</v>
      </c>
      <c r="O13" t="s">
        <v>85</v>
      </c>
      <c r="P13">
        <v>0.76</v>
      </c>
      <c r="Q13" t="s">
        <v>397</v>
      </c>
      <c r="R13" s="1">
        <f>AVERAGE(R6:R12)</f>
        <v>1.3842857142857146</v>
      </c>
      <c r="S13" t="s">
        <v>365</v>
      </c>
      <c r="T13" s="8">
        <v>1.87</v>
      </c>
      <c r="V13" t="s">
        <v>51</v>
      </c>
      <c r="W13">
        <v>1.62</v>
      </c>
      <c r="X13" t="s">
        <v>52</v>
      </c>
      <c r="Y13" s="9">
        <v>2.86</v>
      </c>
      <c r="Z13" t="s">
        <v>61</v>
      </c>
      <c r="AA13">
        <v>1.71</v>
      </c>
      <c r="AC13" t="s">
        <v>85</v>
      </c>
      <c r="AD13">
        <v>9.08</v>
      </c>
      <c r="AE13" t="s">
        <v>78</v>
      </c>
      <c r="AF13">
        <v>13.72</v>
      </c>
      <c r="AG13" t="s">
        <v>365</v>
      </c>
      <c r="AH13" s="8">
        <v>10.33</v>
      </c>
      <c r="AJ13" t="s">
        <v>51</v>
      </c>
      <c r="AK13">
        <v>0.25</v>
      </c>
      <c r="AL13" t="s">
        <v>55</v>
      </c>
      <c r="AM13">
        <v>0.1</v>
      </c>
      <c r="AN13" t="s">
        <v>64</v>
      </c>
      <c r="AO13">
        <v>0.7</v>
      </c>
      <c r="AQ13" t="s">
        <v>51</v>
      </c>
      <c r="AR13">
        <v>0.81</v>
      </c>
      <c r="AT13" s="1">
        <f>AVERAGE(AT6:AT12)</f>
        <v>0.72370166353511756</v>
      </c>
      <c r="AU13" t="s">
        <v>361</v>
      </c>
      <c r="AV13">
        <f>17.37/15.98</f>
        <v>1.0869837296620777</v>
      </c>
      <c r="AX13" t="s">
        <v>51</v>
      </c>
      <c r="AY13">
        <v>0.63</v>
      </c>
      <c r="AZ13" t="s">
        <v>55</v>
      </c>
      <c r="BA13">
        <f>6.16/15.58</f>
        <v>0.39537869062901154</v>
      </c>
      <c r="BB13" t="s">
        <v>357</v>
      </c>
      <c r="BC13">
        <f>7.9/15.87</f>
        <v>0.49779458097038443</v>
      </c>
      <c r="BE13" t="s">
        <v>85</v>
      </c>
      <c r="BF13">
        <v>8.84</v>
      </c>
      <c r="BH13" s="1">
        <f>STDEV(BH6:BH11)</f>
        <v>5.5015149428740688</v>
      </c>
      <c r="BI13" t="s">
        <v>365</v>
      </c>
      <c r="BJ13">
        <v>7</v>
      </c>
    </row>
    <row r="14" spans="1:62" ht="13.15" x14ac:dyDescent="0.4">
      <c r="A14" t="s">
        <v>96</v>
      </c>
      <c r="B14" s="8">
        <v>33.15</v>
      </c>
      <c r="D14" s="1">
        <f>STDEV(D6:D12)</f>
        <v>18.088714582249764</v>
      </c>
      <c r="E14" t="s">
        <v>369</v>
      </c>
      <c r="F14">
        <v>15.87</v>
      </c>
      <c r="H14" t="s">
        <v>90</v>
      </c>
      <c r="I14">
        <v>43.67</v>
      </c>
      <c r="J14" t="s">
        <v>281</v>
      </c>
      <c r="K14" s="1">
        <f>STDEV(K6:K13)</f>
        <v>11.771001552587649</v>
      </c>
      <c r="L14" t="s">
        <v>369</v>
      </c>
      <c r="M14" s="8">
        <v>26.65</v>
      </c>
      <c r="O14" t="s">
        <v>90</v>
      </c>
      <c r="P14">
        <v>1.1299999999999999</v>
      </c>
      <c r="Q14" t="s">
        <v>281</v>
      </c>
      <c r="R14" s="1">
        <f>STDEV(R6:R13)</f>
        <v>0.47987668484003326</v>
      </c>
      <c r="S14" t="s">
        <v>369</v>
      </c>
      <c r="T14" s="8">
        <v>1.31</v>
      </c>
      <c r="V14" t="s">
        <v>54</v>
      </c>
      <c r="W14">
        <v>2.61</v>
      </c>
      <c r="X14" t="s">
        <v>55</v>
      </c>
      <c r="Y14">
        <v>1.57</v>
      </c>
      <c r="Z14" t="s">
        <v>64</v>
      </c>
      <c r="AA14">
        <v>1.77</v>
      </c>
      <c r="AC14" t="s">
        <v>90</v>
      </c>
      <c r="AD14">
        <v>7.45</v>
      </c>
      <c r="AE14" t="s">
        <v>397</v>
      </c>
      <c r="AF14" s="1">
        <f>AVERAGE(AF7:AF13)</f>
        <v>11.942857142857141</v>
      </c>
      <c r="AG14" t="s">
        <v>369</v>
      </c>
      <c r="AH14" s="8">
        <v>13.08</v>
      </c>
      <c r="AJ14" t="s">
        <v>54</v>
      </c>
      <c r="AK14">
        <v>0.13</v>
      </c>
      <c r="AL14" t="s">
        <v>57</v>
      </c>
      <c r="AM14">
        <v>0.46</v>
      </c>
      <c r="AN14" t="s">
        <v>73</v>
      </c>
      <c r="AO14">
        <v>0.25</v>
      </c>
      <c r="AQ14" t="s">
        <v>54</v>
      </c>
      <c r="AR14">
        <v>0.8</v>
      </c>
      <c r="AT14" s="1">
        <f>STDEV(AT6:AT12)</f>
        <v>0.14675556294376205</v>
      </c>
      <c r="AU14" t="s">
        <v>365</v>
      </c>
      <c r="AV14">
        <f>25.19/37.22</f>
        <v>0.67678667383127356</v>
      </c>
      <c r="AX14" t="s">
        <v>54</v>
      </c>
      <c r="AY14">
        <v>0.27</v>
      </c>
      <c r="AZ14" t="s">
        <v>57</v>
      </c>
      <c r="BA14" s="8">
        <f>9.73/11.43</f>
        <v>0.85126859142607181</v>
      </c>
      <c r="BB14" t="s">
        <v>361</v>
      </c>
      <c r="BC14">
        <f>9.08/11.46</f>
        <v>0.79232111692844676</v>
      </c>
      <c r="BE14" t="s">
        <v>90</v>
      </c>
      <c r="BF14">
        <v>15.42</v>
      </c>
      <c r="BH14" s="1">
        <f>BH13/SQRT(6)</f>
        <v>2.2459840703897358</v>
      </c>
      <c r="BI14" t="s">
        <v>369</v>
      </c>
      <c r="BJ14">
        <v>7</v>
      </c>
    </row>
    <row r="15" spans="1:62" ht="13.15" x14ac:dyDescent="0.4">
      <c r="A15" t="s">
        <v>98</v>
      </c>
      <c r="B15">
        <v>12.18</v>
      </c>
      <c r="D15" s="1">
        <f>D14/SQRT(7)</f>
        <v>6.8368914744943554</v>
      </c>
      <c r="E15" t="s">
        <v>373</v>
      </c>
      <c r="F15">
        <v>11.46</v>
      </c>
      <c r="H15" t="s">
        <v>96</v>
      </c>
      <c r="I15">
        <v>41.47</v>
      </c>
      <c r="J15" t="s">
        <v>284</v>
      </c>
      <c r="K15" s="1">
        <f>STDEV(K6:K12)/SQRT(7)</f>
        <v>4.8054912608913796</v>
      </c>
      <c r="L15" t="s">
        <v>373</v>
      </c>
      <c r="M15">
        <v>15.88</v>
      </c>
      <c r="O15" t="s">
        <v>96</v>
      </c>
      <c r="P15">
        <v>1.05</v>
      </c>
      <c r="Q15" t="s">
        <v>284</v>
      </c>
      <c r="R15" s="1">
        <f>STDEV(R6:R12)/SQRT(7)</f>
        <v>0.19590883621940963</v>
      </c>
      <c r="S15" t="s">
        <v>373</v>
      </c>
      <c r="T15">
        <v>1.08</v>
      </c>
      <c r="V15">
        <v>180122</v>
      </c>
      <c r="W15">
        <v>2.83</v>
      </c>
      <c r="X15" t="s">
        <v>57</v>
      </c>
      <c r="Y15">
        <v>1.97</v>
      </c>
      <c r="Z15" t="s">
        <v>73</v>
      </c>
      <c r="AA15">
        <v>2.88</v>
      </c>
      <c r="AC15" t="s">
        <v>96</v>
      </c>
      <c r="AD15">
        <v>6.18</v>
      </c>
      <c r="AE15" t="s">
        <v>281</v>
      </c>
      <c r="AF15" s="1">
        <f>STDEV(AF7:AF14)</f>
        <v>3.6216204513832775</v>
      </c>
      <c r="AG15" t="s">
        <v>373</v>
      </c>
      <c r="AH15">
        <v>10.8</v>
      </c>
      <c r="AJ15">
        <v>180122</v>
      </c>
      <c r="AK15">
        <v>0.36</v>
      </c>
      <c r="AL15" t="s">
        <v>60</v>
      </c>
      <c r="AM15">
        <v>0</v>
      </c>
      <c r="AN15" t="s">
        <v>76</v>
      </c>
      <c r="AO15">
        <v>0.7</v>
      </c>
      <c r="AQ15">
        <v>180122</v>
      </c>
      <c r="AR15">
        <v>0.75</v>
      </c>
      <c r="AT15" s="1">
        <f>STDEV(AT6:AT12)/SQRT(7)</f>
        <v>5.5468389009211493E-2</v>
      </c>
      <c r="AU15" t="s">
        <v>369</v>
      </c>
      <c r="AV15">
        <f>9.16/15.87</f>
        <v>0.57718966603654698</v>
      </c>
      <c r="AX15">
        <v>180122</v>
      </c>
      <c r="AY15">
        <v>0.33</v>
      </c>
      <c r="AZ15" t="s">
        <v>60</v>
      </c>
      <c r="BA15">
        <f>32.98/40.77</f>
        <v>0.80892813343144454</v>
      </c>
      <c r="BB15" t="s">
        <v>365</v>
      </c>
      <c r="BC15">
        <f>16.83/25.62</f>
        <v>0.65690866510538637</v>
      </c>
      <c r="BE15" t="s">
        <v>96</v>
      </c>
      <c r="BF15">
        <v>12.06</v>
      </c>
      <c r="BI15" t="s">
        <v>373</v>
      </c>
      <c r="BJ15">
        <v>8</v>
      </c>
    </row>
    <row r="16" spans="1:62" ht="13.15" x14ac:dyDescent="0.4">
      <c r="A16" t="s">
        <v>99</v>
      </c>
      <c r="B16">
        <v>36.36</v>
      </c>
      <c r="E16" t="s">
        <v>377</v>
      </c>
      <c r="F16">
        <v>25.62</v>
      </c>
      <c r="H16" t="s">
        <v>98</v>
      </c>
      <c r="I16">
        <v>30.75</v>
      </c>
      <c r="L16" t="s">
        <v>377</v>
      </c>
      <c r="M16">
        <v>33.07</v>
      </c>
      <c r="O16" t="s">
        <v>98</v>
      </c>
      <c r="P16">
        <v>1.21</v>
      </c>
      <c r="S16" t="s">
        <v>377</v>
      </c>
      <c r="T16">
        <v>1.63</v>
      </c>
      <c r="V16" t="s">
        <v>59</v>
      </c>
      <c r="W16">
        <v>1.9</v>
      </c>
      <c r="X16" t="s">
        <v>66</v>
      </c>
      <c r="Y16">
        <v>1.77</v>
      </c>
      <c r="Z16" t="s">
        <v>76</v>
      </c>
      <c r="AA16">
        <v>2.77</v>
      </c>
      <c r="AC16" t="s">
        <v>98</v>
      </c>
      <c r="AD16">
        <v>6.49</v>
      </c>
      <c r="AE16" t="s">
        <v>284</v>
      </c>
      <c r="AF16" s="1">
        <f>STDEV(AF7:AF13)/SQRT(7)</f>
        <v>1.4785203579861859</v>
      </c>
      <c r="AG16" t="s">
        <v>377</v>
      </c>
      <c r="AH16">
        <v>11.46</v>
      </c>
      <c r="AJ16" t="s">
        <v>59</v>
      </c>
      <c r="AK16">
        <v>0.63</v>
      </c>
      <c r="AL16" t="s">
        <v>63</v>
      </c>
      <c r="AM16">
        <v>0.03</v>
      </c>
      <c r="AN16" t="s">
        <v>357</v>
      </c>
      <c r="AO16">
        <v>0.77</v>
      </c>
      <c r="AQ16" t="s">
        <v>59</v>
      </c>
      <c r="AR16">
        <v>0.75</v>
      </c>
      <c r="AU16" t="s">
        <v>373</v>
      </c>
      <c r="AV16">
        <f>8.36/11.46</f>
        <v>0.72949389179755664</v>
      </c>
      <c r="AX16" t="s">
        <v>59</v>
      </c>
      <c r="AY16">
        <v>0.33</v>
      </c>
      <c r="AZ16" t="s">
        <v>63</v>
      </c>
      <c r="BA16">
        <f>31.64/62.64</f>
        <v>0.50510855683269473</v>
      </c>
      <c r="BB16" s="1"/>
      <c r="BC16" s="1">
        <f>AVERAGE(BC6:BC15)</f>
        <v>0.62842949447866159</v>
      </c>
      <c r="BE16" t="s">
        <v>98</v>
      </c>
      <c r="BF16">
        <v>13.53</v>
      </c>
      <c r="BI16" t="s">
        <v>377</v>
      </c>
      <c r="BJ16">
        <v>10</v>
      </c>
    </row>
    <row r="17" spans="1:62" ht="13.15" x14ac:dyDescent="0.4">
      <c r="A17" t="s">
        <v>381</v>
      </c>
      <c r="B17">
        <v>7.88</v>
      </c>
      <c r="F17" s="1">
        <f>AVERAGE(F6:F16)</f>
        <v>17.189090909090911</v>
      </c>
      <c r="H17" t="s">
        <v>99</v>
      </c>
      <c r="I17">
        <v>36.36</v>
      </c>
      <c r="M17" s="1">
        <f>AVERAGE(M6:M16)</f>
        <v>23.364545454545453</v>
      </c>
      <c r="O17" t="s">
        <v>99</v>
      </c>
      <c r="P17">
        <v>1.21</v>
      </c>
      <c r="T17" s="1">
        <f>AVERAGE(T6:T16)</f>
        <v>1.3518181818181818</v>
      </c>
      <c r="V17" t="s">
        <v>62</v>
      </c>
      <c r="W17">
        <v>1.21</v>
      </c>
      <c r="X17" t="s">
        <v>872</v>
      </c>
      <c r="Y17">
        <v>2.0299999999999998</v>
      </c>
      <c r="Z17" t="s">
        <v>357</v>
      </c>
      <c r="AA17">
        <v>2.89</v>
      </c>
      <c r="AC17" t="s">
        <v>99</v>
      </c>
      <c r="AD17">
        <v>5.89</v>
      </c>
      <c r="AH17" s="1">
        <f>AVERAGE(AH6:AH16)</f>
        <v>9.8163636363636346</v>
      </c>
      <c r="AJ17" t="s">
        <v>62</v>
      </c>
      <c r="AK17">
        <v>0.03</v>
      </c>
      <c r="AL17" t="s">
        <v>72</v>
      </c>
      <c r="AM17" s="8">
        <v>0.34</v>
      </c>
      <c r="AN17" t="s">
        <v>361</v>
      </c>
      <c r="AO17" s="8">
        <v>0.31</v>
      </c>
      <c r="AQ17" t="s">
        <v>62</v>
      </c>
      <c r="AR17">
        <v>0.72</v>
      </c>
      <c r="AU17" t="s">
        <v>377</v>
      </c>
      <c r="AV17">
        <f>25.88/25.62</f>
        <v>1.0101483216237315</v>
      </c>
      <c r="AX17" t="s">
        <v>62</v>
      </c>
      <c r="AY17">
        <v>0.24</v>
      </c>
      <c r="AZ17" t="s">
        <v>72</v>
      </c>
      <c r="BA17">
        <v>0.74</v>
      </c>
      <c r="BB17" s="1"/>
      <c r="BC17" s="1">
        <f>STDEV(BC6:BC15)</f>
        <v>0.12388674358577539</v>
      </c>
      <c r="BE17" t="s">
        <v>99</v>
      </c>
      <c r="BF17">
        <v>16.97</v>
      </c>
      <c r="BJ17" s="1">
        <f>AVERAGE(Supplementary_Table2!BJ6:BJ16)</f>
        <v>10.444545454545455</v>
      </c>
    </row>
    <row r="18" spans="1:62" ht="13.15" x14ac:dyDescent="0.4">
      <c r="A18" t="s">
        <v>112</v>
      </c>
      <c r="B18">
        <v>51.54</v>
      </c>
      <c r="E18" s="1"/>
      <c r="F18" s="1">
        <f>STDEV(F6:F16)</f>
        <v>9.2400362061470869</v>
      </c>
      <c r="H18" t="s">
        <v>112</v>
      </c>
      <c r="I18">
        <v>64.39</v>
      </c>
      <c r="M18" s="1">
        <f>STDEV(M6:M16)</f>
        <v>9.367070367661773</v>
      </c>
      <c r="O18" t="s">
        <v>112</v>
      </c>
      <c r="P18">
        <v>1.06</v>
      </c>
      <c r="T18" s="1">
        <f>STDEV(T6:T16)</f>
        <v>0.36394555037307869</v>
      </c>
      <c r="V18" t="s">
        <v>65</v>
      </c>
      <c r="W18">
        <v>2.38</v>
      </c>
      <c r="X18" t="s">
        <v>75</v>
      </c>
      <c r="Y18">
        <v>0.89</v>
      </c>
      <c r="Z18" t="s">
        <v>361</v>
      </c>
      <c r="AA18" s="8">
        <v>1.53</v>
      </c>
      <c r="AC18" t="s">
        <v>112</v>
      </c>
      <c r="AD18">
        <v>6.02</v>
      </c>
      <c r="AH18" s="1">
        <v>8.2040000000000006</v>
      </c>
      <c r="AJ18" t="s">
        <v>65</v>
      </c>
      <c r="AK18">
        <v>0.36</v>
      </c>
      <c r="AL18" t="s">
        <v>80</v>
      </c>
      <c r="AM18">
        <v>0.25</v>
      </c>
      <c r="AN18" t="s">
        <v>365</v>
      </c>
      <c r="AO18" s="8">
        <v>0.13</v>
      </c>
      <c r="AQ18" t="s">
        <v>65</v>
      </c>
      <c r="AR18">
        <v>0.71</v>
      </c>
      <c r="AV18" s="1">
        <f>AVERAGE(Supplementary_Table2!AV6:AV17)</f>
        <v>0.76826349614442313</v>
      </c>
      <c r="AX18" t="s">
        <v>65</v>
      </c>
      <c r="AY18">
        <v>0.63</v>
      </c>
      <c r="AZ18" t="s">
        <v>80</v>
      </c>
      <c r="BA18">
        <f>12.75/27.38</f>
        <v>0.46566837107377651</v>
      </c>
      <c r="BC18" s="1">
        <f>STDEV(BC6:BC15)/SQRT(10)</f>
        <v>3.9176428163230574E-2</v>
      </c>
      <c r="BE18" t="s">
        <v>381</v>
      </c>
      <c r="BF18">
        <v>12.85</v>
      </c>
      <c r="BJ18" s="1">
        <f>STDEV(Supplementary_Table2!BJ6:BJ16)</f>
        <v>4.3228401858878929</v>
      </c>
    </row>
    <row r="19" spans="1:62" ht="13.15" x14ac:dyDescent="0.4">
      <c r="A19" t="s">
        <v>114</v>
      </c>
      <c r="B19">
        <v>11.71</v>
      </c>
      <c r="F19" s="1">
        <f>F18/SQRT(11)</f>
        <v>2.785975740462626</v>
      </c>
      <c r="H19" t="s">
        <v>114</v>
      </c>
      <c r="I19">
        <v>14.78</v>
      </c>
      <c r="M19" s="1">
        <f>STDEV(M6:M16)/SQRT(11)</f>
        <v>2.8242779813082279</v>
      </c>
      <c r="O19" t="s">
        <v>114</v>
      </c>
      <c r="P19">
        <v>1.65</v>
      </c>
      <c r="T19" s="1">
        <f>STDEV(T6:T16)/SQRT(11)</f>
        <v>0.10973371224608115</v>
      </c>
      <c r="V19" t="s">
        <v>68</v>
      </c>
      <c r="W19">
        <v>1.47</v>
      </c>
      <c r="X19" t="s">
        <v>78</v>
      </c>
      <c r="Y19">
        <v>1.92</v>
      </c>
      <c r="Z19" t="s">
        <v>365</v>
      </c>
      <c r="AA19" s="8">
        <v>3.72</v>
      </c>
      <c r="AC19" t="s">
        <v>114</v>
      </c>
      <c r="AD19">
        <v>9.11</v>
      </c>
      <c r="AH19" s="1">
        <f>STDEV(AH6:AH16)/SQRT(11)</f>
        <v>1.0174444570297181</v>
      </c>
      <c r="AJ19" t="s">
        <v>68</v>
      </c>
      <c r="AK19">
        <v>0.53</v>
      </c>
      <c r="AM19" s="1">
        <f>AVERAGE(AM6:AM18)</f>
        <v>0.25846153846153846</v>
      </c>
      <c r="AN19" t="s">
        <v>369</v>
      </c>
      <c r="AO19" s="8">
        <v>0.32</v>
      </c>
      <c r="AQ19" t="s">
        <v>68</v>
      </c>
      <c r="AR19">
        <v>0.7</v>
      </c>
      <c r="AV19" s="1">
        <f>STDEV(AV6:AV17)</f>
        <v>0.20257491673485639</v>
      </c>
      <c r="AX19" t="s">
        <v>68</v>
      </c>
      <c r="AY19">
        <v>0.68</v>
      </c>
      <c r="BA19" s="1">
        <f>AVERAGE(BA6:BA18)</f>
        <v>0.55451023733755977</v>
      </c>
      <c r="BE19" t="s">
        <v>112</v>
      </c>
      <c r="BF19">
        <v>13.7</v>
      </c>
      <c r="BJ19" s="1">
        <f>Supplementary_Table2!BJ18/SQRT(11)</f>
        <v>1.3033853568418483</v>
      </c>
    </row>
    <row r="20" spans="1:62" ht="13.15" x14ac:dyDescent="0.4">
      <c r="A20" t="s">
        <v>117</v>
      </c>
      <c r="B20">
        <v>40.85</v>
      </c>
      <c r="H20" t="s">
        <v>117</v>
      </c>
      <c r="I20">
        <v>42.47</v>
      </c>
      <c r="O20" t="s">
        <v>117</v>
      </c>
      <c r="P20">
        <v>0.94</v>
      </c>
      <c r="V20" t="s">
        <v>71</v>
      </c>
      <c r="W20">
        <v>1.25</v>
      </c>
      <c r="X20" t="s">
        <v>80</v>
      </c>
      <c r="Y20">
        <v>3.34</v>
      </c>
      <c r="Z20" t="s">
        <v>369</v>
      </c>
      <c r="AA20" s="8">
        <v>2.35</v>
      </c>
      <c r="AC20" t="s">
        <v>117</v>
      </c>
      <c r="AD20">
        <v>4.6399999999999997</v>
      </c>
      <c r="AJ20" t="s">
        <v>71</v>
      </c>
      <c r="AK20">
        <v>0</v>
      </c>
      <c r="AM20" s="1">
        <f>STDEV(AM6:AM18)</f>
        <v>0.24002937854375778</v>
      </c>
      <c r="AN20" t="s">
        <v>373</v>
      </c>
      <c r="AO20">
        <v>0.45</v>
      </c>
      <c r="AQ20" t="s">
        <v>71</v>
      </c>
      <c r="AR20">
        <v>0.7</v>
      </c>
      <c r="AV20" s="1">
        <f>STDEV(AV6:AV17)/SQRT(12)</f>
        <v>5.8478341353967685E-2</v>
      </c>
      <c r="AX20" t="s">
        <v>71</v>
      </c>
      <c r="AY20">
        <v>0.31</v>
      </c>
      <c r="BA20" s="1">
        <f>STDEV(BA6:BA18)</f>
        <v>0.1941299308833099</v>
      </c>
      <c r="BE20" t="s">
        <v>114</v>
      </c>
      <c r="BF20">
        <v>17.2</v>
      </c>
    </row>
    <row r="21" spans="1:62" ht="13.15" x14ac:dyDescent="0.4">
      <c r="B21" s="1">
        <f>AVERAGE(B6:B20)</f>
        <v>27.543333333333337</v>
      </c>
      <c r="H21" t="s">
        <v>397</v>
      </c>
      <c r="I21" s="1">
        <f>AVERAGE(I6:I20)</f>
        <v>36.163333333333334</v>
      </c>
      <c r="O21" t="s">
        <v>397</v>
      </c>
      <c r="P21" s="1">
        <f>AVERAGE(P6:P20)</f>
        <v>1.0653333333333335</v>
      </c>
      <c r="V21" t="s">
        <v>74</v>
      </c>
      <c r="W21">
        <v>1.02</v>
      </c>
      <c r="X21" t="s">
        <v>873</v>
      </c>
      <c r="Y21">
        <v>3.45</v>
      </c>
      <c r="Z21" t="s">
        <v>373</v>
      </c>
      <c r="AA21">
        <v>1.94</v>
      </c>
      <c r="AC21" t="s">
        <v>397</v>
      </c>
      <c r="AD21" s="1">
        <f>AVERAGE(AD6:AD20)</f>
        <v>7.0486666666666649</v>
      </c>
      <c r="AJ21" t="s">
        <v>74</v>
      </c>
      <c r="AK21">
        <v>0.43</v>
      </c>
      <c r="AM21" s="1">
        <f>STDEV(AM6:AM18)/SQRT(13)</f>
        <v>6.6572171689021117E-2</v>
      </c>
      <c r="AN21" t="s">
        <v>377</v>
      </c>
      <c r="AO21">
        <v>0.2</v>
      </c>
      <c r="AQ21" t="s">
        <v>74</v>
      </c>
      <c r="AR21">
        <v>0.68</v>
      </c>
      <c r="AX21" t="s">
        <v>74</v>
      </c>
      <c r="AY21">
        <v>0.72</v>
      </c>
      <c r="BA21" s="1">
        <f>STDEV(BA6:BA18)/SQRT(13)</f>
        <v>5.3841955377081085E-2</v>
      </c>
      <c r="BE21" t="s">
        <v>117</v>
      </c>
      <c r="BF21">
        <v>7.76</v>
      </c>
    </row>
    <row r="22" spans="1:62" ht="13.15" x14ac:dyDescent="0.4">
      <c r="B22" s="1">
        <f>STDEV(B6:B21)</f>
        <v>14.979612663735853</v>
      </c>
      <c r="H22" t="s">
        <v>281</v>
      </c>
      <c r="I22" s="1">
        <f>STDEV(I6:I20)</f>
        <v>14.602553918831486</v>
      </c>
      <c r="O22" t="s">
        <v>281</v>
      </c>
      <c r="P22" s="1">
        <f>STDEV(P6:P20)</f>
        <v>0.29529323601819091</v>
      </c>
      <c r="V22" t="s">
        <v>77</v>
      </c>
      <c r="W22">
        <v>2.5299999999999998</v>
      </c>
      <c r="X22" t="s">
        <v>82</v>
      </c>
      <c r="Y22">
        <v>2.35</v>
      </c>
      <c r="Z22" t="s">
        <v>377</v>
      </c>
      <c r="AA22">
        <v>4.92</v>
      </c>
      <c r="AC22" t="s">
        <v>281</v>
      </c>
      <c r="AD22" s="1">
        <f>STDEV(AD6:AD20)</f>
        <v>2.4708381072787793</v>
      </c>
      <c r="AJ22" t="s">
        <v>77</v>
      </c>
      <c r="AK22">
        <v>0.23</v>
      </c>
      <c r="AN22" t="s">
        <v>420</v>
      </c>
      <c r="AO22">
        <v>0.1</v>
      </c>
      <c r="AQ22" t="s">
        <v>77</v>
      </c>
      <c r="AR22">
        <v>0.63</v>
      </c>
      <c r="AX22" t="s">
        <v>77</v>
      </c>
      <c r="AY22">
        <v>0.35</v>
      </c>
      <c r="BF22" s="1">
        <f>AVERAGE(Supplementary_Table2!BF6:BF20)</f>
        <v>12.810666666666664</v>
      </c>
    </row>
    <row r="23" spans="1:62" ht="13.15" x14ac:dyDescent="0.4">
      <c r="B23" s="1">
        <f>B22/SQRT(16)</f>
        <v>3.7449031659339633</v>
      </c>
      <c r="H23" t="s">
        <v>284</v>
      </c>
      <c r="I23" s="1">
        <f>STDEV(I6:I20)/SQRT(16)</f>
        <v>3.6506384797078715</v>
      </c>
      <c r="O23" t="s">
        <v>284</v>
      </c>
      <c r="P23" s="1">
        <f>STDEV(P6:P20)/SQRT(16)</f>
        <v>7.3823309004547727E-2</v>
      </c>
      <c r="V23" t="s">
        <v>79</v>
      </c>
      <c r="W23">
        <v>2.34</v>
      </c>
      <c r="X23" t="s">
        <v>397</v>
      </c>
      <c r="Y23" s="1">
        <f>AVERAGE(Y6:Y22)</f>
        <v>1.9988235294117644</v>
      </c>
      <c r="Z23" t="s">
        <v>420</v>
      </c>
      <c r="AA23">
        <v>3.74</v>
      </c>
      <c r="AC23" t="s">
        <v>284</v>
      </c>
      <c r="AD23" s="1">
        <f>STDEV(AD6:AD20)/SQRT(16)</f>
        <v>0.61770952681969482</v>
      </c>
      <c r="AJ23" t="s">
        <v>79</v>
      </c>
      <c r="AK23">
        <v>0.6</v>
      </c>
      <c r="AO23" s="1">
        <f>AVERAGE(AO6:AO22)</f>
        <v>0.3876470588235294</v>
      </c>
      <c r="AQ23" t="s">
        <v>79</v>
      </c>
      <c r="AR23">
        <v>0.57999999999999996</v>
      </c>
      <c r="AX23" t="s">
        <v>79</v>
      </c>
      <c r="AY23">
        <v>0.54</v>
      </c>
      <c r="BF23" s="1">
        <f>STDEV(Supplementary_Table2!BF6:BF20)</f>
        <v>3.2015363871265459</v>
      </c>
    </row>
    <row r="24" spans="1:62" ht="13.15" x14ac:dyDescent="0.4">
      <c r="V24" t="s">
        <v>81</v>
      </c>
      <c r="W24">
        <v>2.2400000000000002</v>
      </c>
      <c r="X24" t="s">
        <v>281</v>
      </c>
      <c r="Y24" s="1">
        <f>STDEV(Y6:Y22)</f>
        <v>0.73790143610902803</v>
      </c>
      <c r="AA24" s="1">
        <f>AVERAGE(AA6:AA23)</f>
        <v>2.6927777777777782</v>
      </c>
      <c r="AJ24" t="s">
        <v>81</v>
      </c>
      <c r="AK24">
        <v>0.28999999999999998</v>
      </c>
      <c r="AO24" s="1">
        <f>STDEV(AO6:AO22)</f>
        <v>0.24016997657296549</v>
      </c>
      <c r="AQ24" t="s">
        <v>81</v>
      </c>
      <c r="AR24">
        <v>0.54</v>
      </c>
      <c r="AX24" t="s">
        <v>81</v>
      </c>
      <c r="AY24">
        <v>0.44</v>
      </c>
      <c r="BF24" s="1">
        <f>Supplementary_Table2!BF23/SQRT(16)</f>
        <v>0.80038409678163647</v>
      </c>
    </row>
    <row r="25" spans="1:62" ht="13.15" x14ac:dyDescent="0.4">
      <c r="V25" t="s">
        <v>83</v>
      </c>
      <c r="W25">
        <v>2.02</v>
      </c>
      <c r="X25" t="s">
        <v>284</v>
      </c>
      <c r="Y25" s="1">
        <f>STDEV(Y7:Y23)/SQRT(17)</f>
        <v>0.1770493959539412</v>
      </c>
      <c r="AA25" s="1">
        <f>STDEV(AA6:AA23)</f>
        <v>1.1889382587025012</v>
      </c>
      <c r="AJ25" t="s">
        <v>83</v>
      </c>
      <c r="AK25">
        <v>0.4</v>
      </c>
      <c r="AO25" s="1">
        <f>0.24/SQRT(17)</f>
        <v>5.8208550008719911E-2</v>
      </c>
      <c r="AQ25" t="s">
        <v>83</v>
      </c>
      <c r="AR25">
        <v>0.53</v>
      </c>
      <c r="AX25" t="s">
        <v>83</v>
      </c>
      <c r="AY25">
        <v>0.33</v>
      </c>
    </row>
    <row r="26" spans="1:62" ht="13.15" x14ac:dyDescent="0.4">
      <c r="V26" t="s">
        <v>85</v>
      </c>
      <c r="W26">
        <v>1.54</v>
      </c>
      <c r="AA26" s="1">
        <f>1.18/SQRT(18)</f>
        <v>0.27812866726670871</v>
      </c>
      <c r="AJ26" t="s">
        <v>85</v>
      </c>
      <c r="AK26">
        <v>0.05</v>
      </c>
      <c r="AQ26" t="s">
        <v>85</v>
      </c>
      <c r="AR26">
        <v>0.53</v>
      </c>
      <c r="AX26" t="s">
        <v>85</v>
      </c>
      <c r="AY26">
        <v>0.56000000000000005</v>
      </c>
    </row>
    <row r="27" spans="1:62" x14ac:dyDescent="0.35">
      <c r="V27" t="s">
        <v>86</v>
      </c>
      <c r="W27">
        <v>1.1000000000000001</v>
      </c>
      <c r="AJ27" t="s">
        <v>86</v>
      </c>
      <c r="AK27">
        <v>0.13</v>
      </c>
      <c r="AQ27" t="s">
        <v>86</v>
      </c>
      <c r="AR27">
        <v>0.51</v>
      </c>
      <c r="AX27" t="s">
        <v>86</v>
      </c>
      <c r="AY27">
        <v>0.28999999999999998</v>
      </c>
    </row>
    <row r="28" spans="1:62" x14ac:dyDescent="0.35">
      <c r="V28" t="s">
        <v>87</v>
      </c>
      <c r="W28">
        <v>1.73</v>
      </c>
      <c r="AJ28" t="s">
        <v>87</v>
      </c>
      <c r="AK28">
        <v>0.5</v>
      </c>
      <c r="AQ28" t="s">
        <v>87</v>
      </c>
      <c r="AR28">
        <v>0.49</v>
      </c>
      <c r="AX28" t="s">
        <v>87</v>
      </c>
      <c r="AY28">
        <v>0.62</v>
      </c>
    </row>
    <row r="29" spans="1:62" x14ac:dyDescent="0.35">
      <c r="V29" t="s">
        <v>88</v>
      </c>
      <c r="W29">
        <v>3.18</v>
      </c>
      <c r="AJ29" t="s">
        <v>88</v>
      </c>
      <c r="AK29">
        <v>0.36</v>
      </c>
      <c r="AQ29" t="s">
        <v>88</v>
      </c>
      <c r="AR29">
        <v>0.49</v>
      </c>
      <c r="AX29" t="s">
        <v>88</v>
      </c>
      <c r="AY29">
        <v>0.56999999999999995</v>
      </c>
    </row>
    <row r="30" spans="1:62" x14ac:dyDescent="0.35">
      <c r="V30" t="s">
        <v>89</v>
      </c>
      <c r="W30">
        <v>2.37</v>
      </c>
      <c r="AJ30" t="s">
        <v>89</v>
      </c>
      <c r="AK30">
        <v>0.25</v>
      </c>
      <c r="AQ30" t="s">
        <v>89</v>
      </c>
      <c r="AR30">
        <v>0.45</v>
      </c>
      <c r="AX30" t="s">
        <v>89</v>
      </c>
      <c r="AY30">
        <v>0.67</v>
      </c>
    </row>
    <row r="31" spans="1:62" x14ac:dyDescent="0.35">
      <c r="V31" t="s">
        <v>90</v>
      </c>
      <c r="W31">
        <v>2.0699999999999998</v>
      </c>
      <c r="AJ31" t="s">
        <v>90</v>
      </c>
      <c r="AK31">
        <v>0.25</v>
      </c>
      <c r="AQ31" t="s">
        <v>90</v>
      </c>
      <c r="AR31">
        <v>0.44</v>
      </c>
      <c r="AX31" t="s">
        <v>90</v>
      </c>
      <c r="AY31">
        <v>0.52</v>
      </c>
    </row>
    <row r="32" spans="1:62" x14ac:dyDescent="0.35">
      <c r="V32" t="s">
        <v>91</v>
      </c>
      <c r="W32">
        <v>1.36</v>
      </c>
      <c r="AJ32" t="s">
        <v>92</v>
      </c>
      <c r="AK32">
        <v>0.05</v>
      </c>
      <c r="AQ32" t="s">
        <v>91</v>
      </c>
      <c r="AR32">
        <v>0.44</v>
      </c>
      <c r="AX32" t="s">
        <v>96</v>
      </c>
      <c r="AY32">
        <v>0.64</v>
      </c>
    </row>
    <row r="33" spans="22:51" x14ac:dyDescent="0.35">
      <c r="V33" t="s">
        <v>92</v>
      </c>
      <c r="W33">
        <v>3.16</v>
      </c>
      <c r="AJ33" t="s">
        <v>93</v>
      </c>
      <c r="AK33">
        <v>0</v>
      </c>
      <c r="AQ33" t="s">
        <v>92</v>
      </c>
      <c r="AR33">
        <v>0.41</v>
      </c>
      <c r="AX33" t="s">
        <v>98</v>
      </c>
      <c r="AY33">
        <v>0.92</v>
      </c>
    </row>
    <row r="34" spans="22:51" x14ac:dyDescent="0.35">
      <c r="V34" t="s">
        <v>93</v>
      </c>
      <c r="W34">
        <v>1.24</v>
      </c>
      <c r="AJ34" t="s">
        <v>94</v>
      </c>
      <c r="AK34">
        <f>17/20</f>
        <v>0.85</v>
      </c>
      <c r="AQ34" t="s">
        <v>93</v>
      </c>
      <c r="AR34">
        <v>0.39</v>
      </c>
      <c r="AX34" t="s">
        <v>99</v>
      </c>
      <c r="AY34">
        <v>0.17</v>
      </c>
    </row>
    <row r="35" spans="22:51" x14ac:dyDescent="0.35">
      <c r="V35" t="s">
        <v>94</v>
      </c>
      <c r="W35">
        <v>1.7</v>
      </c>
      <c r="AJ35" t="s">
        <v>95</v>
      </c>
      <c r="AK35">
        <v>0</v>
      </c>
      <c r="AQ35" t="s">
        <v>94</v>
      </c>
      <c r="AR35">
        <v>0.35</v>
      </c>
      <c r="AX35" t="s">
        <v>112</v>
      </c>
      <c r="AY35">
        <v>0.34</v>
      </c>
    </row>
    <row r="36" spans="22:51" x14ac:dyDescent="0.35">
      <c r="V36" t="s">
        <v>95</v>
      </c>
      <c r="W36">
        <v>1.0900000000000001</v>
      </c>
      <c r="AJ36" t="s">
        <v>96</v>
      </c>
      <c r="AK36">
        <v>0.2</v>
      </c>
      <c r="AQ36" t="s">
        <v>95</v>
      </c>
      <c r="AR36">
        <v>0.3</v>
      </c>
      <c r="AX36" t="s">
        <v>114</v>
      </c>
      <c r="AY36">
        <v>0.41</v>
      </c>
    </row>
    <row r="37" spans="22:51" x14ac:dyDescent="0.35">
      <c r="V37" t="s">
        <v>96</v>
      </c>
      <c r="W37">
        <v>1.1599999999999999</v>
      </c>
      <c r="AJ37" t="s">
        <v>97</v>
      </c>
      <c r="AK37">
        <v>0.05</v>
      </c>
      <c r="AQ37" t="s">
        <v>96</v>
      </c>
      <c r="AR37">
        <v>0.25</v>
      </c>
      <c r="AX37" t="s">
        <v>117</v>
      </c>
      <c r="AY37">
        <v>0.31</v>
      </c>
    </row>
    <row r="38" spans="22:51" ht="13.15" x14ac:dyDescent="0.4">
      <c r="V38" t="s">
        <v>97</v>
      </c>
      <c r="W38">
        <v>2.5</v>
      </c>
      <c r="AJ38" t="s">
        <v>98</v>
      </c>
      <c r="AK38">
        <v>0.6</v>
      </c>
      <c r="AR38" s="1">
        <f>AVERAGE(AR5:AR37)</f>
        <v>0.70687500000000014</v>
      </c>
      <c r="AY38" s="1">
        <f>AVERAGE(AY6:AY37)</f>
        <v>0.49874999999999992</v>
      </c>
    </row>
    <row r="39" spans="22:51" ht="13.15" x14ac:dyDescent="0.4">
      <c r="V39" t="s">
        <v>98</v>
      </c>
      <c r="W39">
        <v>2.09</v>
      </c>
      <c r="AJ39" t="s">
        <v>99</v>
      </c>
      <c r="AK39">
        <v>0</v>
      </c>
      <c r="AR39" s="1">
        <f>STDEV(AR6:AR37)</f>
        <v>0.36850559150132495</v>
      </c>
      <c r="AY39" s="1">
        <f>STDEV(AY6:AY37)</f>
        <v>0.23744269257668182</v>
      </c>
    </row>
    <row r="40" spans="22:51" ht="13.15" x14ac:dyDescent="0.4">
      <c r="V40" t="s">
        <v>99</v>
      </c>
      <c r="W40">
        <v>1.01</v>
      </c>
      <c r="AJ40" t="s">
        <v>100</v>
      </c>
      <c r="AK40">
        <v>0</v>
      </c>
      <c r="AR40" s="1">
        <f>STDEV(AR6:AR37)/SQRT(32)</f>
        <v>6.5143200663936654E-2</v>
      </c>
      <c r="AY40" s="1">
        <f>AY39/SQRT(32)</f>
        <v>4.1974334516041101E-2</v>
      </c>
    </row>
    <row r="41" spans="22:51" x14ac:dyDescent="0.35">
      <c r="V41" t="s">
        <v>100</v>
      </c>
      <c r="W41">
        <v>2.2799999999999998</v>
      </c>
      <c r="AJ41" t="s">
        <v>101</v>
      </c>
      <c r="AK41">
        <v>0.2</v>
      </c>
    </row>
    <row r="42" spans="22:51" x14ac:dyDescent="0.35">
      <c r="V42" t="s">
        <v>101</v>
      </c>
      <c r="W42">
        <v>1.97</v>
      </c>
      <c r="AJ42" t="s">
        <v>102</v>
      </c>
      <c r="AK42">
        <v>0.15</v>
      </c>
    </row>
    <row r="43" spans="22:51" x14ac:dyDescent="0.35">
      <c r="V43" t="s">
        <v>102</v>
      </c>
      <c r="W43">
        <v>2.29</v>
      </c>
      <c r="AJ43" t="s">
        <v>103</v>
      </c>
      <c r="AK43">
        <v>0.15</v>
      </c>
    </row>
    <row r="44" spans="22:51" x14ac:dyDescent="0.35">
      <c r="V44" t="s">
        <v>103</v>
      </c>
      <c r="W44">
        <v>1.18</v>
      </c>
      <c r="AJ44" t="s">
        <v>104</v>
      </c>
      <c r="AK44">
        <v>0.05</v>
      </c>
    </row>
    <row r="45" spans="22:51" x14ac:dyDescent="0.35">
      <c r="V45" t="s">
        <v>104</v>
      </c>
      <c r="W45">
        <v>2.35</v>
      </c>
      <c r="AJ45" t="s">
        <v>105</v>
      </c>
      <c r="AK45">
        <v>0.15</v>
      </c>
    </row>
    <row r="46" spans="22:51" x14ac:dyDescent="0.35">
      <c r="V46" t="s">
        <v>105</v>
      </c>
      <c r="W46">
        <v>1.72</v>
      </c>
      <c r="AJ46" t="s">
        <v>106</v>
      </c>
      <c r="AK46">
        <v>0.1</v>
      </c>
    </row>
    <row r="47" spans="22:51" x14ac:dyDescent="0.35">
      <c r="V47" t="s">
        <v>106</v>
      </c>
      <c r="W47">
        <v>1.87</v>
      </c>
      <c r="AJ47" t="s">
        <v>107</v>
      </c>
      <c r="AK47">
        <v>0.4</v>
      </c>
    </row>
    <row r="48" spans="22:51" x14ac:dyDescent="0.35">
      <c r="V48" t="s">
        <v>107</v>
      </c>
      <c r="W48">
        <v>1.56</v>
      </c>
      <c r="AJ48" t="s">
        <v>108</v>
      </c>
      <c r="AK48">
        <v>0</v>
      </c>
    </row>
    <row r="49" spans="22:37" x14ac:dyDescent="0.35">
      <c r="V49" t="s">
        <v>108</v>
      </c>
      <c r="W49">
        <v>1.26</v>
      </c>
      <c r="AJ49" t="s">
        <v>112</v>
      </c>
      <c r="AK49">
        <v>0.2</v>
      </c>
    </row>
    <row r="50" spans="22:37" x14ac:dyDescent="0.35">
      <c r="V50" t="s">
        <v>112</v>
      </c>
      <c r="W50">
        <v>1.04</v>
      </c>
      <c r="AJ50" t="s">
        <v>114</v>
      </c>
      <c r="AK50">
        <v>0.45</v>
      </c>
    </row>
    <row r="51" spans="22:37" x14ac:dyDescent="0.35">
      <c r="V51" t="s">
        <v>114</v>
      </c>
      <c r="W51">
        <v>2.36</v>
      </c>
      <c r="AJ51" t="s">
        <v>117</v>
      </c>
      <c r="AK51">
        <v>0.05</v>
      </c>
    </row>
    <row r="52" spans="22:37" x14ac:dyDescent="0.35">
      <c r="V52" t="s">
        <v>117</v>
      </c>
      <c r="W52">
        <v>1.72</v>
      </c>
      <c r="AJ52" t="s">
        <v>120</v>
      </c>
      <c r="AK52">
        <v>0.15</v>
      </c>
    </row>
    <row r="53" spans="22:37" x14ac:dyDescent="0.35">
      <c r="V53" t="s">
        <v>119</v>
      </c>
      <c r="W53">
        <v>2.31</v>
      </c>
      <c r="AJ53" t="s">
        <v>121</v>
      </c>
      <c r="AK53">
        <v>0.65</v>
      </c>
    </row>
    <row r="54" spans="22:37" x14ac:dyDescent="0.35">
      <c r="V54" t="s">
        <v>120</v>
      </c>
      <c r="W54">
        <v>2.73</v>
      </c>
      <c r="AJ54" t="s">
        <v>122</v>
      </c>
      <c r="AK54">
        <v>0.1</v>
      </c>
    </row>
    <row r="55" spans="22:37" x14ac:dyDescent="0.35">
      <c r="V55" t="s">
        <v>121</v>
      </c>
      <c r="W55">
        <v>2.46</v>
      </c>
      <c r="AJ55" t="s">
        <v>124</v>
      </c>
      <c r="AK55">
        <v>0.4</v>
      </c>
    </row>
    <row r="56" spans="22:37" x14ac:dyDescent="0.35">
      <c r="V56" t="s">
        <v>122</v>
      </c>
      <c r="W56">
        <v>4.32</v>
      </c>
      <c r="AJ56" t="s">
        <v>127</v>
      </c>
      <c r="AK56">
        <v>0.05</v>
      </c>
    </row>
    <row r="57" spans="22:37" x14ac:dyDescent="0.35">
      <c r="V57" t="s">
        <v>123</v>
      </c>
      <c r="W57">
        <v>2.15</v>
      </c>
      <c r="AJ57" t="s">
        <v>524</v>
      </c>
      <c r="AK57">
        <v>0.3</v>
      </c>
    </row>
    <row r="58" spans="22:37" x14ac:dyDescent="0.35">
      <c r="V58" t="s">
        <v>124</v>
      </c>
      <c r="W58">
        <v>1.86</v>
      </c>
      <c r="AJ58" t="s">
        <v>528</v>
      </c>
      <c r="AK58">
        <v>0.1</v>
      </c>
    </row>
    <row r="59" spans="22:37" x14ac:dyDescent="0.35">
      <c r="V59" t="s">
        <v>127</v>
      </c>
      <c r="W59">
        <v>2.46</v>
      </c>
      <c r="AJ59" t="s">
        <v>532</v>
      </c>
      <c r="AK59">
        <v>0.05</v>
      </c>
    </row>
    <row r="60" spans="22:37" x14ac:dyDescent="0.35">
      <c r="V60" t="s">
        <v>524</v>
      </c>
      <c r="W60">
        <v>1.7</v>
      </c>
      <c r="AJ60" t="s">
        <v>536</v>
      </c>
      <c r="AK60">
        <v>0.05</v>
      </c>
    </row>
    <row r="61" spans="22:37" x14ac:dyDescent="0.35">
      <c r="V61" t="s">
        <v>528</v>
      </c>
      <c r="W61">
        <v>2.0099999999999998</v>
      </c>
      <c r="AJ61" t="s">
        <v>540</v>
      </c>
      <c r="AK61">
        <v>0.6</v>
      </c>
    </row>
    <row r="62" spans="22:37" x14ac:dyDescent="0.35">
      <c r="V62" t="s">
        <v>532</v>
      </c>
      <c r="W62">
        <v>1.84</v>
      </c>
      <c r="AJ62" t="s">
        <v>544</v>
      </c>
      <c r="AK62">
        <v>0.6</v>
      </c>
    </row>
    <row r="63" spans="22:37" ht="13.15" x14ac:dyDescent="0.4">
      <c r="V63" t="s">
        <v>536</v>
      </c>
      <c r="W63">
        <v>1.99</v>
      </c>
      <c r="AJ63" t="s">
        <v>397</v>
      </c>
      <c r="AK63" s="1">
        <f>AVERAGE(AK6:AK62)</f>
        <v>0.25877192982456149</v>
      </c>
    </row>
    <row r="64" spans="22:37" ht="13.15" x14ac:dyDescent="0.4">
      <c r="V64" t="s">
        <v>540</v>
      </c>
      <c r="W64">
        <v>3.3</v>
      </c>
      <c r="AJ64" t="s">
        <v>281</v>
      </c>
      <c r="AK64" s="1">
        <f>STDEV(AK6:AK62)</f>
        <v>0.22497674622247552</v>
      </c>
    </row>
    <row r="65" spans="22:37" ht="13.15" x14ac:dyDescent="0.4">
      <c r="V65" t="s">
        <v>544</v>
      </c>
      <c r="W65">
        <v>1.29</v>
      </c>
      <c r="AJ65" t="s">
        <v>284</v>
      </c>
      <c r="AK65" s="1">
        <f>STDEV(AK6:AK62)/SQRT(57)</f>
        <v>2.9798897995887967E-2</v>
      </c>
    </row>
    <row r="66" spans="22:37" ht="13.15" x14ac:dyDescent="0.4">
      <c r="V66" t="s">
        <v>397</v>
      </c>
      <c r="W66" s="1">
        <f>AVERAGE(W6:W65)</f>
        <v>1.995833333333334</v>
      </c>
    </row>
    <row r="67" spans="22:37" ht="13.15" x14ac:dyDescent="0.4">
      <c r="V67" t="s">
        <v>281</v>
      </c>
      <c r="W67" s="1">
        <f>STDEV(W6:W65)</f>
        <v>0.67707319201444627</v>
      </c>
    </row>
    <row r="68" spans="22:37" ht="13.15" x14ac:dyDescent="0.4">
      <c r="V68" t="s">
        <v>284</v>
      </c>
      <c r="W68" s="1">
        <f>STDEV(W6:W65)/SQRT(60)</f>
        <v>8.7409773227848236E-2</v>
      </c>
    </row>
  </sheetData>
  <mergeCells count="36">
    <mergeCell ref="AZ4:BA4"/>
    <mergeCell ref="BB4:BC4"/>
    <mergeCell ref="BE4:BF4"/>
    <mergeCell ref="BG4:BH4"/>
    <mergeCell ref="BI4:BJ4"/>
    <mergeCell ref="AN4:AO4"/>
    <mergeCell ref="AQ4:AR4"/>
    <mergeCell ref="AS4:AT4"/>
    <mergeCell ref="AU4:AV4"/>
    <mergeCell ref="AX4:AY4"/>
    <mergeCell ref="AC4:AD4"/>
    <mergeCell ref="AE4:AF4"/>
    <mergeCell ref="AG4:AH4"/>
    <mergeCell ref="AJ4:AK4"/>
    <mergeCell ref="AL4:AM4"/>
    <mergeCell ref="AJ3:AO3"/>
    <mergeCell ref="AQ3:AV3"/>
    <mergeCell ref="AX3:BC3"/>
    <mergeCell ref="BE3:BJ3"/>
    <mergeCell ref="A4:B4"/>
    <mergeCell ref="C4:D4"/>
    <mergeCell ref="E4:F4"/>
    <mergeCell ref="H4:I4"/>
    <mergeCell ref="J4:K4"/>
    <mergeCell ref="L4:M4"/>
    <mergeCell ref="O4:P4"/>
    <mergeCell ref="Q4:R4"/>
    <mergeCell ref="S4:T4"/>
    <mergeCell ref="V4:W4"/>
    <mergeCell ref="X4:Y4"/>
    <mergeCell ref="Z4:AA4"/>
    <mergeCell ref="A3:F3"/>
    <mergeCell ref="H3:M3"/>
    <mergeCell ref="O3:T3"/>
    <mergeCell ref="V3:AA3"/>
    <mergeCell ref="AC3:AH3"/>
  </mergeCells>
  <pageMargins left="0.78749999999999998" right="0.78749999999999998" top="1.05277777777778" bottom="1.05277777777778" header="0.78749999999999998" footer="0.78749999999999998"/>
  <pageSetup firstPageNumber="0" orientation="portrait" horizontalDpi="1200" verticalDpi="1200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01"/>
  <sheetViews>
    <sheetView zoomScale="120" zoomScaleNormal="120" workbookViewId="0">
      <selection activeCell="Z99" sqref="Z99"/>
    </sheetView>
  </sheetViews>
  <sheetFormatPr defaultRowHeight="12.75" x14ac:dyDescent="0.35"/>
  <sheetData>
    <row r="1" spans="1:41" ht="13.15" x14ac:dyDescent="0.4">
      <c r="A1" s="43" t="s">
        <v>11</v>
      </c>
      <c r="B1" s="43"/>
      <c r="C1" s="43"/>
      <c r="D1" s="43"/>
      <c r="E1" s="43"/>
      <c r="F1" s="43"/>
      <c r="H1" s="39" t="s">
        <v>12</v>
      </c>
      <c r="I1" s="39"/>
      <c r="J1" s="39"/>
      <c r="K1" s="39"/>
      <c r="L1" s="39"/>
      <c r="M1" s="39"/>
      <c r="N1" s="39"/>
      <c r="O1" s="39"/>
      <c r="P1" s="39"/>
      <c r="Q1" s="39"/>
      <c r="T1" s="40" t="s">
        <v>13</v>
      </c>
      <c r="U1" s="40"/>
      <c r="V1" s="40"/>
      <c r="W1" s="40"/>
      <c r="X1" s="40"/>
      <c r="Y1" s="40"/>
      <c r="Z1" s="40"/>
      <c r="AA1" s="40"/>
      <c r="AB1" s="40"/>
      <c r="AC1" s="40"/>
      <c r="AE1" s="41" t="s">
        <v>14</v>
      </c>
      <c r="AF1" s="41"/>
      <c r="AG1" s="41"/>
      <c r="AH1" s="41"/>
      <c r="AI1" s="41"/>
      <c r="AJ1" s="41"/>
      <c r="AK1" s="41"/>
      <c r="AL1" s="41"/>
      <c r="AM1" s="41"/>
      <c r="AN1" s="41"/>
    </row>
    <row r="2" spans="1:41" x14ac:dyDescent="0.35">
      <c r="A2" t="s">
        <v>15</v>
      </c>
      <c r="B2" s="4" t="s">
        <v>16</v>
      </c>
      <c r="C2" t="s">
        <v>15</v>
      </c>
      <c r="D2" s="5" t="s">
        <v>17</v>
      </c>
      <c r="E2" t="s">
        <v>15</v>
      </c>
      <c r="F2" s="6" t="s">
        <v>18</v>
      </c>
      <c r="H2" t="s">
        <v>2</v>
      </c>
      <c r="I2" t="s">
        <v>3</v>
      </c>
      <c r="J2" t="s">
        <v>4</v>
      </c>
      <c r="K2" t="s">
        <v>5</v>
      </c>
      <c r="L2" t="s">
        <v>6</v>
      </c>
      <c r="M2" t="s">
        <v>7</v>
      </c>
      <c r="N2" t="s">
        <v>8</v>
      </c>
      <c r="O2" t="s">
        <v>19</v>
      </c>
      <c r="P2" t="s">
        <v>20</v>
      </c>
      <c r="Q2" t="s">
        <v>21</v>
      </c>
      <c r="R2" t="s">
        <v>8</v>
      </c>
      <c r="T2" s="42" t="s">
        <v>22</v>
      </c>
      <c r="U2" s="42"/>
      <c r="V2" s="42"/>
      <c r="W2" s="42"/>
      <c r="X2" s="42"/>
      <c r="Y2" s="42"/>
      <c r="Z2" s="42"/>
      <c r="AE2" t="s">
        <v>2</v>
      </c>
      <c r="AF2" t="s">
        <v>3</v>
      </c>
      <c r="AG2" t="s">
        <v>4</v>
      </c>
      <c r="AH2" t="s">
        <v>5</v>
      </c>
      <c r="AI2" t="s">
        <v>6</v>
      </c>
      <c r="AJ2" t="s">
        <v>7</v>
      </c>
      <c r="AK2" t="s">
        <v>8</v>
      </c>
      <c r="AL2" t="s">
        <v>19</v>
      </c>
      <c r="AM2" t="s">
        <v>20</v>
      </c>
      <c r="AN2" t="s">
        <v>21</v>
      </c>
      <c r="AO2" t="s">
        <v>8</v>
      </c>
    </row>
    <row r="3" spans="1:41" x14ac:dyDescent="0.35">
      <c r="A3" t="s">
        <v>23</v>
      </c>
      <c r="B3">
        <v>8.51</v>
      </c>
      <c r="C3" t="s">
        <v>24</v>
      </c>
      <c r="D3">
        <v>4.8899999999999997</v>
      </c>
      <c r="E3" t="s">
        <v>25</v>
      </c>
      <c r="F3">
        <v>1.5</v>
      </c>
      <c r="H3" s="2">
        <v>291121</v>
      </c>
      <c r="I3" s="2">
        <v>6</v>
      </c>
      <c r="J3" s="2">
        <v>0</v>
      </c>
      <c r="K3" s="2">
        <v>30</v>
      </c>
      <c r="L3" s="2">
        <v>0</v>
      </c>
      <c r="M3" s="2">
        <v>30</v>
      </c>
      <c r="N3" s="2">
        <v>3</v>
      </c>
      <c r="O3" s="2">
        <v>8</v>
      </c>
      <c r="P3" s="2">
        <v>5</v>
      </c>
      <c r="Q3" s="2">
        <v>25</v>
      </c>
      <c r="R3" s="2">
        <v>3</v>
      </c>
      <c r="T3" t="s">
        <v>26</v>
      </c>
      <c r="U3" t="s">
        <v>27</v>
      </c>
      <c r="V3" t="s">
        <v>28</v>
      </c>
      <c r="W3" t="s">
        <v>29</v>
      </c>
      <c r="X3" t="s">
        <v>30</v>
      </c>
      <c r="Y3" t="s">
        <v>31</v>
      </c>
      <c r="Z3" t="s">
        <v>32</v>
      </c>
      <c r="AA3" t="s">
        <v>8</v>
      </c>
      <c r="AE3">
        <v>20322</v>
      </c>
      <c r="AF3">
        <v>3</v>
      </c>
      <c r="AG3">
        <v>0</v>
      </c>
      <c r="AH3">
        <v>6</v>
      </c>
      <c r="AI3">
        <v>0</v>
      </c>
      <c r="AJ3">
        <v>6</v>
      </c>
      <c r="AK3">
        <v>0</v>
      </c>
      <c r="AL3">
        <v>48</v>
      </c>
    </row>
    <row r="4" spans="1:41" x14ac:dyDescent="0.35">
      <c r="A4" t="s">
        <v>33</v>
      </c>
      <c r="B4">
        <v>5.18</v>
      </c>
      <c r="C4" t="s">
        <v>34</v>
      </c>
      <c r="D4">
        <v>1.28</v>
      </c>
      <c r="E4" t="s">
        <v>35</v>
      </c>
      <c r="F4">
        <v>0.92</v>
      </c>
      <c r="H4">
        <v>301121</v>
      </c>
      <c r="I4">
        <v>4</v>
      </c>
      <c r="J4">
        <v>0</v>
      </c>
      <c r="K4">
        <v>12</v>
      </c>
      <c r="L4">
        <v>0</v>
      </c>
      <c r="M4">
        <v>12</v>
      </c>
      <c r="O4">
        <v>7</v>
      </c>
      <c r="T4">
        <v>300721</v>
      </c>
      <c r="U4">
        <v>4</v>
      </c>
      <c r="V4">
        <v>3</v>
      </c>
      <c r="W4">
        <v>12</v>
      </c>
      <c r="X4">
        <v>6</v>
      </c>
      <c r="Y4">
        <v>12</v>
      </c>
      <c r="Z4">
        <f>SUM(Figure2!W4:Y4)</f>
        <v>30</v>
      </c>
      <c r="AE4" s="2">
        <v>203222</v>
      </c>
      <c r="AF4" s="2">
        <v>6</v>
      </c>
      <c r="AG4" s="2">
        <v>0</v>
      </c>
      <c r="AH4" s="2">
        <v>30</v>
      </c>
      <c r="AI4" s="2">
        <v>0</v>
      </c>
      <c r="AJ4" s="2">
        <v>30</v>
      </c>
      <c r="AK4" s="2">
        <v>3</v>
      </c>
      <c r="AL4" s="2">
        <v>48</v>
      </c>
      <c r="AM4" s="2">
        <v>5</v>
      </c>
      <c r="AN4" s="2">
        <f>Figure2!AM4*(Figure2!AF4-1)</f>
        <v>25</v>
      </c>
      <c r="AO4" s="2">
        <v>3</v>
      </c>
    </row>
    <row r="5" spans="1:41" x14ac:dyDescent="0.35">
      <c r="A5" t="s">
        <v>36</v>
      </c>
      <c r="B5">
        <v>5.08</v>
      </c>
      <c r="C5" t="s">
        <v>37</v>
      </c>
      <c r="D5">
        <v>1.03</v>
      </c>
      <c r="E5" t="s">
        <v>38</v>
      </c>
      <c r="F5">
        <v>0.74</v>
      </c>
      <c r="H5">
        <v>11221</v>
      </c>
      <c r="I5">
        <v>6</v>
      </c>
      <c r="J5">
        <v>0</v>
      </c>
      <c r="K5">
        <v>30</v>
      </c>
      <c r="L5">
        <v>0</v>
      </c>
      <c r="M5">
        <v>30</v>
      </c>
      <c r="O5">
        <v>7</v>
      </c>
      <c r="T5" s="2">
        <v>30821</v>
      </c>
      <c r="U5" s="2">
        <v>2</v>
      </c>
      <c r="V5" s="2">
        <v>4</v>
      </c>
      <c r="W5" s="2">
        <v>8</v>
      </c>
      <c r="X5" s="2">
        <v>2</v>
      </c>
      <c r="Y5" s="2">
        <v>12</v>
      </c>
      <c r="Z5" s="2">
        <f>SUM(Figure2!W5:Y5)</f>
        <v>22</v>
      </c>
      <c r="AE5">
        <v>30322</v>
      </c>
      <c r="AF5">
        <v>4</v>
      </c>
      <c r="AG5">
        <v>0</v>
      </c>
      <c r="AH5">
        <v>12</v>
      </c>
      <c r="AI5">
        <v>0</v>
      </c>
      <c r="AJ5">
        <v>12</v>
      </c>
      <c r="AK5">
        <v>0</v>
      </c>
      <c r="AL5">
        <v>47</v>
      </c>
    </row>
    <row r="6" spans="1:41" x14ac:dyDescent="0.35">
      <c r="A6" t="s">
        <v>39</v>
      </c>
      <c r="B6">
        <v>4.5599999999999996</v>
      </c>
      <c r="C6" t="s">
        <v>40</v>
      </c>
      <c r="D6">
        <v>0.65</v>
      </c>
      <c r="E6" t="s">
        <v>41</v>
      </c>
      <c r="F6">
        <v>0.73</v>
      </c>
      <c r="H6" s="2">
        <v>21221</v>
      </c>
      <c r="I6" s="2">
        <v>7</v>
      </c>
      <c r="J6" s="2">
        <v>0</v>
      </c>
      <c r="K6" s="2">
        <v>42</v>
      </c>
      <c r="L6" s="2">
        <v>0</v>
      </c>
      <c r="M6" s="2">
        <v>42</v>
      </c>
      <c r="N6" s="2">
        <v>1</v>
      </c>
      <c r="O6" s="2">
        <v>7</v>
      </c>
      <c r="P6" s="2"/>
      <c r="Q6" s="2"/>
      <c r="R6" s="2"/>
      <c r="T6">
        <v>40821</v>
      </c>
      <c r="U6">
        <v>2</v>
      </c>
      <c r="V6">
        <v>4</v>
      </c>
      <c r="W6">
        <v>8</v>
      </c>
      <c r="X6">
        <v>2</v>
      </c>
      <c r="Y6">
        <v>12</v>
      </c>
      <c r="Z6">
        <f>SUM(Figure2!W6:Y6)</f>
        <v>22</v>
      </c>
      <c r="AE6" s="2">
        <v>80322</v>
      </c>
      <c r="AF6" s="2">
        <v>8</v>
      </c>
      <c r="AG6" s="2">
        <v>0</v>
      </c>
      <c r="AH6" s="2">
        <v>56</v>
      </c>
      <c r="AI6" s="2">
        <v>0</v>
      </c>
      <c r="AJ6" s="2">
        <v>56</v>
      </c>
      <c r="AK6" s="2">
        <v>2</v>
      </c>
      <c r="AL6" s="2">
        <v>50</v>
      </c>
      <c r="AM6" s="2">
        <v>4</v>
      </c>
      <c r="AN6" s="2">
        <f>Figure2!AM6*(Figure2!AF6-1)</f>
        <v>28</v>
      </c>
      <c r="AO6" s="2">
        <v>2</v>
      </c>
    </row>
    <row r="7" spans="1:41" x14ac:dyDescent="0.35">
      <c r="A7" t="s">
        <v>42</v>
      </c>
      <c r="B7">
        <v>3.92</v>
      </c>
      <c r="C7" t="s">
        <v>43</v>
      </c>
      <c r="D7">
        <v>0.43</v>
      </c>
      <c r="E7" t="s">
        <v>44</v>
      </c>
      <c r="F7">
        <v>0.71499999999999997</v>
      </c>
      <c r="H7">
        <v>212212</v>
      </c>
      <c r="I7">
        <v>3</v>
      </c>
      <c r="J7">
        <v>1</v>
      </c>
      <c r="K7">
        <v>6</v>
      </c>
      <c r="L7">
        <v>6</v>
      </c>
      <c r="M7">
        <v>12</v>
      </c>
      <c r="O7">
        <v>7</v>
      </c>
      <c r="T7">
        <v>408212</v>
      </c>
      <c r="U7">
        <v>2</v>
      </c>
      <c r="V7">
        <v>3</v>
      </c>
      <c r="W7">
        <v>6</v>
      </c>
      <c r="X7">
        <v>2</v>
      </c>
      <c r="Y7">
        <v>6</v>
      </c>
      <c r="Z7">
        <f>SUM(Figure2!W7:Y7)</f>
        <v>14</v>
      </c>
      <c r="AE7">
        <v>803222</v>
      </c>
      <c r="AF7">
        <v>6</v>
      </c>
      <c r="AG7">
        <v>0</v>
      </c>
      <c r="AH7">
        <v>30</v>
      </c>
      <c r="AI7">
        <v>0</v>
      </c>
      <c r="AJ7">
        <v>30</v>
      </c>
      <c r="AK7">
        <v>0</v>
      </c>
      <c r="AL7">
        <v>50</v>
      </c>
    </row>
    <row r="8" spans="1:41" x14ac:dyDescent="0.35">
      <c r="A8" t="s">
        <v>45</v>
      </c>
      <c r="B8">
        <v>3.66</v>
      </c>
      <c r="C8" t="s">
        <v>46</v>
      </c>
      <c r="D8">
        <v>0.61</v>
      </c>
      <c r="E8" t="s">
        <v>47</v>
      </c>
      <c r="F8">
        <v>0.52</v>
      </c>
      <c r="H8">
        <v>61221</v>
      </c>
      <c r="I8">
        <v>5</v>
      </c>
      <c r="J8">
        <v>0</v>
      </c>
      <c r="K8">
        <v>20</v>
      </c>
      <c r="L8">
        <v>0</v>
      </c>
      <c r="M8">
        <v>20</v>
      </c>
      <c r="O8">
        <v>8</v>
      </c>
      <c r="T8">
        <v>50821</v>
      </c>
      <c r="U8">
        <v>4</v>
      </c>
      <c r="V8">
        <v>4</v>
      </c>
      <c r="W8">
        <v>16</v>
      </c>
      <c r="X8">
        <v>12</v>
      </c>
      <c r="Y8">
        <v>12</v>
      </c>
      <c r="Z8">
        <f>SUM(Figure2!W8:Y8)</f>
        <v>40</v>
      </c>
      <c r="AE8" s="2">
        <v>100322</v>
      </c>
      <c r="AF8" s="2">
        <v>8</v>
      </c>
      <c r="AG8" s="2">
        <v>0</v>
      </c>
      <c r="AH8" s="2">
        <v>56</v>
      </c>
      <c r="AI8" s="2">
        <v>0</v>
      </c>
      <c r="AJ8" s="2">
        <v>56</v>
      </c>
      <c r="AK8" s="2">
        <v>2</v>
      </c>
      <c r="AL8" s="2">
        <v>49</v>
      </c>
      <c r="AM8" s="2">
        <v>4</v>
      </c>
      <c r="AN8" s="2">
        <f>Figure2!AM8*(Figure2!AF8-1)</f>
        <v>28</v>
      </c>
      <c r="AO8" s="2">
        <v>2</v>
      </c>
    </row>
    <row r="9" spans="1:41" x14ac:dyDescent="0.35">
      <c r="A9" t="s">
        <v>48</v>
      </c>
      <c r="B9">
        <v>3.59</v>
      </c>
      <c r="C9" t="s">
        <v>49</v>
      </c>
      <c r="D9">
        <v>1.62</v>
      </c>
      <c r="E9" t="s">
        <v>50</v>
      </c>
      <c r="F9">
        <v>0.5</v>
      </c>
      <c r="H9">
        <v>612212</v>
      </c>
      <c r="I9">
        <v>8</v>
      </c>
      <c r="J9">
        <v>0</v>
      </c>
      <c r="K9">
        <v>56</v>
      </c>
      <c r="L9">
        <v>0</v>
      </c>
      <c r="M9">
        <v>56</v>
      </c>
      <c r="O9">
        <v>8</v>
      </c>
      <c r="T9">
        <v>508212</v>
      </c>
      <c r="U9">
        <v>3</v>
      </c>
      <c r="V9">
        <v>2</v>
      </c>
      <c r="W9">
        <v>6</v>
      </c>
      <c r="X9">
        <v>6</v>
      </c>
      <c r="Y9">
        <v>2</v>
      </c>
      <c r="Z9">
        <f>SUM(Figure2!W9:Y9)</f>
        <v>14</v>
      </c>
      <c r="AE9">
        <v>140322</v>
      </c>
      <c r="AF9">
        <v>6</v>
      </c>
      <c r="AG9">
        <v>0</v>
      </c>
      <c r="AH9">
        <v>30</v>
      </c>
      <c r="AI9">
        <v>0</v>
      </c>
      <c r="AJ9">
        <v>30</v>
      </c>
      <c r="AK9">
        <v>0</v>
      </c>
      <c r="AL9">
        <v>45</v>
      </c>
      <c r="AM9">
        <v>2</v>
      </c>
      <c r="AN9">
        <f>Figure2!AM9*(Figure2!AF9-1)</f>
        <v>10</v>
      </c>
      <c r="AO9">
        <v>0</v>
      </c>
    </row>
    <row r="10" spans="1:41" x14ac:dyDescent="0.35">
      <c r="A10" t="s">
        <v>51</v>
      </c>
      <c r="B10">
        <v>3.52</v>
      </c>
      <c r="C10" t="s">
        <v>52</v>
      </c>
      <c r="D10">
        <v>2.08</v>
      </c>
      <c r="E10" t="s">
        <v>53</v>
      </c>
      <c r="F10">
        <v>0.49</v>
      </c>
      <c r="H10" s="2">
        <v>712212</v>
      </c>
      <c r="I10" s="2">
        <v>5</v>
      </c>
      <c r="J10" s="2">
        <v>0</v>
      </c>
      <c r="K10" s="2">
        <v>20</v>
      </c>
      <c r="L10" s="2">
        <v>0</v>
      </c>
      <c r="M10" s="2">
        <v>20</v>
      </c>
      <c r="N10" s="2">
        <v>1</v>
      </c>
      <c r="O10" s="2">
        <v>8</v>
      </c>
      <c r="P10" s="2">
        <v>3</v>
      </c>
      <c r="Q10" s="2">
        <v>12</v>
      </c>
      <c r="R10" s="2">
        <v>1</v>
      </c>
      <c r="T10">
        <v>90821</v>
      </c>
      <c r="U10">
        <v>4</v>
      </c>
      <c r="V10">
        <v>4</v>
      </c>
      <c r="W10">
        <v>16</v>
      </c>
      <c r="X10">
        <v>12</v>
      </c>
      <c r="Y10">
        <v>12</v>
      </c>
      <c r="Z10">
        <f>SUM(Figure2!W10:Y10)</f>
        <v>40</v>
      </c>
      <c r="AE10">
        <v>150322</v>
      </c>
      <c r="AF10">
        <v>7</v>
      </c>
      <c r="AG10">
        <v>0</v>
      </c>
      <c r="AH10">
        <v>42</v>
      </c>
      <c r="AI10">
        <v>0</v>
      </c>
      <c r="AJ10" s="8">
        <v>42</v>
      </c>
      <c r="AK10">
        <v>0</v>
      </c>
      <c r="AL10">
        <v>45</v>
      </c>
      <c r="AM10">
        <v>5</v>
      </c>
      <c r="AN10">
        <f>Figure2!AM10*(Figure2!AF10-1)</f>
        <v>30</v>
      </c>
      <c r="AO10">
        <v>0</v>
      </c>
    </row>
    <row r="11" spans="1:41" x14ac:dyDescent="0.35">
      <c r="A11" t="s">
        <v>54</v>
      </c>
      <c r="B11">
        <v>3.5</v>
      </c>
      <c r="C11" t="s">
        <v>55</v>
      </c>
      <c r="D11">
        <v>1.6</v>
      </c>
      <c r="E11" t="s">
        <v>56</v>
      </c>
      <c r="F11">
        <v>0.38</v>
      </c>
      <c r="H11">
        <v>91221</v>
      </c>
      <c r="I11">
        <v>5</v>
      </c>
      <c r="J11">
        <v>1</v>
      </c>
      <c r="K11">
        <v>20</v>
      </c>
      <c r="L11">
        <v>10</v>
      </c>
      <c r="M11">
        <v>30</v>
      </c>
      <c r="O11">
        <v>8</v>
      </c>
      <c r="T11">
        <v>908212</v>
      </c>
      <c r="U11">
        <v>3</v>
      </c>
      <c r="V11">
        <v>3</v>
      </c>
      <c r="W11">
        <v>9</v>
      </c>
      <c r="X11">
        <v>6</v>
      </c>
      <c r="Y11">
        <v>6</v>
      </c>
      <c r="Z11">
        <f>SUM(Figure2!W11:Y11)</f>
        <v>21</v>
      </c>
      <c r="AE11">
        <v>1503222</v>
      </c>
      <c r="AF11">
        <v>7</v>
      </c>
      <c r="AG11">
        <v>1</v>
      </c>
      <c r="AH11">
        <v>42</v>
      </c>
      <c r="AI11">
        <v>14</v>
      </c>
      <c r="AJ11">
        <v>56</v>
      </c>
      <c r="AK11">
        <v>0</v>
      </c>
      <c r="AL11">
        <v>45</v>
      </c>
      <c r="AM11">
        <v>3</v>
      </c>
      <c r="AN11">
        <f>Figure2!AM11*(Figure2!AF11-1)</f>
        <v>18</v>
      </c>
      <c r="AO11">
        <v>0</v>
      </c>
    </row>
    <row r="12" spans="1:41" x14ac:dyDescent="0.35">
      <c r="A12">
        <v>180122</v>
      </c>
      <c r="B12">
        <v>3.48</v>
      </c>
      <c r="C12" t="s">
        <v>57</v>
      </c>
      <c r="D12">
        <v>0.67</v>
      </c>
      <c r="E12" t="s">
        <v>58</v>
      </c>
      <c r="F12">
        <v>0.28999999999999998</v>
      </c>
      <c r="H12">
        <v>912212</v>
      </c>
      <c r="I12">
        <v>7</v>
      </c>
      <c r="J12">
        <v>1</v>
      </c>
      <c r="K12">
        <v>42</v>
      </c>
      <c r="L12">
        <v>14</v>
      </c>
      <c r="M12">
        <v>56</v>
      </c>
      <c r="O12">
        <v>8</v>
      </c>
      <c r="P12">
        <v>6</v>
      </c>
      <c r="Q12">
        <v>36</v>
      </c>
      <c r="R12">
        <v>0</v>
      </c>
      <c r="T12">
        <v>160821</v>
      </c>
      <c r="U12">
        <v>4</v>
      </c>
      <c r="V12">
        <v>4</v>
      </c>
      <c r="W12">
        <v>16</v>
      </c>
      <c r="X12">
        <v>12</v>
      </c>
      <c r="Y12">
        <v>12</v>
      </c>
      <c r="Z12">
        <f>SUM(Figure2!W12:Y12)</f>
        <v>40</v>
      </c>
      <c r="AE12">
        <v>220322</v>
      </c>
      <c r="AF12">
        <v>8</v>
      </c>
      <c r="AG12">
        <v>0</v>
      </c>
      <c r="AH12">
        <v>56</v>
      </c>
      <c r="AI12">
        <v>0</v>
      </c>
      <c r="AJ12">
        <v>56</v>
      </c>
      <c r="AK12">
        <v>0</v>
      </c>
      <c r="AL12">
        <v>45</v>
      </c>
    </row>
    <row r="13" spans="1:41" x14ac:dyDescent="0.35">
      <c r="A13" t="s">
        <v>59</v>
      </c>
      <c r="B13">
        <v>3.35</v>
      </c>
      <c r="C13" t="s">
        <v>60</v>
      </c>
      <c r="D13" s="9">
        <v>1.78</v>
      </c>
      <c r="E13" t="s">
        <v>61</v>
      </c>
      <c r="F13">
        <v>0.23599999999999999</v>
      </c>
      <c r="H13">
        <v>131221</v>
      </c>
      <c r="I13">
        <v>6</v>
      </c>
      <c r="J13">
        <v>0</v>
      </c>
      <c r="K13">
        <v>30</v>
      </c>
      <c r="L13">
        <v>0</v>
      </c>
      <c r="M13">
        <v>30</v>
      </c>
      <c r="O13">
        <v>8</v>
      </c>
      <c r="T13" s="2">
        <v>1608212</v>
      </c>
      <c r="U13" s="2">
        <v>3</v>
      </c>
      <c r="V13" s="2">
        <v>4</v>
      </c>
      <c r="W13" s="2">
        <v>12</v>
      </c>
      <c r="X13" s="2">
        <v>6</v>
      </c>
      <c r="Y13" s="2">
        <v>12</v>
      </c>
      <c r="Z13" s="2">
        <f>SUM(Figure2!W13:Y13)</f>
        <v>30</v>
      </c>
      <c r="AE13">
        <v>230322</v>
      </c>
      <c r="AF13">
        <v>6</v>
      </c>
      <c r="AG13">
        <v>0</v>
      </c>
      <c r="AH13">
        <v>30</v>
      </c>
      <c r="AI13">
        <v>0</v>
      </c>
      <c r="AJ13">
        <v>30</v>
      </c>
      <c r="AK13">
        <v>0</v>
      </c>
      <c r="AL13">
        <v>45</v>
      </c>
    </row>
    <row r="14" spans="1:41" x14ac:dyDescent="0.35">
      <c r="A14" t="s">
        <v>62</v>
      </c>
      <c r="B14">
        <v>3.04</v>
      </c>
      <c r="C14" t="s">
        <v>63</v>
      </c>
      <c r="D14">
        <v>1.73</v>
      </c>
      <c r="E14" t="s">
        <v>64</v>
      </c>
      <c r="F14">
        <v>0.2</v>
      </c>
      <c r="H14" s="2">
        <v>1312212</v>
      </c>
      <c r="I14" s="2">
        <v>7</v>
      </c>
      <c r="J14" s="2">
        <v>0</v>
      </c>
      <c r="K14" s="2">
        <v>42</v>
      </c>
      <c r="L14" s="2">
        <v>0</v>
      </c>
      <c r="M14" s="2">
        <v>42</v>
      </c>
      <c r="N14" s="2">
        <v>2</v>
      </c>
      <c r="O14" s="2">
        <v>8</v>
      </c>
      <c r="P14" s="2">
        <v>6</v>
      </c>
      <c r="Q14" s="2">
        <v>36</v>
      </c>
      <c r="R14" s="2">
        <v>2</v>
      </c>
      <c r="T14">
        <v>230821</v>
      </c>
      <c r="U14">
        <v>4</v>
      </c>
      <c r="V14">
        <v>4</v>
      </c>
      <c r="W14">
        <v>16</v>
      </c>
      <c r="X14">
        <v>12</v>
      </c>
      <c r="Y14">
        <v>12</v>
      </c>
      <c r="Z14">
        <f>SUM(Figure2!W14:Y14)</f>
        <v>40</v>
      </c>
      <c r="AE14">
        <v>2303222</v>
      </c>
      <c r="AF14">
        <v>4</v>
      </c>
      <c r="AG14">
        <v>0</v>
      </c>
      <c r="AH14">
        <v>12</v>
      </c>
      <c r="AI14">
        <v>0</v>
      </c>
      <c r="AJ14">
        <v>12</v>
      </c>
      <c r="AK14">
        <v>0</v>
      </c>
      <c r="AL14">
        <v>45</v>
      </c>
      <c r="AM14">
        <v>3</v>
      </c>
      <c r="AN14">
        <f>Figure2!AM14*(Figure2!AF14-1)</f>
        <v>9</v>
      </c>
      <c r="AO14">
        <v>0</v>
      </c>
    </row>
    <row r="15" spans="1:41" x14ac:dyDescent="0.35">
      <c r="A15" t="s">
        <v>65</v>
      </c>
      <c r="B15">
        <v>3.03</v>
      </c>
      <c r="C15" t="s">
        <v>66</v>
      </c>
      <c r="D15">
        <v>1.42</v>
      </c>
      <c r="E15" t="s">
        <v>67</v>
      </c>
      <c r="F15">
        <v>0.17899999999999999</v>
      </c>
      <c r="H15" s="2">
        <v>201221</v>
      </c>
      <c r="I15" s="2">
        <v>5</v>
      </c>
      <c r="J15" s="2">
        <v>0</v>
      </c>
      <c r="K15" s="2">
        <v>20</v>
      </c>
      <c r="L15" s="2">
        <v>0</v>
      </c>
      <c r="M15" s="2">
        <v>20</v>
      </c>
      <c r="N15" s="2">
        <v>1</v>
      </c>
      <c r="O15" s="2">
        <v>8</v>
      </c>
      <c r="P15" s="2">
        <v>4</v>
      </c>
      <c r="Q15" s="2">
        <v>16</v>
      </c>
      <c r="R15" s="2">
        <v>1</v>
      </c>
      <c r="T15">
        <v>240821</v>
      </c>
      <c r="U15">
        <v>4</v>
      </c>
      <c r="V15">
        <v>3</v>
      </c>
      <c r="W15">
        <v>12</v>
      </c>
      <c r="X15">
        <v>6</v>
      </c>
      <c r="Y15">
        <v>12</v>
      </c>
      <c r="Z15">
        <f>SUM(Figure2!W15:Y15)</f>
        <v>30</v>
      </c>
      <c r="AE15" s="2">
        <v>240322</v>
      </c>
      <c r="AF15" s="2">
        <v>7</v>
      </c>
      <c r="AG15" s="2">
        <v>0</v>
      </c>
      <c r="AH15" s="2">
        <v>42</v>
      </c>
      <c r="AI15" s="2">
        <v>0</v>
      </c>
      <c r="AJ15" s="2">
        <v>42</v>
      </c>
      <c r="AK15" s="2">
        <v>1</v>
      </c>
      <c r="AL15" s="2">
        <v>46</v>
      </c>
      <c r="AM15" s="2">
        <v>2</v>
      </c>
      <c r="AN15" s="2">
        <f>Figure2!AM15*(Figure2!AF15-1)</f>
        <v>12</v>
      </c>
      <c r="AO15" s="2">
        <v>1</v>
      </c>
    </row>
    <row r="16" spans="1:41" x14ac:dyDescent="0.35">
      <c r="A16" t="s">
        <v>68</v>
      </c>
      <c r="B16">
        <v>2.93</v>
      </c>
      <c r="C16" t="s">
        <v>69</v>
      </c>
      <c r="D16">
        <v>1.21</v>
      </c>
      <c r="E16" t="s">
        <v>70</v>
      </c>
      <c r="F16">
        <v>0.15</v>
      </c>
      <c r="H16" s="2">
        <v>211221</v>
      </c>
      <c r="I16" s="2">
        <v>8</v>
      </c>
      <c r="J16" s="2">
        <v>0</v>
      </c>
      <c r="K16" s="2">
        <v>56</v>
      </c>
      <c r="L16" s="2">
        <v>0</v>
      </c>
      <c r="M16" s="2">
        <v>56</v>
      </c>
      <c r="N16" s="2">
        <v>2</v>
      </c>
      <c r="O16" s="2">
        <v>7</v>
      </c>
      <c r="P16" s="2"/>
      <c r="Q16" s="2"/>
      <c r="R16" s="2"/>
      <c r="T16">
        <v>2408212</v>
      </c>
      <c r="U16">
        <v>2</v>
      </c>
      <c r="V16">
        <v>3</v>
      </c>
      <c r="W16">
        <v>6</v>
      </c>
      <c r="X16">
        <v>2</v>
      </c>
      <c r="Y16">
        <v>6</v>
      </c>
      <c r="Z16">
        <f>SUM(Figure2!W16:Y16)</f>
        <v>14</v>
      </c>
      <c r="AE16" s="2">
        <v>60422</v>
      </c>
      <c r="AF16" s="2">
        <v>4</v>
      </c>
      <c r="AG16" s="2">
        <v>0</v>
      </c>
      <c r="AH16" s="2">
        <v>12</v>
      </c>
      <c r="AI16" s="2">
        <v>0</v>
      </c>
      <c r="AJ16" s="2">
        <v>12</v>
      </c>
      <c r="AK16" s="2">
        <v>1</v>
      </c>
      <c r="AL16" s="2">
        <v>47</v>
      </c>
      <c r="AM16" s="2"/>
      <c r="AN16" s="2"/>
      <c r="AO16" s="2"/>
    </row>
    <row r="17" spans="1:41" x14ac:dyDescent="0.35">
      <c r="A17" t="s">
        <v>71</v>
      </c>
      <c r="B17">
        <v>2.91</v>
      </c>
      <c r="C17" t="s">
        <v>72</v>
      </c>
      <c r="D17">
        <v>1.73</v>
      </c>
      <c r="E17" t="s">
        <v>73</v>
      </c>
      <c r="F17">
        <v>0.1</v>
      </c>
      <c r="H17">
        <v>2112212</v>
      </c>
      <c r="I17">
        <v>7</v>
      </c>
      <c r="J17">
        <v>0</v>
      </c>
      <c r="K17">
        <v>42</v>
      </c>
      <c r="L17">
        <v>0</v>
      </c>
      <c r="M17">
        <v>42</v>
      </c>
      <c r="O17">
        <v>7</v>
      </c>
      <c r="T17">
        <v>250821</v>
      </c>
      <c r="U17">
        <v>4</v>
      </c>
      <c r="V17">
        <v>1</v>
      </c>
      <c r="W17">
        <v>4</v>
      </c>
      <c r="X17">
        <v>6</v>
      </c>
      <c r="Y17">
        <v>0</v>
      </c>
      <c r="Z17">
        <f>SUM(Figure2!W17:Y17)</f>
        <v>10</v>
      </c>
      <c r="AE17">
        <v>140422</v>
      </c>
      <c r="AF17">
        <v>5</v>
      </c>
      <c r="AG17">
        <v>0</v>
      </c>
      <c r="AH17">
        <v>20</v>
      </c>
      <c r="AI17">
        <v>0</v>
      </c>
      <c r="AJ17">
        <v>20</v>
      </c>
      <c r="AK17">
        <v>0</v>
      </c>
      <c r="AM17">
        <v>4</v>
      </c>
      <c r="AN17">
        <f>Figure2!AM17*(Figure2!AF17-1)</f>
        <v>16</v>
      </c>
      <c r="AO17">
        <v>0</v>
      </c>
    </row>
    <row r="18" spans="1:41" x14ac:dyDescent="0.35">
      <c r="A18" t="s">
        <v>74</v>
      </c>
      <c r="B18">
        <v>2.9</v>
      </c>
      <c r="C18" t="s">
        <v>75</v>
      </c>
      <c r="D18">
        <v>0.8</v>
      </c>
      <c r="E18" t="s">
        <v>76</v>
      </c>
      <c r="F18">
        <v>5.2999999999999999E-2</v>
      </c>
      <c r="H18" s="2">
        <v>221221</v>
      </c>
      <c r="I18" s="2">
        <v>8</v>
      </c>
      <c r="J18" s="2">
        <v>0</v>
      </c>
      <c r="K18" s="2">
        <v>56</v>
      </c>
      <c r="L18" s="2">
        <v>0</v>
      </c>
      <c r="M18" s="2">
        <v>56</v>
      </c>
      <c r="N18" s="2">
        <v>2</v>
      </c>
      <c r="O18" s="2">
        <v>8</v>
      </c>
      <c r="P18" s="2">
        <v>8</v>
      </c>
      <c r="Q18" s="2">
        <v>56</v>
      </c>
      <c r="R18" s="2">
        <v>2</v>
      </c>
      <c r="T18" s="2">
        <v>2508212</v>
      </c>
      <c r="U18" s="2">
        <v>4</v>
      </c>
      <c r="V18" s="2">
        <v>4</v>
      </c>
      <c r="W18" s="2">
        <v>16</v>
      </c>
      <c r="X18" s="2">
        <v>12</v>
      </c>
      <c r="Y18" s="2">
        <v>12</v>
      </c>
      <c r="Z18" s="2">
        <f>SUM(Figure2!W18:Y18)</f>
        <v>40</v>
      </c>
      <c r="AE18" s="2">
        <v>200422</v>
      </c>
      <c r="AF18" s="2">
        <v>5</v>
      </c>
      <c r="AG18" s="2">
        <v>0</v>
      </c>
      <c r="AH18" s="2">
        <v>20</v>
      </c>
      <c r="AI18" s="2">
        <v>0</v>
      </c>
      <c r="AJ18" s="2">
        <v>20</v>
      </c>
      <c r="AK18" s="2">
        <v>1</v>
      </c>
      <c r="AL18" s="2">
        <v>47</v>
      </c>
      <c r="AM18" s="2">
        <v>3</v>
      </c>
      <c r="AN18" s="2">
        <f>Figure2!AM18*(Figure2!AF18-1)</f>
        <v>12</v>
      </c>
      <c r="AO18" s="2">
        <v>1</v>
      </c>
    </row>
    <row r="19" spans="1:41" x14ac:dyDescent="0.35">
      <c r="A19" t="s">
        <v>77</v>
      </c>
      <c r="B19">
        <v>2.82</v>
      </c>
      <c r="C19" t="s">
        <v>78</v>
      </c>
      <c r="D19">
        <v>0.41</v>
      </c>
      <c r="H19" s="2">
        <v>231221</v>
      </c>
      <c r="I19" s="2">
        <v>6</v>
      </c>
      <c r="J19" s="2">
        <v>0</v>
      </c>
      <c r="K19" s="2">
        <v>30</v>
      </c>
      <c r="L19" s="2">
        <v>0</v>
      </c>
      <c r="M19" s="2">
        <v>30</v>
      </c>
      <c r="N19" s="2">
        <v>1</v>
      </c>
      <c r="O19" s="2">
        <v>7</v>
      </c>
      <c r="P19" s="2">
        <v>5</v>
      </c>
      <c r="Q19" s="2">
        <v>25</v>
      </c>
      <c r="R19" s="2">
        <v>1</v>
      </c>
      <c r="T19">
        <v>260821</v>
      </c>
      <c r="U19">
        <v>4</v>
      </c>
      <c r="V19">
        <v>3</v>
      </c>
      <c r="W19">
        <v>12</v>
      </c>
      <c r="X19">
        <v>6</v>
      </c>
      <c r="Y19">
        <v>12</v>
      </c>
      <c r="Z19">
        <f>SUM(Figure2!W19:Y19)</f>
        <v>30</v>
      </c>
      <c r="AE19" s="2">
        <v>2004222</v>
      </c>
      <c r="AF19" s="2">
        <v>8</v>
      </c>
      <c r="AG19" s="2">
        <v>0</v>
      </c>
      <c r="AH19" s="2">
        <v>56</v>
      </c>
      <c r="AI19" s="2">
        <v>0</v>
      </c>
      <c r="AJ19" s="2">
        <v>56</v>
      </c>
      <c r="AK19" s="2">
        <v>1</v>
      </c>
      <c r="AL19" s="2">
        <v>47</v>
      </c>
      <c r="AM19" s="2">
        <v>4</v>
      </c>
      <c r="AN19" s="2">
        <f>Figure2!AM19*(Figure2!AF19-1)</f>
        <v>28</v>
      </c>
      <c r="AO19" s="2">
        <v>1</v>
      </c>
    </row>
    <row r="20" spans="1:41" x14ac:dyDescent="0.35">
      <c r="A20" t="s">
        <v>79</v>
      </c>
      <c r="B20">
        <v>2.75</v>
      </c>
      <c r="C20" t="s">
        <v>80</v>
      </c>
      <c r="D20">
        <v>0.77</v>
      </c>
      <c r="H20">
        <v>2312212</v>
      </c>
      <c r="I20">
        <v>6</v>
      </c>
      <c r="J20">
        <v>0</v>
      </c>
      <c r="K20">
        <v>30</v>
      </c>
      <c r="L20">
        <v>0</v>
      </c>
      <c r="M20">
        <v>30</v>
      </c>
      <c r="O20">
        <v>7</v>
      </c>
      <c r="T20">
        <v>60921</v>
      </c>
      <c r="U20">
        <v>2</v>
      </c>
      <c r="V20">
        <v>4</v>
      </c>
      <c r="W20">
        <v>8</v>
      </c>
      <c r="X20">
        <v>2</v>
      </c>
      <c r="Y20">
        <v>12</v>
      </c>
      <c r="Z20">
        <f>SUM(Figure2!W20:Y20)</f>
        <v>22</v>
      </c>
      <c r="AE20">
        <v>210422</v>
      </c>
      <c r="AF20">
        <v>7</v>
      </c>
      <c r="AG20">
        <v>0</v>
      </c>
      <c r="AH20">
        <v>42</v>
      </c>
      <c r="AI20">
        <v>0</v>
      </c>
      <c r="AJ20">
        <v>43</v>
      </c>
      <c r="AK20">
        <v>0</v>
      </c>
      <c r="AL20">
        <v>48</v>
      </c>
      <c r="AM20">
        <v>5</v>
      </c>
      <c r="AN20">
        <f>Figure2!AM20*(Figure2!AF20-1)</f>
        <v>30</v>
      </c>
      <c r="AO20">
        <v>0</v>
      </c>
    </row>
    <row r="21" spans="1:41" x14ac:dyDescent="0.35">
      <c r="A21" t="s">
        <v>81</v>
      </c>
      <c r="B21">
        <v>2.71</v>
      </c>
      <c r="C21" t="s">
        <v>82</v>
      </c>
      <c r="D21">
        <v>0.9</v>
      </c>
      <c r="H21" s="2">
        <v>180122</v>
      </c>
      <c r="I21" s="2">
        <v>4</v>
      </c>
      <c r="J21" s="2">
        <v>0</v>
      </c>
      <c r="K21" s="2">
        <v>12</v>
      </c>
      <c r="L21" s="2">
        <v>0</v>
      </c>
      <c r="M21" s="2">
        <v>12</v>
      </c>
      <c r="N21" s="2">
        <v>1</v>
      </c>
      <c r="O21" s="2">
        <v>7</v>
      </c>
      <c r="P21" s="2">
        <v>3</v>
      </c>
      <c r="Q21" s="2">
        <v>9</v>
      </c>
      <c r="R21" s="2">
        <v>1</v>
      </c>
      <c r="T21" s="2">
        <v>70921</v>
      </c>
      <c r="U21" s="2">
        <v>4</v>
      </c>
      <c r="V21" s="2">
        <v>4</v>
      </c>
      <c r="W21" s="2">
        <v>16</v>
      </c>
      <c r="X21" s="2">
        <v>12</v>
      </c>
      <c r="Y21" s="2">
        <v>12</v>
      </c>
      <c r="Z21" s="2">
        <f>SUM(Figure2!W21:Y21)</f>
        <v>40</v>
      </c>
      <c r="AA21" s="2">
        <v>1</v>
      </c>
      <c r="AE21">
        <v>2104222</v>
      </c>
      <c r="AF21">
        <v>6</v>
      </c>
      <c r="AG21">
        <v>0</v>
      </c>
      <c r="AH21">
        <v>30</v>
      </c>
      <c r="AI21">
        <v>0</v>
      </c>
      <c r="AJ21">
        <v>30</v>
      </c>
      <c r="AK21">
        <v>0</v>
      </c>
      <c r="AL21">
        <v>48</v>
      </c>
    </row>
    <row r="22" spans="1:41" x14ac:dyDescent="0.35">
      <c r="A22" t="s">
        <v>83</v>
      </c>
      <c r="B22">
        <v>2.58</v>
      </c>
      <c r="C22" t="s">
        <v>84</v>
      </c>
      <c r="D22">
        <v>1.26</v>
      </c>
      <c r="H22" s="2">
        <v>1801222</v>
      </c>
      <c r="I22" s="2">
        <v>8</v>
      </c>
      <c r="J22" s="2">
        <v>0</v>
      </c>
      <c r="K22" s="2">
        <v>56</v>
      </c>
      <c r="L22" s="2">
        <v>0</v>
      </c>
      <c r="M22" s="2">
        <v>56</v>
      </c>
      <c r="N22" s="2">
        <v>2</v>
      </c>
      <c r="O22" s="2">
        <v>7</v>
      </c>
      <c r="P22" s="2">
        <v>7</v>
      </c>
      <c r="Q22" s="2">
        <v>49</v>
      </c>
      <c r="R22" s="2">
        <v>2</v>
      </c>
      <c r="T22">
        <v>709212</v>
      </c>
      <c r="U22">
        <v>2</v>
      </c>
      <c r="V22">
        <v>3</v>
      </c>
      <c r="W22">
        <v>6</v>
      </c>
      <c r="X22">
        <v>2</v>
      </c>
      <c r="Y22">
        <v>6</v>
      </c>
      <c r="Z22">
        <f>SUM(Figure2!W22:Y22)</f>
        <v>14</v>
      </c>
      <c r="AE22">
        <v>260422</v>
      </c>
      <c r="AF22">
        <v>8</v>
      </c>
      <c r="AG22">
        <v>0</v>
      </c>
      <c r="AH22">
        <v>56</v>
      </c>
      <c r="AI22">
        <v>0</v>
      </c>
      <c r="AJ22">
        <v>56</v>
      </c>
      <c r="AK22">
        <v>0</v>
      </c>
      <c r="AL22">
        <v>48</v>
      </c>
      <c r="AM22">
        <v>2</v>
      </c>
      <c r="AN22">
        <f>Figure2!AM22*(Figure2!AF22-1)</f>
        <v>14</v>
      </c>
      <c r="AO22">
        <v>0</v>
      </c>
    </row>
    <row r="23" spans="1:41" x14ac:dyDescent="0.35">
      <c r="A23" t="s">
        <v>85</v>
      </c>
      <c r="B23">
        <v>2.5</v>
      </c>
      <c r="H23">
        <v>250122</v>
      </c>
      <c r="I23">
        <v>4</v>
      </c>
      <c r="J23">
        <v>0</v>
      </c>
      <c r="K23">
        <v>12</v>
      </c>
      <c r="L23">
        <v>0</v>
      </c>
      <c r="M23">
        <v>12</v>
      </c>
      <c r="O23">
        <v>8</v>
      </c>
      <c r="T23">
        <v>80921</v>
      </c>
      <c r="U23">
        <v>2</v>
      </c>
      <c r="V23">
        <v>4</v>
      </c>
      <c r="W23">
        <v>8</v>
      </c>
      <c r="X23">
        <v>2</v>
      </c>
      <c r="Y23">
        <v>12</v>
      </c>
      <c r="Z23">
        <f>SUM(Figure2!W23:Y23)</f>
        <v>22</v>
      </c>
      <c r="AE23">
        <v>2604222</v>
      </c>
      <c r="AF23">
        <v>7</v>
      </c>
      <c r="AG23">
        <v>0</v>
      </c>
      <c r="AH23">
        <v>42</v>
      </c>
      <c r="AI23">
        <v>0</v>
      </c>
      <c r="AJ23">
        <v>42</v>
      </c>
      <c r="AK23">
        <v>0</v>
      </c>
      <c r="AL23">
        <v>48</v>
      </c>
      <c r="AM23">
        <v>3</v>
      </c>
      <c r="AN23">
        <f>Figure2!AM23*(Figure2!AF23-1)</f>
        <v>18</v>
      </c>
      <c r="AO23">
        <v>0</v>
      </c>
    </row>
    <row r="24" spans="1:41" x14ac:dyDescent="0.35">
      <c r="A24" t="s">
        <v>86</v>
      </c>
      <c r="B24">
        <v>2.42</v>
      </c>
      <c r="H24" s="2">
        <v>2501222</v>
      </c>
      <c r="I24" s="2">
        <v>8</v>
      </c>
      <c r="J24" s="2">
        <v>0</v>
      </c>
      <c r="K24" s="2">
        <v>54</v>
      </c>
      <c r="L24" s="2">
        <v>0</v>
      </c>
      <c r="M24" s="2">
        <v>54</v>
      </c>
      <c r="N24" s="2">
        <v>5</v>
      </c>
      <c r="O24" s="2">
        <v>8</v>
      </c>
      <c r="P24" s="2">
        <v>4</v>
      </c>
      <c r="Q24" s="2">
        <v>20</v>
      </c>
      <c r="R24" s="2">
        <v>5</v>
      </c>
      <c r="T24">
        <v>809212</v>
      </c>
      <c r="U24">
        <v>2</v>
      </c>
      <c r="V24">
        <v>4</v>
      </c>
      <c r="W24">
        <v>8</v>
      </c>
      <c r="X24">
        <v>2</v>
      </c>
      <c r="Y24">
        <v>12</v>
      </c>
      <c r="Z24">
        <f>SUM(Figure2!W24:Y24)</f>
        <v>22</v>
      </c>
      <c r="AE24" s="2">
        <v>280422</v>
      </c>
      <c r="AF24" s="2">
        <v>6</v>
      </c>
      <c r="AG24" s="2">
        <v>0</v>
      </c>
      <c r="AH24" s="2">
        <v>30</v>
      </c>
      <c r="AI24" s="2">
        <v>0</v>
      </c>
      <c r="AJ24" s="2">
        <v>30</v>
      </c>
      <c r="AK24" s="2">
        <v>1</v>
      </c>
      <c r="AL24" s="2">
        <v>49</v>
      </c>
      <c r="AM24" s="2">
        <v>2</v>
      </c>
      <c r="AN24" s="2">
        <f>Figure2!AM24*(Figure2!AF24-1)</f>
        <v>10</v>
      </c>
      <c r="AO24" s="2">
        <v>1</v>
      </c>
    </row>
    <row r="25" spans="1:41" x14ac:dyDescent="0.35">
      <c r="A25" t="s">
        <v>87</v>
      </c>
      <c r="B25">
        <v>2.3199999999999998</v>
      </c>
      <c r="H25" s="2">
        <v>260122</v>
      </c>
      <c r="I25" s="2">
        <v>6</v>
      </c>
      <c r="J25" s="2">
        <v>0</v>
      </c>
      <c r="K25" s="2">
        <v>30</v>
      </c>
      <c r="L25" s="2">
        <v>0</v>
      </c>
      <c r="M25" s="2">
        <v>25</v>
      </c>
      <c r="N25" s="2">
        <v>2</v>
      </c>
      <c r="O25" s="2">
        <v>7</v>
      </c>
      <c r="P25" s="2"/>
      <c r="Q25" s="2"/>
      <c r="R25" s="2"/>
      <c r="T25">
        <v>90921</v>
      </c>
      <c r="U25">
        <v>3</v>
      </c>
      <c r="V25">
        <v>4</v>
      </c>
      <c r="W25">
        <v>12</v>
      </c>
      <c r="X25">
        <v>6</v>
      </c>
      <c r="Y25">
        <v>12</v>
      </c>
      <c r="Z25">
        <f>SUM(Figure2!W25:Y25)</f>
        <v>30</v>
      </c>
      <c r="AE25">
        <v>2804222</v>
      </c>
      <c r="AF25">
        <v>7</v>
      </c>
      <c r="AG25">
        <v>0</v>
      </c>
      <c r="AH25">
        <v>42</v>
      </c>
      <c r="AI25">
        <v>0</v>
      </c>
      <c r="AJ25">
        <v>42</v>
      </c>
      <c r="AK25">
        <v>0</v>
      </c>
      <c r="AL25">
        <v>49</v>
      </c>
    </row>
    <row r="26" spans="1:41" x14ac:dyDescent="0.35">
      <c r="A26" t="s">
        <v>88</v>
      </c>
      <c r="B26">
        <v>2.2999999999999998</v>
      </c>
      <c r="H26" s="2">
        <v>2601222</v>
      </c>
      <c r="I26" s="2">
        <v>6</v>
      </c>
      <c r="J26" s="2">
        <v>0</v>
      </c>
      <c r="K26" s="2">
        <f>Figure2!I26*5</f>
        <v>30</v>
      </c>
      <c r="L26" s="2">
        <v>0</v>
      </c>
      <c r="M26" s="2">
        <v>28</v>
      </c>
      <c r="N26" s="2">
        <v>2</v>
      </c>
      <c r="O26" s="2">
        <v>7</v>
      </c>
      <c r="P26" s="2">
        <v>4</v>
      </c>
      <c r="Q26" s="2">
        <v>20</v>
      </c>
      <c r="R26" s="2">
        <v>2</v>
      </c>
      <c r="T26" s="2">
        <v>909212</v>
      </c>
      <c r="U26" s="2">
        <v>4</v>
      </c>
      <c r="V26" s="2">
        <v>2</v>
      </c>
      <c r="W26" s="2">
        <v>8</v>
      </c>
      <c r="X26" s="2">
        <v>12</v>
      </c>
      <c r="Y26" s="2">
        <v>2</v>
      </c>
      <c r="Z26" s="2">
        <f>SUM(Figure2!W26:Y26)</f>
        <v>22</v>
      </c>
      <c r="AA26" s="2">
        <v>1</v>
      </c>
      <c r="AE26">
        <v>20522</v>
      </c>
      <c r="AF26">
        <v>4</v>
      </c>
      <c r="AG26">
        <v>1</v>
      </c>
      <c r="AH26">
        <v>12</v>
      </c>
      <c r="AI26">
        <v>8</v>
      </c>
      <c r="AJ26">
        <v>20</v>
      </c>
      <c r="AK26">
        <v>0</v>
      </c>
      <c r="AL26">
        <v>49</v>
      </c>
    </row>
    <row r="27" spans="1:41" x14ac:dyDescent="0.35">
      <c r="A27" t="s">
        <v>89</v>
      </c>
      <c r="B27">
        <v>2.27</v>
      </c>
      <c r="H27" s="2">
        <v>10222</v>
      </c>
      <c r="I27" s="2">
        <v>4</v>
      </c>
      <c r="J27" s="2">
        <v>1</v>
      </c>
      <c r="K27" s="2">
        <v>12</v>
      </c>
      <c r="L27" s="2">
        <v>2</v>
      </c>
      <c r="M27" s="2">
        <v>14</v>
      </c>
      <c r="N27" s="2">
        <v>1</v>
      </c>
      <c r="O27" s="2">
        <v>8</v>
      </c>
      <c r="P27" s="2">
        <v>1</v>
      </c>
      <c r="Q27" s="2">
        <v>3</v>
      </c>
      <c r="R27" s="2">
        <v>1</v>
      </c>
      <c r="T27">
        <v>140921</v>
      </c>
      <c r="U27">
        <v>4</v>
      </c>
      <c r="V27">
        <v>3</v>
      </c>
      <c r="W27">
        <v>12</v>
      </c>
      <c r="X27">
        <v>6</v>
      </c>
      <c r="Y27">
        <v>12</v>
      </c>
      <c r="Z27">
        <f>SUM(Figure2!W27:Y27)</f>
        <v>30</v>
      </c>
      <c r="AE27">
        <v>30522</v>
      </c>
      <c r="AF27">
        <v>8</v>
      </c>
      <c r="AG27">
        <v>0</v>
      </c>
      <c r="AH27">
        <v>56</v>
      </c>
      <c r="AI27">
        <v>0</v>
      </c>
      <c r="AJ27">
        <v>56</v>
      </c>
      <c r="AK27">
        <v>0</v>
      </c>
      <c r="AL27">
        <v>50</v>
      </c>
      <c r="AM27">
        <v>2</v>
      </c>
      <c r="AN27">
        <f>Figure2!AM27*(Figure2!AF27-1)</f>
        <v>14</v>
      </c>
      <c r="AO27">
        <v>0</v>
      </c>
    </row>
    <row r="28" spans="1:41" x14ac:dyDescent="0.35">
      <c r="A28" t="s">
        <v>90</v>
      </c>
      <c r="B28">
        <v>2.2000000000000002</v>
      </c>
      <c r="H28" s="2">
        <v>102222</v>
      </c>
      <c r="I28" s="2">
        <v>7</v>
      </c>
      <c r="J28" s="2">
        <v>0</v>
      </c>
      <c r="K28" s="2">
        <v>42</v>
      </c>
      <c r="L28" s="2">
        <v>0</v>
      </c>
      <c r="M28" s="2">
        <v>36</v>
      </c>
      <c r="N28" s="2">
        <v>1</v>
      </c>
      <c r="O28" s="2">
        <v>8</v>
      </c>
      <c r="P28" s="2"/>
      <c r="Q28" s="2"/>
      <c r="R28" s="2"/>
      <c r="T28">
        <v>1409212</v>
      </c>
      <c r="U28">
        <v>3</v>
      </c>
      <c r="V28">
        <v>4</v>
      </c>
      <c r="W28">
        <v>12</v>
      </c>
      <c r="X28">
        <v>6</v>
      </c>
      <c r="Y28">
        <v>12</v>
      </c>
      <c r="Z28">
        <f>SUM(Figure2!W28:Y28)</f>
        <v>30</v>
      </c>
      <c r="AE28">
        <v>305222</v>
      </c>
      <c r="AF28">
        <v>6</v>
      </c>
      <c r="AG28">
        <v>0</v>
      </c>
      <c r="AH28">
        <v>30</v>
      </c>
      <c r="AI28">
        <v>0</v>
      </c>
      <c r="AJ28">
        <v>30</v>
      </c>
      <c r="AK28">
        <v>0</v>
      </c>
      <c r="AL28">
        <v>50</v>
      </c>
    </row>
    <row r="29" spans="1:41" x14ac:dyDescent="0.35">
      <c r="A29" t="s">
        <v>91</v>
      </c>
      <c r="B29">
        <v>2.17</v>
      </c>
      <c r="H29" s="2">
        <v>160522</v>
      </c>
      <c r="I29" s="2">
        <v>8</v>
      </c>
      <c r="J29" s="2">
        <v>0</v>
      </c>
      <c r="K29" s="2">
        <v>56</v>
      </c>
      <c r="L29" s="2">
        <v>0</v>
      </c>
      <c r="M29" s="2">
        <v>56</v>
      </c>
      <c r="N29" s="2">
        <v>3</v>
      </c>
      <c r="O29" s="2">
        <v>8</v>
      </c>
      <c r="P29" s="2">
        <v>4</v>
      </c>
      <c r="Q29" s="2">
        <v>24</v>
      </c>
      <c r="R29" s="2">
        <v>3</v>
      </c>
      <c r="T29" s="2">
        <v>150921</v>
      </c>
      <c r="U29" s="2">
        <v>3</v>
      </c>
      <c r="V29" s="2">
        <v>3</v>
      </c>
      <c r="W29" s="2">
        <v>9</v>
      </c>
      <c r="X29" s="2">
        <v>6</v>
      </c>
      <c r="Y29" s="2">
        <v>6</v>
      </c>
      <c r="Z29" s="2">
        <f>SUM(Figure2!W29:Y29)</f>
        <v>21</v>
      </c>
      <c r="AA29" s="2">
        <v>1</v>
      </c>
      <c r="AE29">
        <v>170522</v>
      </c>
      <c r="AF29">
        <v>6</v>
      </c>
      <c r="AG29">
        <v>0</v>
      </c>
      <c r="AH29">
        <v>30</v>
      </c>
      <c r="AI29">
        <v>0</v>
      </c>
      <c r="AJ29">
        <v>30</v>
      </c>
      <c r="AK29">
        <v>0</v>
      </c>
    </row>
    <row r="30" spans="1:41" x14ac:dyDescent="0.35">
      <c r="A30" t="s">
        <v>92</v>
      </c>
      <c r="B30">
        <v>2.12</v>
      </c>
      <c r="H30" s="2">
        <v>70223</v>
      </c>
      <c r="I30" s="2">
        <v>3</v>
      </c>
      <c r="J30" s="2">
        <v>0</v>
      </c>
      <c r="K30" s="2">
        <v>6</v>
      </c>
      <c r="L30" s="2">
        <v>0</v>
      </c>
      <c r="M30" s="2">
        <v>6</v>
      </c>
      <c r="N30" s="2">
        <v>3</v>
      </c>
      <c r="O30" s="2">
        <v>8</v>
      </c>
      <c r="P30" s="2">
        <v>3</v>
      </c>
      <c r="Q30" s="2">
        <v>6</v>
      </c>
      <c r="R30" s="2">
        <v>3</v>
      </c>
      <c r="T30">
        <v>1509212</v>
      </c>
      <c r="U30">
        <v>3</v>
      </c>
      <c r="V30">
        <v>3</v>
      </c>
      <c r="W30">
        <v>9</v>
      </c>
      <c r="X30">
        <v>6</v>
      </c>
      <c r="Y30">
        <v>6</v>
      </c>
      <c r="Z30">
        <f>SUM(Figure2!W30:Y30)</f>
        <v>21</v>
      </c>
      <c r="AE30">
        <v>20622</v>
      </c>
      <c r="AF30">
        <v>4</v>
      </c>
      <c r="AG30">
        <v>0</v>
      </c>
      <c r="AH30">
        <v>12</v>
      </c>
      <c r="AI30">
        <v>0</v>
      </c>
      <c r="AJ30">
        <v>30</v>
      </c>
      <c r="AK30">
        <v>0</v>
      </c>
      <c r="AL30">
        <v>48</v>
      </c>
    </row>
    <row r="31" spans="1:41" x14ac:dyDescent="0.35">
      <c r="A31" t="s">
        <v>93</v>
      </c>
      <c r="B31">
        <v>2.06</v>
      </c>
      <c r="H31">
        <v>150223</v>
      </c>
      <c r="I31">
        <v>3</v>
      </c>
      <c r="J31">
        <v>0</v>
      </c>
      <c r="K31">
        <v>6</v>
      </c>
      <c r="L31">
        <v>0</v>
      </c>
      <c r="M31">
        <v>6</v>
      </c>
      <c r="O31">
        <v>8</v>
      </c>
      <c r="T31">
        <v>160921</v>
      </c>
      <c r="U31">
        <v>3</v>
      </c>
      <c r="V31">
        <v>4</v>
      </c>
      <c r="W31">
        <v>12</v>
      </c>
      <c r="X31">
        <v>6</v>
      </c>
      <c r="Y31">
        <v>12</v>
      </c>
      <c r="Z31">
        <f>SUM(Figure2!W31:Y31)</f>
        <v>30</v>
      </c>
      <c r="AE31">
        <v>70622</v>
      </c>
      <c r="AF31">
        <v>8</v>
      </c>
      <c r="AG31">
        <v>0</v>
      </c>
      <c r="AH31">
        <v>56</v>
      </c>
      <c r="AI31">
        <v>0</v>
      </c>
      <c r="AJ31">
        <v>56</v>
      </c>
      <c r="AK31">
        <v>0</v>
      </c>
      <c r="AL31">
        <v>48</v>
      </c>
      <c r="AM31">
        <v>1</v>
      </c>
      <c r="AN31">
        <f>Figure2!AM31*(Figure2!AF31-1)</f>
        <v>7</v>
      </c>
      <c r="AO31">
        <v>0</v>
      </c>
    </row>
    <row r="32" spans="1:41" x14ac:dyDescent="0.35">
      <c r="A32" t="s">
        <v>94</v>
      </c>
      <c r="B32">
        <v>1.96</v>
      </c>
      <c r="H32" s="2">
        <v>1502232</v>
      </c>
      <c r="I32" s="2">
        <v>8</v>
      </c>
      <c r="J32" s="2">
        <v>0</v>
      </c>
      <c r="K32" s="2">
        <v>56</v>
      </c>
      <c r="L32" s="2">
        <v>0</v>
      </c>
      <c r="M32" s="2">
        <v>56</v>
      </c>
      <c r="N32" s="2">
        <v>1</v>
      </c>
      <c r="O32" s="2">
        <v>8</v>
      </c>
      <c r="P32" s="2">
        <v>5</v>
      </c>
      <c r="Q32" s="2">
        <v>35</v>
      </c>
      <c r="R32" s="2">
        <v>1</v>
      </c>
      <c r="T32" s="2">
        <v>1609212</v>
      </c>
      <c r="U32" s="2">
        <v>3</v>
      </c>
      <c r="V32" s="2">
        <v>4</v>
      </c>
      <c r="W32" s="2">
        <v>12</v>
      </c>
      <c r="X32" s="2">
        <v>6</v>
      </c>
      <c r="Y32" s="2">
        <v>12</v>
      </c>
      <c r="Z32" s="2">
        <f>SUM(Figure2!W32:Y32)</f>
        <v>30</v>
      </c>
      <c r="AA32" s="2">
        <v>1</v>
      </c>
      <c r="AE32">
        <v>706222</v>
      </c>
      <c r="AF32">
        <v>7</v>
      </c>
      <c r="AG32">
        <v>1</v>
      </c>
      <c r="AH32">
        <v>42</v>
      </c>
      <c r="AI32">
        <v>14</v>
      </c>
      <c r="AJ32">
        <v>56</v>
      </c>
      <c r="AK32">
        <v>0</v>
      </c>
      <c r="AL32">
        <v>48</v>
      </c>
    </row>
    <row r="33" spans="1:41" x14ac:dyDescent="0.35">
      <c r="A33" t="s">
        <v>95</v>
      </c>
      <c r="B33">
        <v>1.93</v>
      </c>
      <c r="H33" s="2">
        <v>160223</v>
      </c>
      <c r="I33" s="2">
        <v>7</v>
      </c>
      <c r="J33" s="2">
        <v>0</v>
      </c>
      <c r="K33" s="2">
        <v>42</v>
      </c>
      <c r="L33" s="2">
        <v>0</v>
      </c>
      <c r="M33" s="2">
        <v>42</v>
      </c>
      <c r="N33" s="2">
        <v>3</v>
      </c>
      <c r="O33" s="2">
        <v>8</v>
      </c>
      <c r="P33" s="2">
        <v>6</v>
      </c>
      <c r="Q33" s="2">
        <v>36</v>
      </c>
      <c r="R33" s="2">
        <v>3</v>
      </c>
      <c r="T33" s="2">
        <v>210921</v>
      </c>
      <c r="U33" s="2">
        <v>4</v>
      </c>
      <c r="V33" s="2">
        <v>4</v>
      </c>
      <c r="W33" s="2">
        <v>16</v>
      </c>
      <c r="X33" s="2">
        <v>12</v>
      </c>
      <c r="Y33" s="2">
        <v>12</v>
      </c>
      <c r="Z33" s="2">
        <f>SUM(Figure2!W33:Y33)</f>
        <v>40</v>
      </c>
      <c r="AA33" s="2">
        <v>1</v>
      </c>
      <c r="AE33">
        <v>90622</v>
      </c>
      <c r="AF33">
        <v>5</v>
      </c>
      <c r="AG33">
        <v>0</v>
      </c>
      <c r="AH33">
        <v>20</v>
      </c>
      <c r="AI33">
        <v>0</v>
      </c>
      <c r="AJ33">
        <v>20</v>
      </c>
      <c r="AK33">
        <v>0</v>
      </c>
      <c r="AL33">
        <v>48</v>
      </c>
    </row>
    <row r="34" spans="1:41" x14ac:dyDescent="0.35">
      <c r="A34" t="s">
        <v>96</v>
      </c>
      <c r="B34">
        <v>1.84</v>
      </c>
      <c r="H34" s="2">
        <v>1602232</v>
      </c>
      <c r="I34" s="2">
        <v>8</v>
      </c>
      <c r="J34" s="2">
        <v>0</v>
      </c>
      <c r="K34" s="2">
        <v>56</v>
      </c>
      <c r="L34" s="2">
        <v>0</v>
      </c>
      <c r="M34" s="2">
        <v>56</v>
      </c>
      <c r="N34" s="2">
        <v>5</v>
      </c>
      <c r="O34" s="2">
        <v>8</v>
      </c>
      <c r="P34" s="2">
        <v>4</v>
      </c>
      <c r="Q34" s="2">
        <v>28</v>
      </c>
      <c r="R34" s="2">
        <v>5</v>
      </c>
      <c r="T34">
        <v>220921</v>
      </c>
      <c r="U34">
        <v>4</v>
      </c>
      <c r="V34">
        <v>1</v>
      </c>
      <c r="W34">
        <v>4</v>
      </c>
      <c r="X34">
        <v>12</v>
      </c>
      <c r="Y34">
        <v>0</v>
      </c>
      <c r="Z34">
        <v>16</v>
      </c>
      <c r="AE34">
        <v>906222</v>
      </c>
      <c r="AF34">
        <v>6</v>
      </c>
      <c r="AG34">
        <v>0</v>
      </c>
      <c r="AH34">
        <v>30</v>
      </c>
      <c r="AI34">
        <v>0</v>
      </c>
      <c r="AJ34">
        <v>30</v>
      </c>
      <c r="AK34">
        <v>0</v>
      </c>
      <c r="AL34">
        <v>48</v>
      </c>
    </row>
    <row r="35" spans="1:41" x14ac:dyDescent="0.35">
      <c r="A35" t="s">
        <v>97</v>
      </c>
      <c r="B35">
        <v>1.84</v>
      </c>
      <c r="H35" s="2">
        <v>170223</v>
      </c>
      <c r="I35" s="2">
        <v>8</v>
      </c>
      <c r="J35" s="2">
        <v>0</v>
      </c>
      <c r="K35" s="2">
        <v>56</v>
      </c>
      <c r="L35" s="2">
        <v>0</v>
      </c>
      <c r="M35" s="2">
        <v>56</v>
      </c>
      <c r="N35" s="2">
        <v>2</v>
      </c>
      <c r="O35" s="2">
        <v>8</v>
      </c>
      <c r="P35" s="2">
        <v>6</v>
      </c>
      <c r="Q35" s="2">
        <v>36</v>
      </c>
      <c r="R35" s="2">
        <v>2</v>
      </c>
      <c r="T35">
        <v>2209212</v>
      </c>
      <c r="U35">
        <v>3</v>
      </c>
      <c r="V35">
        <v>3</v>
      </c>
      <c r="W35">
        <v>9</v>
      </c>
      <c r="X35">
        <v>6</v>
      </c>
      <c r="Y35">
        <v>6</v>
      </c>
      <c r="Z35">
        <f>SUM(Figure2!W35:Y35)</f>
        <v>21</v>
      </c>
      <c r="AE35">
        <v>210622</v>
      </c>
      <c r="AF35">
        <v>6</v>
      </c>
      <c r="AG35">
        <v>0</v>
      </c>
      <c r="AH35">
        <v>30</v>
      </c>
      <c r="AI35">
        <v>0</v>
      </c>
      <c r="AJ35">
        <v>30</v>
      </c>
      <c r="AK35">
        <v>0</v>
      </c>
      <c r="AL35">
        <v>47</v>
      </c>
    </row>
    <row r="36" spans="1:41" x14ac:dyDescent="0.35">
      <c r="A36" t="s">
        <v>98</v>
      </c>
      <c r="B36">
        <v>1.8</v>
      </c>
      <c r="H36" s="2">
        <v>200223</v>
      </c>
      <c r="I36" s="2">
        <v>8</v>
      </c>
      <c r="J36" s="2">
        <v>0</v>
      </c>
      <c r="K36" s="2">
        <v>56</v>
      </c>
      <c r="L36" s="2">
        <v>0</v>
      </c>
      <c r="M36" s="2">
        <v>56</v>
      </c>
      <c r="N36" s="2">
        <v>2</v>
      </c>
      <c r="O36" s="2">
        <v>7</v>
      </c>
      <c r="P36" s="2">
        <v>8</v>
      </c>
      <c r="Q36" s="2">
        <v>56</v>
      </c>
      <c r="R36" s="2">
        <v>2</v>
      </c>
      <c r="T36" s="2">
        <v>230921</v>
      </c>
      <c r="U36" s="2">
        <v>4</v>
      </c>
      <c r="V36" s="2">
        <v>4</v>
      </c>
      <c r="W36" s="2">
        <v>16</v>
      </c>
      <c r="X36" s="2">
        <v>12</v>
      </c>
      <c r="Y36" s="2">
        <v>12</v>
      </c>
      <c r="Z36" s="2">
        <f>SUM(Figure2!W36:Y36)</f>
        <v>40</v>
      </c>
      <c r="AA36" s="2">
        <v>1</v>
      </c>
      <c r="AE36">
        <v>40722</v>
      </c>
      <c r="AF36">
        <v>7</v>
      </c>
      <c r="AG36">
        <v>0</v>
      </c>
      <c r="AH36">
        <v>42</v>
      </c>
      <c r="AI36">
        <v>0</v>
      </c>
      <c r="AJ36">
        <v>42</v>
      </c>
      <c r="AK36">
        <v>0</v>
      </c>
      <c r="AL36">
        <v>50</v>
      </c>
      <c r="AM36">
        <v>3</v>
      </c>
      <c r="AN36">
        <f>Figure2!AM36*(Figure2!AF36-1)</f>
        <v>18</v>
      </c>
      <c r="AO36">
        <v>0</v>
      </c>
    </row>
    <row r="37" spans="1:41" x14ac:dyDescent="0.35">
      <c r="A37" t="s">
        <v>99</v>
      </c>
      <c r="B37">
        <v>1.79</v>
      </c>
      <c r="H37" s="2">
        <v>2002232</v>
      </c>
      <c r="I37" s="2">
        <v>7</v>
      </c>
      <c r="J37" s="2">
        <v>0</v>
      </c>
      <c r="K37" s="2">
        <v>42</v>
      </c>
      <c r="L37" s="2">
        <v>0</v>
      </c>
      <c r="M37" s="2">
        <v>43</v>
      </c>
      <c r="N37" s="2">
        <v>2</v>
      </c>
      <c r="O37" s="2">
        <v>7</v>
      </c>
      <c r="P37" s="2">
        <v>5</v>
      </c>
      <c r="Q37" s="2">
        <v>35</v>
      </c>
      <c r="R37" s="2">
        <v>2</v>
      </c>
      <c r="T37">
        <v>201021</v>
      </c>
      <c r="U37">
        <v>4</v>
      </c>
      <c r="V37">
        <v>3</v>
      </c>
      <c r="W37">
        <v>12</v>
      </c>
      <c r="X37">
        <v>6</v>
      </c>
      <c r="Y37">
        <v>12</v>
      </c>
      <c r="Z37">
        <f>SUM(Figure2!W37:Y37)</f>
        <v>30</v>
      </c>
      <c r="AE37" s="2">
        <v>110722</v>
      </c>
      <c r="AF37" s="2">
        <v>7</v>
      </c>
      <c r="AG37" s="2">
        <v>0</v>
      </c>
      <c r="AH37" s="2">
        <v>42</v>
      </c>
      <c r="AI37" s="2">
        <v>0</v>
      </c>
      <c r="AJ37" s="2">
        <v>30</v>
      </c>
      <c r="AK37" s="10">
        <v>1</v>
      </c>
      <c r="AL37" s="2">
        <v>49</v>
      </c>
      <c r="AM37" s="2">
        <v>3</v>
      </c>
      <c r="AN37" s="2">
        <f>Figure2!AM37*(Figure2!AF37-1)</f>
        <v>18</v>
      </c>
      <c r="AO37" s="2">
        <v>1</v>
      </c>
    </row>
    <row r="38" spans="1:41" x14ac:dyDescent="0.35">
      <c r="A38" t="s">
        <v>100</v>
      </c>
      <c r="B38">
        <v>1.75</v>
      </c>
      <c r="H38">
        <v>210223</v>
      </c>
      <c r="I38">
        <v>8</v>
      </c>
      <c r="J38">
        <v>0</v>
      </c>
      <c r="K38">
        <v>56</v>
      </c>
      <c r="L38">
        <v>0</v>
      </c>
      <c r="M38">
        <v>56</v>
      </c>
      <c r="O38">
        <v>8</v>
      </c>
      <c r="T38">
        <v>211021</v>
      </c>
      <c r="U38">
        <v>4</v>
      </c>
      <c r="V38">
        <v>3</v>
      </c>
      <c r="W38">
        <v>12</v>
      </c>
      <c r="X38">
        <v>6</v>
      </c>
      <c r="Y38">
        <v>12</v>
      </c>
      <c r="Z38">
        <f>SUM(Figure2!W38:Y38)</f>
        <v>30</v>
      </c>
      <c r="AE38" s="2">
        <v>120722</v>
      </c>
      <c r="AF38" s="2">
        <v>7</v>
      </c>
      <c r="AG38" s="2">
        <v>0</v>
      </c>
      <c r="AH38" s="2">
        <v>42</v>
      </c>
      <c r="AI38" s="2">
        <v>0</v>
      </c>
      <c r="AJ38" s="2">
        <v>42</v>
      </c>
      <c r="AK38" s="10">
        <v>1</v>
      </c>
      <c r="AL38" s="2">
        <v>50</v>
      </c>
      <c r="AM38" s="2">
        <v>2</v>
      </c>
      <c r="AN38" s="2">
        <f>Figure2!AM38*(Figure2!AF38-1)</f>
        <v>12</v>
      </c>
      <c r="AO38" s="2">
        <v>1</v>
      </c>
    </row>
    <row r="39" spans="1:41" x14ac:dyDescent="0.35">
      <c r="A39" t="s">
        <v>101</v>
      </c>
      <c r="B39">
        <v>1.74</v>
      </c>
      <c r="H39" s="2">
        <v>2102232</v>
      </c>
      <c r="I39" s="2">
        <v>6</v>
      </c>
      <c r="J39" s="2">
        <v>0</v>
      </c>
      <c r="K39" s="2">
        <v>30</v>
      </c>
      <c r="L39" s="2">
        <v>0</v>
      </c>
      <c r="M39" s="2">
        <v>30</v>
      </c>
      <c r="N39" s="2">
        <v>1</v>
      </c>
      <c r="O39" s="2">
        <v>8</v>
      </c>
      <c r="P39" s="2">
        <v>5</v>
      </c>
      <c r="Q39" s="2">
        <v>25</v>
      </c>
      <c r="R39" s="2">
        <v>1</v>
      </c>
      <c r="T39">
        <v>2110212</v>
      </c>
      <c r="U39">
        <v>4</v>
      </c>
      <c r="V39">
        <v>3</v>
      </c>
      <c r="W39">
        <v>12</v>
      </c>
      <c r="X39">
        <v>6</v>
      </c>
      <c r="Y39">
        <v>12</v>
      </c>
      <c r="Z39">
        <f>SUM(Figure2!W39:Y39)</f>
        <v>30</v>
      </c>
      <c r="AE39">
        <v>51222</v>
      </c>
      <c r="AF39">
        <v>6</v>
      </c>
      <c r="AG39">
        <v>0</v>
      </c>
      <c r="AH39">
        <v>30</v>
      </c>
      <c r="AI39">
        <v>0</v>
      </c>
      <c r="AJ39">
        <v>30</v>
      </c>
      <c r="AK39">
        <v>0</v>
      </c>
      <c r="AL39">
        <v>50</v>
      </c>
    </row>
    <row r="40" spans="1:41" x14ac:dyDescent="0.35">
      <c r="A40" t="s">
        <v>102</v>
      </c>
      <c r="B40">
        <v>1.71</v>
      </c>
      <c r="H40" s="2">
        <v>220223</v>
      </c>
      <c r="I40" s="2">
        <v>7</v>
      </c>
      <c r="J40" s="2">
        <v>0</v>
      </c>
      <c r="K40" s="2">
        <v>42</v>
      </c>
      <c r="L40" s="2">
        <v>0</v>
      </c>
      <c r="M40" s="2">
        <v>42</v>
      </c>
      <c r="N40" s="2">
        <v>3</v>
      </c>
      <c r="O40" s="2">
        <v>8</v>
      </c>
      <c r="P40" s="2">
        <v>7</v>
      </c>
      <c r="Q40" s="2">
        <v>42</v>
      </c>
      <c r="R40" s="2">
        <v>3</v>
      </c>
      <c r="T40" s="2">
        <v>231121</v>
      </c>
      <c r="U40" s="2">
        <v>4</v>
      </c>
      <c r="V40" s="2">
        <v>4</v>
      </c>
      <c r="W40" s="2">
        <v>16</v>
      </c>
      <c r="X40" s="2">
        <v>12</v>
      </c>
      <c r="Y40" s="2">
        <v>12</v>
      </c>
      <c r="Z40" s="2">
        <f>SUM(Figure2!W40:Y40)</f>
        <v>40</v>
      </c>
      <c r="AA40" s="2">
        <v>1</v>
      </c>
      <c r="AE40">
        <v>61222</v>
      </c>
      <c r="AF40">
        <v>8</v>
      </c>
      <c r="AG40">
        <v>0</v>
      </c>
      <c r="AH40">
        <v>56</v>
      </c>
      <c r="AI40">
        <v>0</v>
      </c>
      <c r="AJ40">
        <v>56</v>
      </c>
      <c r="AK40">
        <v>0</v>
      </c>
      <c r="AL40">
        <v>49</v>
      </c>
    </row>
    <row r="41" spans="1:41" ht="13.15" x14ac:dyDescent="0.4">
      <c r="A41" t="s">
        <v>103</v>
      </c>
      <c r="B41">
        <v>1.68</v>
      </c>
      <c r="H41" s="2">
        <v>240223</v>
      </c>
      <c r="I41" s="2">
        <v>7</v>
      </c>
      <c r="J41" s="2">
        <v>0</v>
      </c>
      <c r="K41" s="2">
        <v>42</v>
      </c>
      <c r="L41" s="2">
        <v>0</v>
      </c>
      <c r="M41" s="2">
        <v>42</v>
      </c>
      <c r="N41" s="2">
        <v>1</v>
      </c>
      <c r="O41" s="2">
        <v>7</v>
      </c>
      <c r="P41" s="2"/>
      <c r="Q41" s="2"/>
      <c r="R41" s="2"/>
      <c r="X41" s="1">
        <f>SUM(X4:X40)</f>
        <v>256</v>
      </c>
      <c r="AA41">
        <f>SUM(AA21:AA40)</f>
        <v>7</v>
      </c>
      <c r="AE41">
        <v>191222</v>
      </c>
      <c r="AF41">
        <v>6</v>
      </c>
      <c r="AG41">
        <v>0</v>
      </c>
      <c r="AH41">
        <v>30</v>
      </c>
      <c r="AI41">
        <v>0</v>
      </c>
      <c r="AJ41">
        <v>30</v>
      </c>
      <c r="AK41">
        <v>0</v>
      </c>
      <c r="AL41">
        <v>49</v>
      </c>
    </row>
    <row r="42" spans="1:41" x14ac:dyDescent="0.35">
      <c r="A42" t="s">
        <v>104</v>
      </c>
      <c r="B42">
        <v>1.68</v>
      </c>
      <c r="H42" s="2">
        <v>60423</v>
      </c>
      <c r="I42" s="2">
        <v>5</v>
      </c>
      <c r="J42" s="2">
        <v>1</v>
      </c>
      <c r="K42" s="2">
        <v>20</v>
      </c>
      <c r="L42" s="2">
        <v>10</v>
      </c>
      <c r="M42" s="2">
        <v>30</v>
      </c>
      <c r="N42" s="2">
        <v>1</v>
      </c>
      <c r="O42" s="2">
        <v>7</v>
      </c>
      <c r="P42" s="2"/>
      <c r="Q42" s="2"/>
      <c r="R42" s="2"/>
      <c r="AE42">
        <v>211222</v>
      </c>
      <c r="AF42">
        <v>6</v>
      </c>
      <c r="AG42">
        <v>0</v>
      </c>
      <c r="AH42">
        <v>30</v>
      </c>
      <c r="AI42">
        <v>0</v>
      </c>
      <c r="AJ42">
        <v>30</v>
      </c>
      <c r="AK42">
        <v>0</v>
      </c>
      <c r="AL42">
        <v>50</v>
      </c>
    </row>
    <row r="43" spans="1:41" x14ac:dyDescent="0.35">
      <c r="A43" t="s">
        <v>105</v>
      </c>
      <c r="B43">
        <v>1.61</v>
      </c>
      <c r="H43" s="2">
        <v>604232</v>
      </c>
      <c r="I43" s="2">
        <v>8</v>
      </c>
      <c r="J43" s="2">
        <v>0</v>
      </c>
      <c r="K43" s="2">
        <v>56</v>
      </c>
      <c r="L43" s="2">
        <v>0</v>
      </c>
      <c r="M43" s="2">
        <v>56</v>
      </c>
      <c r="N43" s="2">
        <v>1</v>
      </c>
      <c r="O43" s="2">
        <v>7</v>
      </c>
      <c r="P43" s="2"/>
      <c r="Q43" s="2"/>
      <c r="R43" s="2"/>
      <c r="T43" s="42" t="s">
        <v>13</v>
      </c>
      <c r="U43" s="42"/>
      <c r="V43" s="42"/>
      <c r="W43" s="42"/>
      <c r="X43" s="42"/>
      <c r="Y43" s="42"/>
      <c r="Z43" s="42"/>
      <c r="AA43" s="42"/>
      <c r="AB43" s="42"/>
      <c r="AC43" s="42"/>
      <c r="AE43" s="2">
        <v>110123</v>
      </c>
      <c r="AF43" s="2">
        <v>5</v>
      </c>
      <c r="AG43" s="2">
        <v>0</v>
      </c>
      <c r="AH43" s="2">
        <v>20</v>
      </c>
      <c r="AI43" s="2">
        <v>0</v>
      </c>
      <c r="AJ43" s="2">
        <v>20</v>
      </c>
      <c r="AK43" s="2">
        <v>1</v>
      </c>
      <c r="AL43" s="2">
        <v>46</v>
      </c>
      <c r="AM43" s="2"/>
      <c r="AN43" s="2"/>
      <c r="AO43" s="2"/>
    </row>
    <row r="44" spans="1:41" x14ac:dyDescent="0.35">
      <c r="A44" t="s">
        <v>106</v>
      </c>
      <c r="B44">
        <v>1.52</v>
      </c>
      <c r="H44" s="2">
        <v>120423</v>
      </c>
      <c r="I44" s="2">
        <v>7</v>
      </c>
      <c r="J44" s="2">
        <v>0</v>
      </c>
      <c r="K44" s="2">
        <v>42</v>
      </c>
      <c r="L44" s="2">
        <v>0</v>
      </c>
      <c r="M44" s="2">
        <v>42</v>
      </c>
      <c r="N44" s="2">
        <v>1</v>
      </c>
      <c r="O44" s="2">
        <v>8</v>
      </c>
      <c r="P44" s="2">
        <v>8</v>
      </c>
      <c r="Q44" s="2">
        <v>56</v>
      </c>
      <c r="R44" s="2">
        <v>1</v>
      </c>
      <c r="T44" t="s">
        <v>2</v>
      </c>
      <c r="U44" t="s">
        <v>3</v>
      </c>
      <c r="V44" t="s">
        <v>4</v>
      </c>
      <c r="W44" t="s">
        <v>5</v>
      </c>
      <c r="X44" t="s">
        <v>6</v>
      </c>
      <c r="Y44" t="s">
        <v>7</v>
      </c>
      <c r="Z44" t="s">
        <v>8</v>
      </c>
      <c r="AA44" t="s">
        <v>20</v>
      </c>
      <c r="AB44" t="s">
        <v>21</v>
      </c>
      <c r="AC44" t="s">
        <v>8</v>
      </c>
      <c r="AE44">
        <v>120123</v>
      </c>
      <c r="AF44">
        <v>5</v>
      </c>
      <c r="AG44">
        <v>0</v>
      </c>
      <c r="AH44">
        <v>20</v>
      </c>
      <c r="AI44">
        <v>0</v>
      </c>
      <c r="AJ44">
        <v>20</v>
      </c>
      <c r="AK44">
        <v>0</v>
      </c>
      <c r="AL44">
        <v>47</v>
      </c>
    </row>
    <row r="45" spans="1:41" x14ac:dyDescent="0.35">
      <c r="A45" t="s">
        <v>107</v>
      </c>
      <c r="B45">
        <v>1.52</v>
      </c>
      <c r="H45" s="2">
        <v>130423</v>
      </c>
      <c r="I45" s="2">
        <v>3</v>
      </c>
      <c r="J45" s="2">
        <v>0</v>
      </c>
      <c r="K45" s="2">
        <v>6</v>
      </c>
      <c r="L45" s="2">
        <v>0</v>
      </c>
      <c r="M45" s="2">
        <v>6</v>
      </c>
      <c r="N45" s="2">
        <v>1</v>
      </c>
      <c r="O45" s="2">
        <v>8</v>
      </c>
      <c r="P45" s="2"/>
      <c r="Q45" s="2"/>
      <c r="R45" s="2"/>
      <c r="T45">
        <v>250722</v>
      </c>
      <c r="U45">
        <v>5</v>
      </c>
      <c r="V45">
        <v>0</v>
      </c>
      <c r="W45">
        <v>20</v>
      </c>
      <c r="X45">
        <v>0</v>
      </c>
      <c r="Y45">
        <v>20</v>
      </c>
      <c r="Z45">
        <v>0</v>
      </c>
      <c r="AA45">
        <v>4</v>
      </c>
      <c r="AB45">
        <v>28</v>
      </c>
      <c r="AC45">
        <v>0</v>
      </c>
      <c r="AE45">
        <v>170123</v>
      </c>
      <c r="AF45">
        <v>5</v>
      </c>
      <c r="AG45">
        <v>0</v>
      </c>
      <c r="AH45">
        <v>20</v>
      </c>
      <c r="AI45">
        <v>0</v>
      </c>
      <c r="AJ45">
        <v>20</v>
      </c>
      <c r="AK45">
        <v>0</v>
      </c>
      <c r="AL45">
        <v>50</v>
      </c>
    </row>
    <row r="46" spans="1:41" x14ac:dyDescent="0.35">
      <c r="A46" t="s">
        <v>108</v>
      </c>
      <c r="B46">
        <v>1.44</v>
      </c>
      <c r="H46" s="2">
        <v>1304232</v>
      </c>
      <c r="I46" s="2">
        <v>6</v>
      </c>
      <c r="J46" s="2">
        <v>0</v>
      </c>
      <c r="K46" s="2">
        <v>30</v>
      </c>
      <c r="L46" s="2">
        <v>0</v>
      </c>
      <c r="M46" s="2">
        <v>30</v>
      </c>
      <c r="N46" s="2">
        <v>1</v>
      </c>
      <c r="O46" s="2">
        <v>8</v>
      </c>
      <c r="P46" s="2">
        <v>6</v>
      </c>
      <c r="Q46" s="2">
        <v>30</v>
      </c>
      <c r="R46" s="2">
        <v>1</v>
      </c>
      <c r="T46">
        <v>2507222</v>
      </c>
      <c r="U46">
        <v>8</v>
      </c>
      <c r="V46">
        <v>0</v>
      </c>
      <c r="W46">
        <v>56</v>
      </c>
      <c r="X46">
        <v>0</v>
      </c>
      <c r="Y46">
        <v>56</v>
      </c>
      <c r="Z46">
        <v>0</v>
      </c>
      <c r="AE46">
        <v>180123</v>
      </c>
      <c r="AF46">
        <v>5</v>
      </c>
      <c r="AG46">
        <v>0</v>
      </c>
      <c r="AH46">
        <v>20</v>
      </c>
      <c r="AI46">
        <v>0</v>
      </c>
      <c r="AJ46">
        <v>20</v>
      </c>
      <c r="AK46">
        <v>0</v>
      </c>
      <c r="AL46">
        <v>50</v>
      </c>
    </row>
    <row r="47" spans="1:41" x14ac:dyDescent="0.35">
      <c r="A47" t="s">
        <v>109</v>
      </c>
      <c r="B47">
        <v>1.44</v>
      </c>
      <c r="H47">
        <v>180423</v>
      </c>
      <c r="I47">
        <v>8</v>
      </c>
      <c r="J47">
        <v>0</v>
      </c>
      <c r="K47">
        <v>56</v>
      </c>
      <c r="L47">
        <v>0</v>
      </c>
      <c r="M47">
        <v>56</v>
      </c>
      <c r="O47">
        <v>8</v>
      </c>
      <c r="T47" s="2">
        <v>260722</v>
      </c>
      <c r="U47" s="2">
        <v>7</v>
      </c>
      <c r="V47" s="2">
        <v>1</v>
      </c>
      <c r="W47" s="2">
        <v>42</v>
      </c>
      <c r="X47" s="2">
        <v>14</v>
      </c>
      <c r="Y47" s="2">
        <v>56</v>
      </c>
      <c r="Z47" s="2">
        <v>2</v>
      </c>
      <c r="AA47" s="2">
        <v>4</v>
      </c>
      <c r="AB47" s="2">
        <v>24</v>
      </c>
      <c r="AC47" s="2">
        <v>2</v>
      </c>
      <c r="AE47">
        <v>190123</v>
      </c>
      <c r="AF47">
        <v>8</v>
      </c>
      <c r="AG47">
        <v>0</v>
      </c>
      <c r="AH47">
        <v>56</v>
      </c>
      <c r="AI47">
        <v>0</v>
      </c>
      <c r="AJ47">
        <v>56</v>
      </c>
      <c r="AK47">
        <v>0</v>
      </c>
      <c r="AL47">
        <v>47</v>
      </c>
    </row>
    <row r="48" spans="1:41" x14ac:dyDescent="0.35">
      <c r="A48" t="s">
        <v>110</v>
      </c>
      <c r="B48">
        <v>1.42</v>
      </c>
      <c r="H48" s="2">
        <v>1804232</v>
      </c>
      <c r="I48" s="2">
        <v>7</v>
      </c>
      <c r="J48" s="2">
        <v>0</v>
      </c>
      <c r="K48" s="2">
        <v>42</v>
      </c>
      <c r="L48" s="2">
        <v>0</v>
      </c>
      <c r="M48" s="2">
        <v>56</v>
      </c>
      <c r="N48" s="2">
        <v>2</v>
      </c>
      <c r="O48" s="2">
        <v>8</v>
      </c>
      <c r="P48" s="2">
        <v>3</v>
      </c>
      <c r="Q48" s="2">
        <v>18</v>
      </c>
      <c r="R48" s="2">
        <v>2</v>
      </c>
      <c r="T48">
        <v>2607222</v>
      </c>
      <c r="U48">
        <v>8</v>
      </c>
      <c r="V48">
        <v>0</v>
      </c>
      <c r="W48">
        <v>56</v>
      </c>
      <c r="X48">
        <v>0</v>
      </c>
      <c r="Y48">
        <v>56</v>
      </c>
      <c r="Z48">
        <v>0</v>
      </c>
      <c r="AA48">
        <v>5</v>
      </c>
      <c r="AB48">
        <v>35</v>
      </c>
      <c r="AC48">
        <v>0</v>
      </c>
      <c r="AE48">
        <v>230123</v>
      </c>
      <c r="AF48">
        <v>6</v>
      </c>
      <c r="AG48">
        <v>0</v>
      </c>
      <c r="AH48">
        <v>30</v>
      </c>
      <c r="AI48">
        <v>0</v>
      </c>
      <c r="AJ48">
        <v>30</v>
      </c>
      <c r="AK48">
        <v>0</v>
      </c>
      <c r="AL48">
        <v>45</v>
      </c>
    </row>
    <row r="49" spans="1:41" x14ac:dyDescent="0.35">
      <c r="A49" t="s">
        <v>111</v>
      </c>
      <c r="B49">
        <v>1.38</v>
      </c>
      <c r="H49" s="2">
        <v>190423</v>
      </c>
      <c r="I49" s="2">
        <v>7</v>
      </c>
      <c r="J49" s="2">
        <v>0</v>
      </c>
      <c r="K49" s="2">
        <v>42</v>
      </c>
      <c r="L49" s="2">
        <v>0</v>
      </c>
      <c r="M49" s="2">
        <v>42</v>
      </c>
      <c r="N49" s="2">
        <v>2</v>
      </c>
      <c r="O49" s="2">
        <v>8</v>
      </c>
      <c r="P49" s="2"/>
      <c r="Q49" s="2"/>
      <c r="R49" s="2"/>
      <c r="T49">
        <v>270722</v>
      </c>
      <c r="U49">
        <v>8</v>
      </c>
      <c r="V49">
        <v>0</v>
      </c>
      <c r="W49">
        <v>56</v>
      </c>
      <c r="X49">
        <v>0</v>
      </c>
      <c r="Y49">
        <v>56</v>
      </c>
      <c r="Z49">
        <v>0</v>
      </c>
      <c r="AA49">
        <v>4</v>
      </c>
      <c r="AB49">
        <v>28</v>
      </c>
      <c r="AC49">
        <v>0</v>
      </c>
      <c r="AE49">
        <v>260123</v>
      </c>
      <c r="AF49">
        <v>8</v>
      </c>
      <c r="AG49">
        <v>0</v>
      </c>
      <c r="AH49">
        <v>56</v>
      </c>
      <c r="AI49">
        <v>0</v>
      </c>
      <c r="AJ49">
        <v>56</v>
      </c>
      <c r="AK49">
        <v>0</v>
      </c>
      <c r="AL49">
        <v>48</v>
      </c>
    </row>
    <row r="50" spans="1:41" x14ac:dyDescent="0.35">
      <c r="A50" t="s">
        <v>112</v>
      </c>
      <c r="B50">
        <v>1.34</v>
      </c>
      <c r="H50" s="2">
        <v>1904232</v>
      </c>
      <c r="I50" s="2">
        <v>5</v>
      </c>
      <c r="J50" s="2">
        <v>1</v>
      </c>
      <c r="K50" s="2">
        <v>20</v>
      </c>
      <c r="L50" s="2">
        <v>10</v>
      </c>
      <c r="M50" s="2">
        <v>30</v>
      </c>
      <c r="N50" s="2">
        <v>3</v>
      </c>
      <c r="O50" s="2">
        <v>8</v>
      </c>
      <c r="P50" s="2">
        <v>3</v>
      </c>
      <c r="Q50" s="2">
        <v>15</v>
      </c>
      <c r="R50" s="2">
        <v>3</v>
      </c>
      <c r="T50">
        <v>2707222</v>
      </c>
      <c r="U50">
        <v>7</v>
      </c>
      <c r="V50">
        <v>1</v>
      </c>
      <c r="W50">
        <v>42</v>
      </c>
      <c r="X50">
        <v>14</v>
      </c>
      <c r="Y50">
        <v>56</v>
      </c>
      <c r="Z50">
        <v>0</v>
      </c>
      <c r="AA50">
        <v>2</v>
      </c>
      <c r="AB50">
        <v>12</v>
      </c>
      <c r="AC50">
        <v>0</v>
      </c>
      <c r="AE50">
        <v>90223</v>
      </c>
      <c r="AF50">
        <v>7</v>
      </c>
      <c r="AG50">
        <v>0</v>
      </c>
      <c r="AH50">
        <v>42</v>
      </c>
      <c r="AI50">
        <v>0</v>
      </c>
      <c r="AJ50">
        <v>42</v>
      </c>
      <c r="AK50">
        <v>0</v>
      </c>
      <c r="AL50">
        <v>45</v>
      </c>
    </row>
    <row r="51" spans="1:41" x14ac:dyDescent="0.35">
      <c r="A51" t="s">
        <v>113</v>
      </c>
      <c r="B51">
        <v>1.25</v>
      </c>
      <c r="H51" s="2">
        <v>120623</v>
      </c>
      <c r="I51" s="2">
        <v>8</v>
      </c>
      <c r="J51" s="2">
        <v>0</v>
      </c>
      <c r="K51" s="2">
        <v>56</v>
      </c>
      <c r="L51" s="2">
        <v>0</v>
      </c>
      <c r="M51" s="2">
        <v>56</v>
      </c>
      <c r="N51" s="2">
        <v>3</v>
      </c>
      <c r="O51" s="2">
        <v>7</v>
      </c>
      <c r="P51" s="2">
        <v>6</v>
      </c>
      <c r="Q51" s="2">
        <v>42</v>
      </c>
      <c r="R51" s="2">
        <v>3</v>
      </c>
      <c r="T51">
        <v>280722</v>
      </c>
      <c r="U51">
        <v>6</v>
      </c>
      <c r="V51">
        <v>0</v>
      </c>
      <c r="W51">
        <v>30</v>
      </c>
      <c r="X51">
        <v>0</v>
      </c>
      <c r="Y51">
        <v>30</v>
      </c>
      <c r="Z51">
        <v>0</v>
      </c>
      <c r="AE51" s="2">
        <v>100223</v>
      </c>
      <c r="AF51" s="2">
        <v>6</v>
      </c>
      <c r="AG51" s="2">
        <v>0</v>
      </c>
      <c r="AH51" s="2">
        <v>30</v>
      </c>
      <c r="AI51" s="2">
        <v>0</v>
      </c>
      <c r="AJ51" s="2">
        <v>30</v>
      </c>
      <c r="AK51" s="2">
        <v>2</v>
      </c>
      <c r="AL51" s="2">
        <v>45</v>
      </c>
      <c r="AM51" s="2"/>
      <c r="AN51" s="2"/>
      <c r="AO51" s="2"/>
    </row>
    <row r="52" spans="1:41" x14ac:dyDescent="0.35">
      <c r="A52" t="s">
        <v>114</v>
      </c>
      <c r="B52">
        <v>1.23</v>
      </c>
      <c r="H52" s="2">
        <v>50923</v>
      </c>
      <c r="I52" s="2">
        <v>8</v>
      </c>
      <c r="J52" s="2">
        <v>0</v>
      </c>
      <c r="K52" s="2">
        <v>56</v>
      </c>
      <c r="L52" s="2">
        <v>0</v>
      </c>
      <c r="M52" s="2">
        <v>56</v>
      </c>
      <c r="N52" s="2">
        <v>1</v>
      </c>
      <c r="O52" s="2">
        <v>7</v>
      </c>
      <c r="P52" s="2">
        <v>4</v>
      </c>
      <c r="Q52" s="2">
        <v>24</v>
      </c>
      <c r="R52" s="2">
        <v>1</v>
      </c>
      <c r="T52" s="2">
        <v>290722</v>
      </c>
      <c r="U52" s="2">
        <v>7</v>
      </c>
      <c r="V52" s="2">
        <v>0</v>
      </c>
      <c r="W52" s="2">
        <v>42</v>
      </c>
      <c r="X52" s="2">
        <v>0</v>
      </c>
      <c r="Y52" s="2">
        <v>42</v>
      </c>
      <c r="Z52" s="2">
        <v>1</v>
      </c>
      <c r="AA52" s="2">
        <v>3</v>
      </c>
      <c r="AB52" s="2">
        <v>18</v>
      </c>
      <c r="AC52" s="2">
        <v>1</v>
      </c>
      <c r="AE52">
        <v>270323</v>
      </c>
      <c r="AF52">
        <v>8</v>
      </c>
      <c r="AG52">
        <v>0</v>
      </c>
      <c r="AH52">
        <v>56</v>
      </c>
      <c r="AI52">
        <v>0</v>
      </c>
      <c r="AJ52">
        <v>56</v>
      </c>
      <c r="AK52">
        <v>0</v>
      </c>
      <c r="AL52">
        <v>48</v>
      </c>
      <c r="AM52">
        <v>4</v>
      </c>
      <c r="AN52">
        <f>Figure2!AM52*(Figure2!AF52-1)</f>
        <v>28</v>
      </c>
      <c r="AO52">
        <v>0</v>
      </c>
    </row>
    <row r="53" spans="1:41" x14ac:dyDescent="0.35">
      <c r="A53" t="s">
        <v>115</v>
      </c>
      <c r="B53">
        <v>1.2</v>
      </c>
      <c r="H53" s="8">
        <v>60923</v>
      </c>
      <c r="I53">
        <v>8</v>
      </c>
      <c r="J53">
        <v>0</v>
      </c>
      <c r="K53">
        <v>56</v>
      </c>
      <c r="L53">
        <v>0</v>
      </c>
      <c r="M53">
        <v>56</v>
      </c>
      <c r="O53">
        <v>8</v>
      </c>
      <c r="T53" s="2">
        <v>10822</v>
      </c>
      <c r="U53" s="2">
        <v>6</v>
      </c>
      <c r="V53" s="2">
        <v>0</v>
      </c>
      <c r="W53" s="2">
        <v>30</v>
      </c>
      <c r="X53" s="2">
        <v>0</v>
      </c>
      <c r="Y53" s="2">
        <v>30</v>
      </c>
      <c r="Z53" s="2">
        <v>1</v>
      </c>
      <c r="AA53" s="2">
        <v>5</v>
      </c>
      <c r="AB53" s="2">
        <v>25</v>
      </c>
      <c r="AC53" s="2">
        <v>1</v>
      </c>
      <c r="AE53">
        <v>290323</v>
      </c>
      <c r="AF53">
        <v>6</v>
      </c>
      <c r="AG53">
        <v>0</v>
      </c>
      <c r="AH53">
        <v>30</v>
      </c>
      <c r="AI53">
        <v>0</v>
      </c>
      <c r="AJ53">
        <v>30</v>
      </c>
      <c r="AK53">
        <v>0</v>
      </c>
      <c r="AL53">
        <v>50</v>
      </c>
    </row>
    <row r="54" spans="1:41" x14ac:dyDescent="0.35">
      <c r="A54" t="s">
        <v>116</v>
      </c>
      <c r="B54">
        <v>1.1399999999999999</v>
      </c>
      <c r="H54">
        <v>609232</v>
      </c>
      <c r="I54">
        <v>8</v>
      </c>
      <c r="J54">
        <v>0</v>
      </c>
      <c r="K54">
        <v>56</v>
      </c>
      <c r="L54">
        <v>0</v>
      </c>
      <c r="M54">
        <v>56</v>
      </c>
      <c r="O54">
        <v>8</v>
      </c>
      <c r="T54">
        <v>20822</v>
      </c>
      <c r="U54">
        <v>8</v>
      </c>
      <c r="V54">
        <v>0</v>
      </c>
      <c r="W54">
        <v>56</v>
      </c>
      <c r="X54">
        <v>0</v>
      </c>
      <c r="Y54">
        <v>56</v>
      </c>
      <c r="Z54">
        <v>0</v>
      </c>
      <c r="AA54">
        <v>3</v>
      </c>
      <c r="AB54">
        <v>21</v>
      </c>
      <c r="AC54">
        <v>0</v>
      </c>
      <c r="AE54" s="2">
        <v>250423</v>
      </c>
      <c r="AF54" s="2">
        <v>7</v>
      </c>
      <c r="AG54" s="2">
        <v>1</v>
      </c>
      <c r="AH54" s="2">
        <v>42</v>
      </c>
      <c r="AI54" s="2">
        <v>14</v>
      </c>
      <c r="AJ54" s="2">
        <v>56</v>
      </c>
      <c r="AK54" s="2">
        <v>2</v>
      </c>
      <c r="AL54" s="2">
        <v>50</v>
      </c>
      <c r="AM54" s="2"/>
      <c r="AN54" s="2"/>
      <c r="AO54" s="2"/>
    </row>
    <row r="55" spans="1:41" x14ac:dyDescent="0.35">
      <c r="A55" t="s">
        <v>117</v>
      </c>
      <c r="B55">
        <v>1.07</v>
      </c>
      <c r="H55" s="2">
        <v>70923</v>
      </c>
      <c r="I55" s="2">
        <v>8</v>
      </c>
      <c r="J55" s="2">
        <v>0</v>
      </c>
      <c r="K55" s="2">
        <v>56</v>
      </c>
      <c r="L55" s="2">
        <v>0</v>
      </c>
      <c r="M55" s="2">
        <v>56</v>
      </c>
      <c r="N55" s="2">
        <v>2</v>
      </c>
      <c r="O55" s="2">
        <v>7</v>
      </c>
      <c r="P55" s="2">
        <v>7</v>
      </c>
      <c r="Q55" s="2">
        <v>49</v>
      </c>
      <c r="R55" s="2">
        <v>2</v>
      </c>
      <c r="T55">
        <v>208222</v>
      </c>
      <c r="U55">
        <v>6</v>
      </c>
      <c r="V55">
        <v>0</v>
      </c>
      <c r="W55">
        <v>30</v>
      </c>
      <c r="X55">
        <v>0</v>
      </c>
      <c r="Y55">
        <v>30</v>
      </c>
      <c r="Z55">
        <v>0</v>
      </c>
      <c r="AE55">
        <v>260523</v>
      </c>
      <c r="AF55">
        <v>5</v>
      </c>
      <c r="AG55">
        <v>0</v>
      </c>
      <c r="AH55">
        <v>20</v>
      </c>
      <c r="AI55">
        <v>0</v>
      </c>
      <c r="AJ55">
        <v>20</v>
      </c>
      <c r="AK55">
        <v>0</v>
      </c>
      <c r="AL55">
        <v>50</v>
      </c>
      <c r="AM55">
        <v>2</v>
      </c>
      <c r="AN55">
        <f>Figure2!AM55*(Figure2!AF55-1)</f>
        <v>8</v>
      </c>
      <c r="AO55">
        <v>0</v>
      </c>
    </row>
    <row r="56" spans="1:41" x14ac:dyDescent="0.35">
      <c r="A56" t="s">
        <v>118</v>
      </c>
      <c r="B56">
        <v>1.02</v>
      </c>
      <c r="H56" s="2">
        <v>80923</v>
      </c>
      <c r="I56" s="2">
        <v>8</v>
      </c>
      <c r="J56" s="2">
        <v>0</v>
      </c>
      <c r="K56" s="2">
        <v>56</v>
      </c>
      <c r="L56" s="2">
        <v>0</v>
      </c>
      <c r="M56" s="2">
        <v>56</v>
      </c>
      <c r="N56" s="2">
        <v>2</v>
      </c>
      <c r="O56" s="2">
        <v>7</v>
      </c>
      <c r="P56" s="2">
        <v>6</v>
      </c>
      <c r="Q56" s="2">
        <v>42</v>
      </c>
      <c r="R56" s="2">
        <v>2</v>
      </c>
      <c r="T56" s="2">
        <v>30822</v>
      </c>
      <c r="U56" s="2">
        <v>8</v>
      </c>
      <c r="V56" s="2">
        <v>0</v>
      </c>
      <c r="W56" s="2">
        <v>56</v>
      </c>
      <c r="X56" s="2">
        <v>0</v>
      </c>
      <c r="Y56" s="2">
        <v>56</v>
      </c>
      <c r="Z56" s="2">
        <v>2</v>
      </c>
      <c r="AA56" s="2">
        <v>5</v>
      </c>
      <c r="AB56" s="2">
        <v>30</v>
      </c>
      <c r="AC56" s="2">
        <v>2</v>
      </c>
      <c r="AE56">
        <v>10623</v>
      </c>
      <c r="AF56">
        <v>7</v>
      </c>
      <c r="AG56">
        <v>0</v>
      </c>
      <c r="AH56">
        <v>42</v>
      </c>
      <c r="AI56">
        <v>0</v>
      </c>
      <c r="AJ56">
        <v>42</v>
      </c>
      <c r="AK56">
        <v>0</v>
      </c>
      <c r="AL56">
        <v>47</v>
      </c>
      <c r="AM56">
        <v>4</v>
      </c>
      <c r="AN56">
        <f>Figure2!AM56*(Figure2!AF56-1)</f>
        <v>24</v>
      </c>
      <c r="AO56">
        <v>0</v>
      </c>
    </row>
    <row r="57" spans="1:41" x14ac:dyDescent="0.35">
      <c r="A57" t="s">
        <v>119</v>
      </c>
      <c r="B57">
        <v>1.02</v>
      </c>
      <c r="H57" s="2">
        <v>110923</v>
      </c>
      <c r="I57" s="2">
        <v>7</v>
      </c>
      <c r="J57" s="2">
        <v>0</v>
      </c>
      <c r="K57" s="2">
        <v>42</v>
      </c>
      <c r="L57" s="2">
        <v>0</v>
      </c>
      <c r="M57" s="2">
        <v>56</v>
      </c>
      <c r="N57" s="2">
        <v>2</v>
      </c>
      <c r="O57" s="2">
        <v>8</v>
      </c>
      <c r="P57" s="2">
        <v>4</v>
      </c>
      <c r="Q57" s="2">
        <v>20</v>
      </c>
      <c r="R57" s="2">
        <v>2</v>
      </c>
      <c r="T57" s="2">
        <v>308222</v>
      </c>
      <c r="U57" s="2">
        <v>8</v>
      </c>
      <c r="V57" s="2">
        <v>0</v>
      </c>
      <c r="W57" s="2">
        <v>56</v>
      </c>
      <c r="X57" s="2">
        <v>0</v>
      </c>
      <c r="Y57" s="2">
        <v>56</v>
      </c>
      <c r="Z57" s="2">
        <v>2</v>
      </c>
      <c r="AA57" s="2">
        <v>6</v>
      </c>
      <c r="AB57" s="2">
        <v>36</v>
      </c>
      <c r="AC57" s="2">
        <v>2</v>
      </c>
      <c r="AE57">
        <v>310723</v>
      </c>
      <c r="AF57">
        <v>8</v>
      </c>
      <c r="AG57">
        <v>0</v>
      </c>
      <c r="AH57">
        <v>56</v>
      </c>
      <c r="AI57">
        <v>0</v>
      </c>
      <c r="AJ57">
        <v>56</v>
      </c>
      <c r="AK57">
        <v>0</v>
      </c>
      <c r="AL57">
        <v>50</v>
      </c>
      <c r="AM57">
        <v>2</v>
      </c>
      <c r="AN57">
        <f>Figure2!AM57*(Figure2!AF57-1)</f>
        <v>14</v>
      </c>
      <c r="AO57">
        <v>0</v>
      </c>
    </row>
    <row r="58" spans="1:41" x14ac:dyDescent="0.35">
      <c r="A58" t="s">
        <v>120</v>
      </c>
      <c r="B58">
        <v>0.97</v>
      </c>
      <c r="H58" s="2">
        <v>1109232</v>
      </c>
      <c r="I58" s="2">
        <v>6</v>
      </c>
      <c r="J58" s="2">
        <v>0</v>
      </c>
      <c r="K58" s="2">
        <v>30</v>
      </c>
      <c r="L58" s="2">
        <v>0</v>
      </c>
      <c r="M58" s="2">
        <v>30</v>
      </c>
      <c r="N58" s="2">
        <v>3</v>
      </c>
      <c r="O58" s="2">
        <v>8</v>
      </c>
      <c r="P58" s="2">
        <v>4</v>
      </c>
      <c r="Q58" s="2">
        <v>20</v>
      </c>
      <c r="R58" s="2">
        <v>3</v>
      </c>
      <c r="T58">
        <v>40822</v>
      </c>
      <c r="U58">
        <v>5</v>
      </c>
      <c r="V58">
        <v>0</v>
      </c>
      <c r="W58">
        <v>20</v>
      </c>
      <c r="X58">
        <v>0</v>
      </c>
      <c r="Y58">
        <v>20</v>
      </c>
      <c r="Z58">
        <v>0</v>
      </c>
      <c r="AE58">
        <v>10823</v>
      </c>
      <c r="AF58">
        <v>6</v>
      </c>
      <c r="AG58">
        <v>0</v>
      </c>
      <c r="AH58">
        <v>30</v>
      </c>
      <c r="AI58">
        <v>0</v>
      </c>
      <c r="AJ58">
        <v>30</v>
      </c>
      <c r="AK58">
        <v>0</v>
      </c>
      <c r="AL58">
        <v>50</v>
      </c>
      <c r="AM58">
        <v>4</v>
      </c>
      <c r="AN58">
        <f>Figure2!AM58*(Figure2!AF58-1)</f>
        <v>20</v>
      </c>
      <c r="AO58">
        <v>0</v>
      </c>
    </row>
    <row r="59" spans="1:41" x14ac:dyDescent="0.35">
      <c r="A59" t="s">
        <v>121</v>
      </c>
      <c r="B59">
        <v>0.94</v>
      </c>
      <c r="H59" s="2">
        <v>140923</v>
      </c>
      <c r="I59" s="2">
        <v>8</v>
      </c>
      <c r="J59" s="2">
        <v>0</v>
      </c>
      <c r="K59" s="2">
        <v>56</v>
      </c>
      <c r="L59" s="2">
        <v>0</v>
      </c>
      <c r="M59" s="2">
        <v>56</v>
      </c>
      <c r="N59" s="2">
        <v>2</v>
      </c>
      <c r="O59" s="2">
        <v>7</v>
      </c>
      <c r="P59" s="2">
        <v>5</v>
      </c>
      <c r="Q59" s="2">
        <v>30</v>
      </c>
      <c r="R59" s="2">
        <v>2</v>
      </c>
      <c r="T59">
        <v>90822</v>
      </c>
      <c r="U59">
        <v>7</v>
      </c>
      <c r="V59">
        <v>0</v>
      </c>
      <c r="W59">
        <v>42</v>
      </c>
      <c r="X59">
        <v>0</v>
      </c>
      <c r="Y59">
        <v>42</v>
      </c>
      <c r="Z59">
        <v>0</v>
      </c>
      <c r="AA59">
        <v>4</v>
      </c>
      <c r="AB59">
        <v>16</v>
      </c>
      <c r="AC59">
        <v>0</v>
      </c>
      <c r="AE59">
        <v>30823</v>
      </c>
      <c r="AF59">
        <v>8</v>
      </c>
      <c r="AG59">
        <v>0</v>
      </c>
      <c r="AH59">
        <v>56</v>
      </c>
      <c r="AI59">
        <v>0</v>
      </c>
      <c r="AJ59">
        <v>56</v>
      </c>
      <c r="AK59">
        <v>0</v>
      </c>
      <c r="AL59">
        <v>49</v>
      </c>
      <c r="AM59">
        <v>4</v>
      </c>
      <c r="AN59">
        <f>Figure2!AM59*(Figure2!AF59-1)</f>
        <v>28</v>
      </c>
      <c r="AO59">
        <v>0</v>
      </c>
    </row>
    <row r="60" spans="1:41" x14ac:dyDescent="0.35">
      <c r="A60" t="s">
        <v>122</v>
      </c>
      <c r="B60">
        <v>0.94</v>
      </c>
      <c r="H60">
        <v>150923</v>
      </c>
      <c r="I60">
        <v>7</v>
      </c>
      <c r="J60">
        <v>0</v>
      </c>
      <c r="K60">
        <v>42</v>
      </c>
      <c r="L60">
        <v>0</v>
      </c>
      <c r="M60">
        <v>42</v>
      </c>
      <c r="N60">
        <v>0</v>
      </c>
      <c r="O60">
        <v>8</v>
      </c>
      <c r="T60" s="2">
        <v>908222</v>
      </c>
      <c r="U60" s="2">
        <v>7</v>
      </c>
      <c r="V60" s="2">
        <v>1</v>
      </c>
      <c r="W60" s="2">
        <v>42</v>
      </c>
      <c r="X60" s="2">
        <v>14</v>
      </c>
      <c r="Y60" s="2">
        <v>56</v>
      </c>
      <c r="Z60" s="2">
        <v>1</v>
      </c>
      <c r="AA60" s="2">
        <v>6</v>
      </c>
      <c r="AB60" s="2">
        <v>36</v>
      </c>
      <c r="AC60" s="2">
        <v>1</v>
      </c>
      <c r="AE60">
        <v>131223</v>
      </c>
      <c r="AF60">
        <v>8</v>
      </c>
      <c r="AG60">
        <v>0</v>
      </c>
      <c r="AH60">
        <v>56</v>
      </c>
      <c r="AI60">
        <v>0</v>
      </c>
      <c r="AJ60">
        <v>56</v>
      </c>
      <c r="AK60">
        <v>0</v>
      </c>
      <c r="AL60">
        <v>47</v>
      </c>
      <c r="AM60">
        <v>2</v>
      </c>
      <c r="AN60">
        <f>Figure2!AM60*(Figure2!AF60-1)</f>
        <v>14</v>
      </c>
      <c r="AO60">
        <v>0</v>
      </c>
    </row>
    <row r="61" spans="1:41" x14ac:dyDescent="0.35">
      <c r="A61" t="s">
        <v>123</v>
      </c>
      <c r="B61">
        <v>0.93</v>
      </c>
      <c r="H61">
        <v>300124</v>
      </c>
      <c r="I61">
        <v>8</v>
      </c>
      <c r="J61">
        <v>0</v>
      </c>
      <c r="K61">
        <v>56</v>
      </c>
      <c r="L61">
        <v>0</v>
      </c>
      <c r="M61">
        <v>56</v>
      </c>
      <c r="N61">
        <v>0</v>
      </c>
      <c r="O61">
        <v>8</v>
      </c>
      <c r="P61">
        <v>2</v>
      </c>
      <c r="Q61">
        <v>14</v>
      </c>
      <c r="R61">
        <v>0</v>
      </c>
      <c r="T61">
        <v>100822</v>
      </c>
      <c r="U61">
        <v>6</v>
      </c>
      <c r="V61">
        <v>0</v>
      </c>
      <c r="W61">
        <v>30</v>
      </c>
      <c r="X61">
        <v>0</v>
      </c>
      <c r="Y61">
        <v>30</v>
      </c>
      <c r="Z61">
        <v>0</v>
      </c>
      <c r="AE61">
        <v>141223</v>
      </c>
      <c r="AF61">
        <v>7</v>
      </c>
      <c r="AG61">
        <v>0</v>
      </c>
      <c r="AH61">
        <v>42</v>
      </c>
      <c r="AI61">
        <v>0</v>
      </c>
      <c r="AJ61">
        <v>42</v>
      </c>
      <c r="AK61">
        <v>0</v>
      </c>
      <c r="AL61">
        <v>50</v>
      </c>
      <c r="AM61">
        <v>2</v>
      </c>
      <c r="AN61">
        <f>Figure2!AM61*(Figure2!AF61-1)</f>
        <v>12</v>
      </c>
      <c r="AO61">
        <v>0</v>
      </c>
    </row>
    <row r="62" spans="1:41" x14ac:dyDescent="0.35">
      <c r="A62" t="s">
        <v>124</v>
      </c>
      <c r="B62">
        <v>0.75</v>
      </c>
      <c r="H62" s="2">
        <v>3001242</v>
      </c>
      <c r="I62" s="2">
        <v>8</v>
      </c>
      <c r="J62" s="2">
        <v>0</v>
      </c>
      <c r="K62" s="2">
        <v>56</v>
      </c>
      <c r="L62" s="2">
        <v>0</v>
      </c>
      <c r="M62" s="2">
        <v>56</v>
      </c>
      <c r="N62" s="2">
        <v>3</v>
      </c>
      <c r="O62" s="2">
        <v>8</v>
      </c>
      <c r="P62" s="2">
        <v>5</v>
      </c>
      <c r="Q62" s="2">
        <v>35</v>
      </c>
      <c r="R62" s="2">
        <v>3</v>
      </c>
      <c r="T62" s="2">
        <v>170822</v>
      </c>
      <c r="U62" s="2">
        <v>8</v>
      </c>
      <c r="V62" s="2">
        <v>0</v>
      </c>
      <c r="W62" s="2">
        <v>56</v>
      </c>
      <c r="X62" s="2">
        <v>0</v>
      </c>
      <c r="Y62" s="2">
        <v>56</v>
      </c>
      <c r="Z62" s="2">
        <v>1</v>
      </c>
      <c r="AA62" s="2">
        <v>5</v>
      </c>
      <c r="AB62" s="2">
        <v>35</v>
      </c>
      <c r="AC62" s="2">
        <v>1</v>
      </c>
      <c r="AE62">
        <v>150124</v>
      </c>
      <c r="AF62">
        <v>6</v>
      </c>
      <c r="AG62">
        <v>0</v>
      </c>
      <c r="AH62">
        <v>30</v>
      </c>
      <c r="AI62">
        <v>0</v>
      </c>
      <c r="AJ62">
        <v>30</v>
      </c>
      <c r="AK62">
        <v>0</v>
      </c>
      <c r="AL62">
        <v>48</v>
      </c>
      <c r="AM62">
        <v>0</v>
      </c>
      <c r="AN62">
        <f>Figure2!AM62*(Figure2!AF62-1)</f>
        <v>0</v>
      </c>
      <c r="AO62">
        <v>0</v>
      </c>
    </row>
    <row r="63" spans="1:41" x14ac:dyDescent="0.35">
      <c r="A63" t="s">
        <v>125</v>
      </c>
      <c r="B63">
        <v>0.7</v>
      </c>
      <c r="H63" s="2">
        <v>310124</v>
      </c>
      <c r="I63" s="2">
        <v>8</v>
      </c>
      <c r="J63" s="2">
        <v>0</v>
      </c>
      <c r="K63" s="2">
        <v>56</v>
      </c>
      <c r="L63" s="2">
        <v>0</v>
      </c>
      <c r="M63" s="2">
        <v>56</v>
      </c>
      <c r="N63" s="2">
        <v>5</v>
      </c>
      <c r="O63" s="2">
        <v>7</v>
      </c>
      <c r="P63" s="2">
        <v>3</v>
      </c>
      <c r="Q63" s="2">
        <v>21</v>
      </c>
      <c r="R63" s="2">
        <v>5</v>
      </c>
      <c r="T63" s="2">
        <v>190822</v>
      </c>
      <c r="U63" s="2">
        <v>7</v>
      </c>
      <c r="V63" s="2">
        <v>0</v>
      </c>
      <c r="W63" s="2">
        <v>42</v>
      </c>
      <c r="X63" s="2">
        <v>0</v>
      </c>
      <c r="Y63" s="2">
        <v>42</v>
      </c>
      <c r="Z63" s="2">
        <v>1</v>
      </c>
      <c r="AA63" s="2">
        <v>6</v>
      </c>
      <c r="AB63" s="2">
        <v>30</v>
      </c>
      <c r="AC63" s="2">
        <v>1</v>
      </c>
      <c r="AE63">
        <v>160124</v>
      </c>
      <c r="AF63">
        <v>8</v>
      </c>
      <c r="AG63">
        <v>0</v>
      </c>
      <c r="AH63">
        <v>56</v>
      </c>
      <c r="AI63">
        <v>0</v>
      </c>
      <c r="AJ63">
        <v>56</v>
      </c>
      <c r="AK63">
        <v>0</v>
      </c>
      <c r="AL63">
        <v>47</v>
      </c>
      <c r="AM63">
        <v>5</v>
      </c>
      <c r="AN63">
        <f>Figure2!AM63*(Figure2!AF63-1)</f>
        <v>35</v>
      </c>
      <c r="AO63">
        <v>0</v>
      </c>
    </row>
    <row r="64" spans="1:41" x14ac:dyDescent="0.35">
      <c r="A64" t="s">
        <v>126</v>
      </c>
      <c r="B64">
        <v>0.59</v>
      </c>
      <c r="H64">
        <v>3101242</v>
      </c>
      <c r="I64">
        <v>7</v>
      </c>
      <c r="J64">
        <v>0</v>
      </c>
      <c r="K64">
        <v>42</v>
      </c>
      <c r="L64">
        <v>0</v>
      </c>
      <c r="M64">
        <v>56</v>
      </c>
      <c r="N64">
        <v>0</v>
      </c>
      <c r="O64">
        <v>7</v>
      </c>
      <c r="P64">
        <v>6</v>
      </c>
      <c r="Q64">
        <v>36</v>
      </c>
      <c r="R64">
        <v>0</v>
      </c>
      <c r="T64" s="2">
        <v>2608222</v>
      </c>
      <c r="U64" s="2">
        <v>6</v>
      </c>
      <c r="V64" s="2">
        <v>0</v>
      </c>
      <c r="W64" s="2">
        <v>30</v>
      </c>
      <c r="X64" s="2">
        <v>0</v>
      </c>
      <c r="Y64" s="2">
        <v>30</v>
      </c>
      <c r="Z64" s="2">
        <v>1</v>
      </c>
      <c r="AA64" s="2">
        <v>4</v>
      </c>
      <c r="AB64" s="2">
        <v>24</v>
      </c>
      <c r="AC64" s="2">
        <v>1</v>
      </c>
      <c r="AE64">
        <v>1601242</v>
      </c>
      <c r="AF64">
        <v>5</v>
      </c>
      <c r="AG64">
        <v>0</v>
      </c>
      <c r="AH64">
        <v>20</v>
      </c>
      <c r="AI64">
        <v>0</v>
      </c>
      <c r="AJ64">
        <v>20</v>
      </c>
      <c r="AK64">
        <v>0</v>
      </c>
      <c r="AL64">
        <v>47</v>
      </c>
      <c r="AM64">
        <v>2</v>
      </c>
      <c r="AN64">
        <f>Figure2!AM64*(Figure2!AF64-1)</f>
        <v>8</v>
      </c>
      <c r="AO64">
        <v>0</v>
      </c>
    </row>
    <row r="65" spans="1:42" x14ac:dyDescent="0.35">
      <c r="A65" t="s">
        <v>127</v>
      </c>
      <c r="B65">
        <v>0.52</v>
      </c>
      <c r="H65">
        <v>20224</v>
      </c>
      <c r="I65">
        <v>8</v>
      </c>
      <c r="J65">
        <v>0</v>
      </c>
      <c r="K65">
        <v>56</v>
      </c>
      <c r="L65">
        <v>0</v>
      </c>
      <c r="M65">
        <v>56</v>
      </c>
      <c r="N65">
        <v>0</v>
      </c>
      <c r="O65">
        <v>7</v>
      </c>
      <c r="P65" s="8">
        <v>3</v>
      </c>
      <c r="Q65">
        <v>21</v>
      </c>
      <c r="R65" s="8">
        <v>0</v>
      </c>
      <c r="T65">
        <v>310822</v>
      </c>
      <c r="U65">
        <v>8</v>
      </c>
      <c r="V65">
        <v>0</v>
      </c>
      <c r="W65">
        <v>56</v>
      </c>
      <c r="X65">
        <v>0</v>
      </c>
      <c r="Y65">
        <v>56</v>
      </c>
      <c r="Z65">
        <v>0</v>
      </c>
      <c r="AA65">
        <v>7</v>
      </c>
      <c r="AB65">
        <v>49</v>
      </c>
      <c r="AC65">
        <v>0</v>
      </c>
      <c r="AE65">
        <v>60324</v>
      </c>
      <c r="AF65">
        <v>6</v>
      </c>
      <c r="AG65">
        <v>0</v>
      </c>
      <c r="AH65">
        <v>30</v>
      </c>
      <c r="AI65">
        <v>0</v>
      </c>
      <c r="AJ65">
        <v>30</v>
      </c>
      <c r="AK65">
        <v>0</v>
      </c>
      <c r="AL65">
        <v>46</v>
      </c>
      <c r="AM65">
        <v>3</v>
      </c>
      <c r="AN65">
        <f>Figure2!AM65*(Figure2!AF65-1)</f>
        <v>15</v>
      </c>
      <c r="AO65">
        <v>0</v>
      </c>
    </row>
    <row r="66" spans="1:42" x14ac:dyDescent="0.35">
      <c r="H66">
        <v>202242</v>
      </c>
      <c r="I66">
        <v>7</v>
      </c>
      <c r="J66">
        <v>1</v>
      </c>
      <c r="K66">
        <v>42</v>
      </c>
      <c r="L66">
        <v>14</v>
      </c>
      <c r="M66">
        <v>56</v>
      </c>
      <c r="N66">
        <v>0</v>
      </c>
      <c r="O66">
        <v>7</v>
      </c>
      <c r="P66">
        <v>6</v>
      </c>
      <c r="Q66">
        <v>36</v>
      </c>
      <c r="R66">
        <v>0</v>
      </c>
      <c r="T66" s="2">
        <v>109222</v>
      </c>
      <c r="U66" s="2">
        <v>7</v>
      </c>
      <c r="V66" s="2">
        <v>0</v>
      </c>
      <c r="W66" s="2">
        <v>42</v>
      </c>
      <c r="X66" s="2">
        <v>0</v>
      </c>
      <c r="Y66" s="2">
        <v>42</v>
      </c>
      <c r="Z66" s="2">
        <v>2</v>
      </c>
      <c r="AA66" s="2"/>
      <c r="AB66" s="2"/>
      <c r="AC66" s="2"/>
      <c r="AE66" s="2">
        <v>70324</v>
      </c>
      <c r="AF66" s="2">
        <v>8</v>
      </c>
      <c r="AG66" s="2">
        <v>0</v>
      </c>
      <c r="AH66" s="2">
        <v>56</v>
      </c>
      <c r="AI66" s="2">
        <v>0</v>
      </c>
      <c r="AJ66" s="2">
        <v>56</v>
      </c>
      <c r="AK66" s="2">
        <v>1</v>
      </c>
      <c r="AL66" s="2">
        <v>47</v>
      </c>
      <c r="AM66" s="10">
        <v>4</v>
      </c>
      <c r="AN66" s="2">
        <f>Figure2!AM66*(Figure2!AF66-1)</f>
        <v>28</v>
      </c>
      <c r="AO66" s="2">
        <v>1</v>
      </c>
      <c r="AP66" s="8"/>
    </row>
    <row r="67" spans="1:42" x14ac:dyDescent="0.35">
      <c r="H67">
        <v>50224</v>
      </c>
      <c r="I67">
        <v>7</v>
      </c>
      <c r="J67">
        <v>0</v>
      </c>
      <c r="K67">
        <v>42</v>
      </c>
      <c r="L67">
        <v>0</v>
      </c>
      <c r="M67">
        <v>42</v>
      </c>
      <c r="N67">
        <v>0</v>
      </c>
      <c r="O67">
        <v>7</v>
      </c>
      <c r="P67">
        <v>3</v>
      </c>
      <c r="Q67">
        <v>18</v>
      </c>
      <c r="R67">
        <v>0</v>
      </c>
      <c r="T67" s="2">
        <v>50723</v>
      </c>
      <c r="U67" s="2">
        <v>7</v>
      </c>
      <c r="V67" s="2">
        <v>0</v>
      </c>
      <c r="W67" s="2">
        <v>42</v>
      </c>
      <c r="X67" s="2">
        <v>0</v>
      </c>
      <c r="Y67" s="2">
        <v>42</v>
      </c>
      <c r="Z67" s="2">
        <v>2</v>
      </c>
      <c r="AA67" s="2">
        <v>5</v>
      </c>
      <c r="AB67" s="2">
        <v>30</v>
      </c>
      <c r="AC67" s="2">
        <v>2</v>
      </c>
      <c r="AE67">
        <v>130324</v>
      </c>
      <c r="AF67">
        <v>6</v>
      </c>
      <c r="AG67">
        <v>0</v>
      </c>
      <c r="AH67">
        <v>30</v>
      </c>
      <c r="AI67">
        <v>0</v>
      </c>
      <c r="AJ67">
        <v>30</v>
      </c>
      <c r="AK67">
        <v>0</v>
      </c>
      <c r="AL67">
        <v>49</v>
      </c>
      <c r="AM67">
        <v>3</v>
      </c>
      <c r="AN67">
        <f>Figure2!AM67*(Figure2!AF67-1)</f>
        <v>15</v>
      </c>
      <c r="AO67">
        <v>0</v>
      </c>
    </row>
    <row r="68" spans="1:42" x14ac:dyDescent="0.35">
      <c r="H68" s="2">
        <v>502242</v>
      </c>
      <c r="I68" s="2">
        <v>4</v>
      </c>
      <c r="J68" s="2">
        <v>0</v>
      </c>
      <c r="K68" s="2">
        <v>12</v>
      </c>
      <c r="L68" s="2">
        <v>0</v>
      </c>
      <c r="M68" s="2">
        <v>12</v>
      </c>
      <c r="N68" s="2">
        <v>2</v>
      </c>
      <c r="O68" s="2">
        <v>7</v>
      </c>
      <c r="P68" s="2">
        <v>3</v>
      </c>
      <c r="Q68" s="2">
        <v>9</v>
      </c>
      <c r="R68" s="2">
        <v>2</v>
      </c>
      <c r="T68" s="2">
        <v>507232</v>
      </c>
      <c r="U68" s="2">
        <v>8</v>
      </c>
      <c r="V68" s="2">
        <v>0</v>
      </c>
      <c r="W68" s="2">
        <v>56</v>
      </c>
      <c r="X68" s="2">
        <v>0</v>
      </c>
      <c r="Y68" s="2">
        <v>56</v>
      </c>
      <c r="Z68" s="2">
        <v>1</v>
      </c>
      <c r="AA68" s="2">
        <v>6</v>
      </c>
      <c r="AB68" s="2">
        <v>42</v>
      </c>
      <c r="AC68" s="2">
        <v>1</v>
      </c>
      <c r="AE68" t="s">
        <v>128</v>
      </c>
      <c r="AF68">
        <v>7</v>
      </c>
      <c r="AG68">
        <v>0</v>
      </c>
      <c r="AH68">
        <v>48</v>
      </c>
      <c r="AI68">
        <v>0</v>
      </c>
      <c r="AJ68">
        <v>48</v>
      </c>
      <c r="AK68">
        <v>0</v>
      </c>
      <c r="AL68">
        <v>50</v>
      </c>
      <c r="AM68">
        <v>4</v>
      </c>
      <c r="AN68">
        <f>Figure2!AM68*(Figure2!AF68-1)</f>
        <v>24</v>
      </c>
      <c r="AO68">
        <v>0</v>
      </c>
    </row>
    <row r="69" spans="1:42" x14ac:dyDescent="0.35">
      <c r="H69">
        <v>60224</v>
      </c>
      <c r="I69">
        <v>7</v>
      </c>
      <c r="J69">
        <v>0</v>
      </c>
      <c r="K69">
        <v>42</v>
      </c>
      <c r="L69">
        <v>0</v>
      </c>
      <c r="M69">
        <v>42</v>
      </c>
      <c r="N69">
        <v>0</v>
      </c>
      <c r="P69">
        <v>5</v>
      </c>
      <c r="Q69">
        <v>30</v>
      </c>
      <c r="R69">
        <v>0</v>
      </c>
      <c r="T69">
        <v>110723</v>
      </c>
      <c r="U69">
        <v>6</v>
      </c>
      <c r="V69">
        <v>0</v>
      </c>
      <c r="W69">
        <v>30</v>
      </c>
      <c r="X69">
        <v>0</v>
      </c>
      <c r="Y69">
        <v>30</v>
      </c>
      <c r="Z69">
        <v>0</v>
      </c>
      <c r="AA69">
        <v>1</v>
      </c>
      <c r="AB69">
        <v>5</v>
      </c>
      <c r="AC69">
        <v>0</v>
      </c>
      <c r="AE69" s="2">
        <v>150324</v>
      </c>
      <c r="AF69" s="2">
        <v>8</v>
      </c>
      <c r="AG69" s="2">
        <v>0</v>
      </c>
      <c r="AH69" s="2">
        <v>56</v>
      </c>
      <c r="AI69" s="2">
        <v>0</v>
      </c>
      <c r="AJ69" s="2">
        <v>56</v>
      </c>
      <c r="AK69" s="2">
        <v>1</v>
      </c>
      <c r="AL69" s="2">
        <v>50</v>
      </c>
      <c r="AM69" s="2">
        <v>6</v>
      </c>
      <c r="AN69" s="2">
        <f>Figure2!AM69*(Figure2!AF69-1)</f>
        <v>42</v>
      </c>
      <c r="AO69" s="2">
        <v>1</v>
      </c>
    </row>
    <row r="70" spans="1:42" x14ac:dyDescent="0.35">
      <c r="H70" s="2">
        <v>602242</v>
      </c>
      <c r="I70" s="2">
        <v>6</v>
      </c>
      <c r="J70" s="2">
        <v>0</v>
      </c>
      <c r="K70" s="2">
        <v>30</v>
      </c>
      <c r="L70" s="2">
        <v>0</v>
      </c>
      <c r="M70" s="2">
        <v>30</v>
      </c>
      <c r="N70" s="2">
        <v>1</v>
      </c>
      <c r="O70" s="2">
        <v>8</v>
      </c>
      <c r="P70" s="2">
        <v>3</v>
      </c>
      <c r="Q70" s="2">
        <v>15</v>
      </c>
      <c r="R70" s="2">
        <v>1</v>
      </c>
      <c r="T70">
        <v>1107232</v>
      </c>
      <c r="U70">
        <v>7</v>
      </c>
      <c r="V70">
        <v>0</v>
      </c>
      <c r="W70">
        <v>42</v>
      </c>
      <c r="X70">
        <v>0</v>
      </c>
      <c r="Y70">
        <v>42</v>
      </c>
      <c r="Z70">
        <v>0</v>
      </c>
      <c r="AA70">
        <v>4</v>
      </c>
      <c r="AB70">
        <v>20</v>
      </c>
      <c r="AC70">
        <v>0</v>
      </c>
      <c r="AE70" s="2">
        <v>190324</v>
      </c>
      <c r="AF70" s="2">
        <v>8</v>
      </c>
      <c r="AG70" s="2">
        <v>0</v>
      </c>
      <c r="AH70" s="2">
        <v>56</v>
      </c>
      <c r="AI70" s="2">
        <v>0</v>
      </c>
      <c r="AJ70" s="2">
        <v>56</v>
      </c>
      <c r="AK70" s="2">
        <v>2</v>
      </c>
      <c r="AL70" s="2">
        <v>46</v>
      </c>
      <c r="AM70" s="2">
        <v>5</v>
      </c>
      <c r="AN70" s="2">
        <f>Figure2!AM70*(Figure2!AF70-1)</f>
        <v>35</v>
      </c>
      <c r="AO70" s="2">
        <v>2</v>
      </c>
    </row>
    <row r="71" spans="1:42" x14ac:dyDescent="0.35">
      <c r="H71">
        <v>80224</v>
      </c>
      <c r="I71">
        <v>8</v>
      </c>
      <c r="J71">
        <v>0</v>
      </c>
      <c r="K71">
        <v>56</v>
      </c>
      <c r="L71">
        <v>0</v>
      </c>
      <c r="M71">
        <v>56</v>
      </c>
      <c r="N71">
        <v>0</v>
      </c>
      <c r="O71">
        <v>8</v>
      </c>
      <c r="P71">
        <v>4</v>
      </c>
      <c r="Q71">
        <v>28</v>
      </c>
      <c r="R71">
        <v>0</v>
      </c>
      <c r="T71">
        <v>200723</v>
      </c>
      <c r="U71">
        <v>8</v>
      </c>
      <c r="V71">
        <v>0</v>
      </c>
      <c r="W71">
        <v>56</v>
      </c>
      <c r="X71">
        <v>0</v>
      </c>
      <c r="Y71">
        <v>56</v>
      </c>
      <c r="Z71">
        <v>0</v>
      </c>
      <c r="AA71">
        <v>2</v>
      </c>
      <c r="AB71">
        <v>14</v>
      </c>
      <c r="AC71">
        <v>0</v>
      </c>
      <c r="AE71">
        <v>200324</v>
      </c>
      <c r="AF71">
        <v>7</v>
      </c>
      <c r="AG71">
        <v>0</v>
      </c>
      <c r="AH71">
        <v>42</v>
      </c>
      <c r="AI71">
        <v>0</v>
      </c>
      <c r="AJ71">
        <v>42</v>
      </c>
      <c r="AK71">
        <v>0</v>
      </c>
      <c r="AL71">
        <v>47</v>
      </c>
      <c r="AM71">
        <v>3</v>
      </c>
      <c r="AN71">
        <f>Figure2!AM71*(Figure2!AF71-1)</f>
        <v>18</v>
      </c>
      <c r="AO71">
        <v>0</v>
      </c>
    </row>
    <row r="72" spans="1:42" x14ac:dyDescent="0.35">
      <c r="H72" s="2">
        <v>802242</v>
      </c>
      <c r="I72" s="2">
        <v>6</v>
      </c>
      <c r="J72" s="2">
        <v>0</v>
      </c>
      <c r="K72" s="2">
        <v>30</v>
      </c>
      <c r="L72" s="2">
        <v>0</v>
      </c>
      <c r="M72" s="2">
        <v>30</v>
      </c>
      <c r="N72" s="2">
        <v>1</v>
      </c>
      <c r="O72" s="2">
        <v>8</v>
      </c>
      <c r="P72" s="2">
        <v>3</v>
      </c>
      <c r="Q72" s="2">
        <v>15</v>
      </c>
      <c r="R72" s="2">
        <v>1</v>
      </c>
      <c r="T72" s="2">
        <v>221223</v>
      </c>
      <c r="U72" s="2">
        <v>8</v>
      </c>
      <c r="V72" s="2">
        <v>0</v>
      </c>
      <c r="W72" s="2">
        <v>56</v>
      </c>
      <c r="X72" s="2">
        <v>0</v>
      </c>
      <c r="Y72" s="2">
        <v>56</v>
      </c>
      <c r="Z72" s="2">
        <v>1</v>
      </c>
      <c r="AA72" s="2">
        <v>1</v>
      </c>
      <c r="AB72" s="2">
        <v>7</v>
      </c>
      <c r="AC72" s="2">
        <v>1</v>
      </c>
      <c r="AE72" s="2">
        <v>210324</v>
      </c>
      <c r="AF72" s="2">
        <v>8</v>
      </c>
      <c r="AG72" s="2">
        <v>0</v>
      </c>
      <c r="AH72" s="2">
        <v>56</v>
      </c>
      <c r="AI72" s="2">
        <v>0</v>
      </c>
      <c r="AJ72" s="2">
        <v>56</v>
      </c>
      <c r="AK72" s="2">
        <v>1</v>
      </c>
      <c r="AL72" s="2">
        <v>45</v>
      </c>
      <c r="AM72" s="2">
        <v>5</v>
      </c>
      <c r="AN72" s="2">
        <f>Figure2!AM72*(Figure2!AF72-1)</f>
        <v>35</v>
      </c>
      <c r="AO72" s="2">
        <v>1</v>
      </c>
    </row>
    <row r="73" spans="1:42" ht="13.15" x14ac:dyDescent="0.4">
      <c r="I73" s="1">
        <f>SUM(Figure2!I3:I72)</f>
        <v>460</v>
      </c>
      <c r="J73" s="1"/>
      <c r="K73" s="1">
        <f>SUM(Figure2!K3:K72)</f>
        <v>2718</v>
      </c>
      <c r="L73" s="1"/>
      <c r="M73" s="1">
        <f>SUM(Figure2!M3:M72)</f>
        <v>2814</v>
      </c>
      <c r="N73" s="1">
        <f>SUM(Figure2!N3:N72)</f>
        <v>92</v>
      </c>
      <c r="P73" s="1">
        <f>SUM(Figure2!P3:P72)</f>
        <v>211</v>
      </c>
      <c r="Q73" s="1">
        <f>SUM(Q3:Q72)</f>
        <v>1254</v>
      </c>
      <c r="R73" s="1">
        <f>SUM(Figure2!R3:R72)</f>
        <v>80</v>
      </c>
      <c r="T73">
        <v>120224</v>
      </c>
      <c r="U73">
        <v>7</v>
      </c>
      <c r="V73">
        <v>1</v>
      </c>
      <c r="W73">
        <v>42</v>
      </c>
      <c r="X73">
        <v>0</v>
      </c>
      <c r="Y73">
        <v>56</v>
      </c>
      <c r="Z73">
        <v>0</v>
      </c>
      <c r="AA73">
        <v>3</v>
      </c>
      <c r="AB73">
        <v>18</v>
      </c>
      <c r="AC73">
        <v>0</v>
      </c>
      <c r="AE73" s="2">
        <v>250324</v>
      </c>
      <c r="AF73" s="2">
        <v>8</v>
      </c>
      <c r="AG73" s="2">
        <v>0</v>
      </c>
      <c r="AH73" s="2">
        <v>56</v>
      </c>
      <c r="AI73" s="2">
        <v>0</v>
      </c>
      <c r="AJ73" s="2">
        <v>56</v>
      </c>
      <c r="AK73" s="2">
        <v>2</v>
      </c>
      <c r="AL73" s="2">
        <v>50</v>
      </c>
      <c r="AM73" s="2">
        <v>5</v>
      </c>
      <c r="AN73" s="2">
        <f>Figure2!AM73*(Figure2!AF73-1)</f>
        <v>35</v>
      </c>
      <c r="AO73" s="2">
        <v>2</v>
      </c>
    </row>
    <row r="74" spans="1:42" x14ac:dyDescent="0.35">
      <c r="T74">
        <v>130224</v>
      </c>
      <c r="U74">
        <v>6</v>
      </c>
      <c r="V74">
        <v>0</v>
      </c>
      <c r="W74">
        <v>30</v>
      </c>
      <c r="X74">
        <v>0</v>
      </c>
      <c r="Y74">
        <v>30</v>
      </c>
      <c r="Z74">
        <v>0</v>
      </c>
      <c r="AA74">
        <v>2</v>
      </c>
      <c r="AB74">
        <v>10</v>
      </c>
      <c r="AC74">
        <v>0</v>
      </c>
      <c r="AE74">
        <v>260324</v>
      </c>
      <c r="AF74">
        <v>8</v>
      </c>
      <c r="AG74">
        <v>0</v>
      </c>
      <c r="AH74">
        <v>56</v>
      </c>
      <c r="AI74">
        <v>0</v>
      </c>
      <c r="AJ74">
        <v>56</v>
      </c>
      <c r="AK74">
        <v>0</v>
      </c>
      <c r="AL74">
        <v>50</v>
      </c>
      <c r="AM74">
        <v>2</v>
      </c>
      <c r="AN74">
        <f>Figure2!AM74*(Figure2!AF74-1)</f>
        <v>14</v>
      </c>
      <c r="AO74">
        <v>0</v>
      </c>
    </row>
    <row r="75" spans="1:42" x14ac:dyDescent="0.35">
      <c r="T75" s="2">
        <v>1302242</v>
      </c>
      <c r="U75" s="2">
        <v>7</v>
      </c>
      <c r="V75" s="2">
        <v>0</v>
      </c>
      <c r="W75" s="2">
        <v>42</v>
      </c>
      <c r="X75" s="2">
        <v>0</v>
      </c>
      <c r="Y75" s="2">
        <v>42</v>
      </c>
      <c r="Z75" s="2">
        <v>1</v>
      </c>
      <c r="AA75" s="2">
        <v>5</v>
      </c>
      <c r="AB75" s="2">
        <v>30</v>
      </c>
      <c r="AC75" s="2">
        <v>1</v>
      </c>
      <c r="AE75">
        <v>270324</v>
      </c>
      <c r="AF75">
        <v>6</v>
      </c>
      <c r="AG75">
        <v>0</v>
      </c>
      <c r="AH75">
        <v>30</v>
      </c>
      <c r="AI75">
        <v>0</v>
      </c>
      <c r="AJ75">
        <v>30</v>
      </c>
      <c r="AK75">
        <v>0</v>
      </c>
      <c r="AL75">
        <v>50</v>
      </c>
      <c r="AM75">
        <v>4</v>
      </c>
      <c r="AN75">
        <f>Figure2!AM75*(Figure2!AF75-1)</f>
        <v>20</v>
      </c>
      <c r="AO75">
        <v>0</v>
      </c>
    </row>
    <row r="76" spans="1:42" ht="13.15" x14ac:dyDescent="0.4">
      <c r="H76" s="1" t="s">
        <v>129</v>
      </c>
      <c r="M76" s="1" t="s">
        <v>130</v>
      </c>
      <c r="T76">
        <v>150224</v>
      </c>
      <c r="U76">
        <v>6</v>
      </c>
      <c r="V76">
        <v>1</v>
      </c>
      <c r="W76">
        <v>20</v>
      </c>
      <c r="X76">
        <v>0</v>
      </c>
      <c r="Y76">
        <v>30</v>
      </c>
      <c r="Z76">
        <v>0</v>
      </c>
      <c r="AA76">
        <v>1</v>
      </c>
      <c r="AB76">
        <v>4</v>
      </c>
      <c r="AC76">
        <v>0</v>
      </c>
      <c r="AE76">
        <v>280324</v>
      </c>
      <c r="AF76">
        <v>7</v>
      </c>
      <c r="AG76">
        <v>0</v>
      </c>
      <c r="AH76">
        <v>42</v>
      </c>
      <c r="AI76">
        <v>0</v>
      </c>
      <c r="AJ76">
        <v>42</v>
      </c>
      <c r="AK76">
        <v>0</v>
      </c>
      <c r="AL76">
        <v>50</v>
      </c>
      <c r="AM76">
        <v>5</v>
      </c>
      <c r="AN76">
        <f>Figure2!AM76*(Figure2!AF76-1)</f>
        <v>30</v>
      </c>
      <c r="AO76">
        <v>0</v>
      </c>
    </row>
    <row r="77" spans="1:42" x14ac:dyDescent="0.35">
      <c r="H77" t="s">
        <v>8</v>
      </c>
      <c r="I77" t="s">
        <v>131</v>
      </c>
      <c r="J77" t="s">
        <v>132</v>
      </c>
      <c r="M77" t="s">
        <v>8</v>
      </c>
      <c r="N77" t="s">
        <v>131</v>
      </c>
      <c r="O77" t="s">
        <v>132</v>
      </c>
      <c r="T77" s="2">
        <v>190224</v>
      </c>
      <c r="U77" s="2">
        <v>7</v>
      </c>
      <c r="V77" s="2">
        <v>0</v>
      </c>
      <c r="W77" s="2">
        <v>42</v>
      </c>
      <c r="X77" s="2">
        <v>0</v>
      </c>
      <c r="Y77" s="2">
        <v>42</v>
      </c>
      <c r="Z77" s="2">
        <v>1</v>
      </c>
      <c r="AA77" s="2">
        <v>5</v>
      </c>
      <c r="AB77" s="2">
        <v>30</v>
      </c>
      <c r="AC77" s="2">
        <v>1</v>
      </c>
      <c r="AE77">
        <v>290324</v>
      </c>
      <c r="AF77">
        <v>5</v>
      </c>
      <c r="AG77">
        <v>0</v>
      </c>
      <c r="AH77">
        <v>30</v>
      </c>
      <c r="AI77">
        <v>0</v>
      </c>
      <c r="AJ77">
        <v>30</v>
      </c>
      <c r="AK77">
        <v>0</v>
      </c>
      <c r="AL77">
        <v>46</v>
      </c>
      <c r="AM77">
        <v>0</v>
      </c>
      <c r="AN77">
        <f>Figure2!AM77*(Figure2!AF77-1)</f>
        <v>0</v>
      </c>
      <c r="AO77">
        <v>0</v>
      </c>
    </row>
    <row r="78" spans="1:42" ht="13.15" x14ac:dyDescent="0.4">
      <c r="H78">
        <v>92</v>
      </c>
      <c r="I78">
        <v>2718</v>
      </c>
      <c r="J78" s="1">
        <f>Figure2!H78*100/Figure2!I78</f>
        <v>3.384841795437822</v>
      </c>
      <c r="M78">
        <v>80</v>
      </c>
      <c r="N78">
        <v>1254</v>
      </c>
      <c r="O78" s="1">
        <f>Figure2!M78*100/Figure2!N78</f>
        <v>6.3795853269537481</v>
      </c>
      <c r="T78">
        <v>200224</v>
      </c>
      <c r="U78">
        <v>5</v>
      </c>
      <c r="V78">
        <v>0</v>
      </c>
      <c r="W78">
        <v>20</v>
      </c>
      <c r="X78">
        <v>0</v>
      </c>
      <c r="Y78">
        <v>20</v>
      </c>
      <c r="Z78">
        <v>0</v>
      </c>
      <c r="AA78">
        <v>2</v>
      </c>
      <c r="AB78">
        <v>8</v>
      </c>
      <c r="AC78">
        <v>0</v>
      </c>
      <c r="AE78">
        <v>110624</v>
      </c>
      <c r="AF78">
        <v>6</v>
      </c>
      <c r="AG78">
        <v>0</v>
      </c>
      <c r="AH78">
        <v>30</v>
      </c>
      <c r="AI78">
        <v>0</v>
      </c>
      <c r="AJ78">
        <v>30</v>
      </c>
      <c r="AK78">
        <v>0</v>
      </c>
      <c r="AL78">
        <v>46</v>
      </c>
      <c r="AM78">
        <v>4</v>
      </c>
      <c r="AN78">
        <f>Figure2!AM78*(Figure2!AF78-1)</f>
        <v>20</v>
      </c>
      <c r="AO78">
        <v>0</v>
      </c>
    </row>
    <row r="79" spans="1:42" x14ac:dyDescent="0.35">
      <c r="T79">
        <v>2002242</v>
      </c>
      <c r="U79">
        <v>7</v>
      </c>
      <c r="V79">
        <v>0</v>
      </c>
      <c r="W79">
        <v>42</v>
      </c>
      <c r="X79">
        <v>0</v>
      </c>
      <c r="Y79">
        <v>42</v>
      </c>
      <c r="Z79">
        <v>0</v>
      </c>
      <c r="AA79">
        <v>3</v>
      </c>
      <c r="AB79">
        <v>12</v>
      </c>
      <c r="AC79">
        <v>0</v>
      </c>
      <c r="AE79">
        <v>1106242</v>
      </c>
      <c r="AF79">
        <v>8</v>
      </c>
      <c r="AG79">
        <v>0</v>
      </c>
      <c r="AH79">
        <v>56</v>
      </c>
      <c r="AI79">
        <v>0</v>
      </c>
      <c r="AJ79">
        <v>56</v>
      </c>
      <c r="AK79">
        <v>0</v>
      </c>
      <c r="AL79">
        <v>47</v>
      </c>
      <c r="AM79">
        <v>2</v>
      </c>
      <c r="AN79">
        <f>Figure2!AM79*(Figure2!AF79-1)</f>
        <v>14</v>
      </c>
      <c r="AO79">
        <v>0</v>
      </c>
    </row>
    <row r="80" spans="1:42" x14ac:dyDescent="0.35">
      <c r="T80">
        <v>210224</v>
      </c>
      <c r="U80">
        <v>8</v>
      </c>
      <c r="V80">
        <v>0</v>
      </c>
      <c r="W80">
        <v>56</v>
      </c>
      <c r="X80">
        <v>0</v>
      </c>
      <c r="Y80">
        <v>56</v>
      </c>
      <c r="Z80">
        <v>0</v>
      </c>
      <c r="AA80">
        <v>3</v>
      </c>
      <c r="AB80">
        <v>21</v>
      </c>
      <c r="AC80">
        <v>0</v>
      </c>
      <c r="AE80">
        <v>120624</v>
      </c>
      <c r="AF80">
        <v>6</v>
      </c>
      <c r="AG80">
        <v>0</v>
      </c>
      <c r="AH80">
        <v>30</v>
      </c>
      <c r="AI80">
        <v>0</v>
      </c>
      <c r="AJ80">
        <v>30</v>
      </c>
      <c r="AK80">
        <v>0</v>
      </c>
      <c r="AL80">
        <v>50</v>
      </c>
      <c r="AM80">
        <v>2</v>
      </c>
      <c r="AN80">
        <f>Figure2!AM80*(Figure2!AF80-1)</f>
        <v>10</v>
      </c>
      <c r="AO80">
        <v>0</v>
      </c>
    </row>
    <row r="81" spans="20:42" x14ac:dyDescent="0.35">
      <c r="T81">
        <v>270224</v>
      </c>
      <c r="U81">
        <v>7</v>
      </c>
      <c r="V81">
        <v>0</v>
      </c>
      <c r="W81">
        <v>42</v>
      </c>
      <c r="X81">
        <v>0</v>
      </c>
      <c r="Y81">
        <v>42</v>
      </c>
      <c r="Z81">
        <v>0</v>
      </c>
      <c r="AA81">
        <v>4</v>
      </c>
      <c r="AB81">
        <v>20</v>
      </c>
      <c r="AC81">
        <v>0</v>
      </c>
      <c r="AE81">
        <v>1206242</v>
      </c>
      <c r="AF81">
        <v>7</v>
      </c>
      <c r="AG81">
        <v>0</v>
      </c>
      <c r="AH81">
        <v>42</v>
      </c>
      <c r="AI81">
        <v>0</v>
      </c>
      <c r="AJ81">
        <v>42</v>
      </c>
      <c r="AK81">
        <v>0</v>
      </c>
      <c r="AL81">
        <v>50</v>
      </c>
      <c r="AM81">
        <v>3</v>
      </c>
      <c r="AN81">
        <f>Figure2!AM81*(Figure2!AF81-1)</f>
        <v>18</v>
      </c>
      <c r="AO81">
        <v>0</v>
      </c>
    </row>
    <row r="82" spans="20:42" x14ac:dyDescent="0.35">
      <c r="T82" s="2">
        <v>280224</v>
      </c>
      <c r="U82" s="2">
        <v>8</v>
      </c>
      <c r="V82" s="2">
        <v>0</v>
      </c>
      <c r="W82" s="2">
        <v>56</v>
      </c>
      <c r="X82" s="2">
        <v>0</v>
      </c>
      <c r="Y82" s="2">
        <v>56</v>
      </c>
      <c r="Z82" s="2">
        <v>2</v>
      </c>
      <c r="AA82" s="2">
        <v>6</v>
      </c>
      <c r="AB82" s="2">
        <v>42</v>
      </c>
      <c r="AC82" s="2">
        <v>2</v>
      </c>
      <c r="AE82">
        <v>130624</v>
      </c>
      <c r="AF82">
        <v>8</v>
      </c>
      <c r="AG82">
        <v>0</v>
      </c>
      <c r="AH82">
        <v>56</v>
      </c>
      <c r="AI82">
        <v>0</v>
      </c>
      <c r="AJ82">
        <v>56</v>
      </c>
      <c r="AK82">
        <v>0</v>
      </c>
      <c r="AL82">
        <v>47</v>
      </c>
      <c r="AM82">
        <v>7</v>
      </c>
      <c r="AN82">
        <f>Figure2!AM82*(Figure2!AF82-1)</f>
        <v>49</v>
      </c>
      <c r="AO82">
        <v>0</v>
      </c>
    </row>
    <row r="83" spans="20:42" x14ac:dyDescent="0.35">
      <c r="T83" s="2">
        <v>290224</v>
      </c>
      <c r="U83" s="2">
        <v>7</v>
      </c>
      <c r="V83" s="2">
        <v>0</v>
      </c>
      <c r="W83" s="2">
        <v>42</v>
      </c>
      <c r="X83" s="2">
        <v>0</v>
      </c>
      <c r="Y83" s="2">
        <v>42</v>
      </c>
      <c r="Z83" s="2">
        <v>2</v>
      </c>
      <c r="AA83" s="2">
        <v>5</v>
      </c>
      <c r="AB83" s="2">
        <v>30</v>
      </c>
      <c r="AC83" s="2">
        <v>2</v>
      </c>
      <c r="AE83" s="2">
        <v>1306242</v>
      </c>
      <c r="AF83" s="2">
        <v>8</v>
      </c>
      <c r="AG83" s="2">
        <v>0</v>
      </c>
      <c r="AH83" s="2">
        <v>56</v>
      </c>
      <c r="AI83" s="2">
        <v>0</v>
      </c>
      <c r="AJ83" s="2">
        <v>56</v>
      </c>
      <c r="AK83" s="2">
        <v>2</v>
      </c>
      <c r="AL83" s="2">
        <v>47</v>
      </c>
      <c r="AM83" s="2">
        <v>6</v>
      </c>
      <c r="AN83" s="2">
        <f>Figure2!AM83*(Figure2!AF83-1)</f>
        <v>42</v>
      </c>
      <c r="AO83" s="2">
        <v>2</v>
      </c>
      <c r="AP83" s="8"/>
    </row>
    <row r="84" spans="20:42" ht="13.15" x14ac:dyDescent="0.4">
      <c r="T84" s="2">
        <v>140624</v>
      </c>
      <c r="U84" s="2">
        <v>7</v>
      </c>
      <c r="V84" s="2">
        <v>0</v>
      </c>
      <c r="W84" s="2">
        <v>42</v>
      </c>
      <c r="X84" s="2">
        <v>0</v>
      </c>
      <c r="Y84" s="2">
        <v>42</v>
      </c>
      <c r="Z84" s="2">
        <v>1</v>
      </c>
      <c r="AA84" s="2">
        <v>5</v>
      </c>
      <c r="AB84" s="2">
        <v>30</v>
      </c>
      <c r="AC84" s="2">
        <v>1</v>
      </c>
      <c r="AF84" s="1">
        <f>SUM(Figure2!AF3:AF83)</f>
        <v>529</v>
      </c>
      <c r="AH84" s="1">
        <f>SUM(Figure2!AH3:AH83)</f>
        <v>3072</v>
      </c>
      <c r="AJ84" s="1">
        <f>SUM(Figure2!AJ3:AJ83)</f>
        <v>3129</v>
      </c>
      <c r="AK84" s="1">
        <f>SUM(Figure2!AK3:AK83)</f>
        <v>28</v>
      </c>
      <c r="AM84" s="1">
        <f>SUM(Figure2!AM3:AM83)</f>
        <v>166</v>
      </c>
      <c r="AN84" s="1">
        <f>SUM(Figure2!AN3:AN83)</f>
        <v>1012</v>
      </c>
      <c r="AO84" s="1">
        <f>SUM(Figure2!AO3:AO83)</f>
        <v>22</v>
      </c>
      <c r="AP84" s="1"/>
    </row>
    <row r="85" spans="20:42" ht="13.15" x14ac:dyDescent="0.4">
      <c r="U85" s="1">
        <f>SUM(Figure2!U45:U84)</f>
        <v>279</v>
      </c>
      <c r="V85" s="1"/>
      <c r="W85" s="1">
        <f>SUM(Figure2!W45:W84)</f>
        <v>1690</v>
      </c>
      <c r="X85" s="1"/>
      <c r="Y85" s="1">
        <f>SUM(Figure2!Y45:Y84)</f>
        <v>1756</v>
      </c>
      <c r="Z85" s="1">
        <f>SUM(Figure2!Z45:Z84)</f>
        <v>25</v>
      </c>
      <c r="AA85" s="1">
        <f>SUM(Figure2!AA45:AA84)</f>
        <v>136</v>
      </c>
      <c r="AB85" s="1">
        <f>SUM(Figure2!AB45:AB84)</f>
        <v>820</v>
      </c>
      <c r="AC85" s="1">
        <f>SUM(Figure2!AC45:AC84)</f>
        <v>23</v>
      </c>
    </row>
    <row r="87" spans="20:42" ht="13.15" x14ac:dyDescent="0.4">
      <c r="AL87" s="1" t="s">
        <v>130</v>
      </c>
    </row>
    <row r="88" spans="20:42" ht="13.15" x14ac:dyDescent="0.4">
      <c r="U88" t="s">
        <v>133</v>
      </c>
      <c r="AG88" s="1" t="s">
        <v>129</v>
      </c>
      <c r="AL88" t="s">
        <v>8</v>
      </c>
      <c r="AM88" t="s">
        <v>131</v>
      </c>
      <c r="AN88" t="s">
        <v>132</v>
      </c>
    </row>
    <row r="89" spans="20:42" ht="13.15" x14ac:dyDescent="0.4">
      <c r="T89" t="s">
        <v>8</v>
      </c>
      <c r="U89" t="s">
        <v>131</v>
      </c>
      <c r="V89" t="s">
        <v>132</v>
      </c>
      <c r="AG89" t="s">
        <v>8</v>
      </c>
      <c r="AH89" t="s">
        <v>131</v>
      </c>
      <c r="AI89" t="s">
        <v>132</v>
      </c>
      <c r="AL89">
        <v>22</v>
      </c>
      <c r="AM89">
        <v>1012</v>
      </c>
      <c r="AN89" s="1">
        <f>Figure2!AL89*100/Figure2!AM89</f>
        <v>2.1739130434782608</v>
      </c>
    </row>
    <row r="90" spans="20:42" ht="13.15" x14ac:dyDescent="0.4">
      <c r="T90">
        <v>7</v>
      </c>
      <c r="U90">
        <v>256</v>
      </c>
      <c r="V90" s="1">
        <f>Figure2!T90*100/Figure2!U90</f>
        <v>2.734375</v>
      </c>
      <c r="AG90">
        <v>28</v>
      </c>
      <c r="AH90">
        <v>3072</v>
      </c>
      <c r="AI90" s="1">
        <f>Figure2!AG90*100/Figure2!AH90</f>
        <v>0.91145833333333337</v>
      </c>
    </row>
    <row r="92" spans="20:42" x14ac:dyDescent="0.35">
      <c r="T92" s="42" t="s">
        <v>134</v>
      </c>
      <c r="U92" s="42"/>
      <c r="V92" s="42"/>
      <c r="W92" s="42"/>
    </row>
    <row r="93" spans="20:42" x14ac:dyDescent="0.35">
      <c r="T93" t="s">
        <v>8</v>
      </c>
      <c r="U93" t="s">
        <v>131</v>
      </c>
      <c r="V93" t="s">
        <v>132</v>
      </c>
    </row>
    <row r="94" spans="20:42" ht="13.15" x14ac:dyDescent="0.4">
      <c r="T94">
        <v>25</v>
      </c>
      <c r="U94">
        <v>1690</v>
      </c>
      <c r="V94" s="1">
        <f>Figure2!T94*100/Figure2!U94</f>
        <v>1.4792899408284024</v>
      </c>
    </row>
    <row r="99" spans="20:28" ht="13.15" x14ac:dyDescent="0.4">
      <c r="U99" t="s">
        <v>135</v>
      </c>
      <c r="Z99" s="1" t="s">
        <v>130</v>
      </c>
    </row>
    <row r="100" spans="20:28" x14ac:dyDescent="0.35">
      <c r="T100" t="s">
        <v>8</v>
      </c>
      <c r="U100" t="s">
        <v>131</v>
      </c>
      <c r="V100" t="s">
        <v>132</v>
      </c>
      <c r="Z100" t="s">
        <v>8</v>
      </c>
      <c r="AA100" t="s">
        <v>131</v>
      </c>
      <c r="AB100" t="s">
        <v>132</v>
      </c>
    </row>
    <row r="101" spans="20:28" ht="13.15" x14ac:dyDescent="0.4">
      <c r="T101">
        <f>T94+T90</f>
        <v>32</v>
      </c>
      <c r="U101">
        <f>U94+U90</f>
        <v>1946</v>
      </c>
      <c r="V101" s="1">
        <f>Figure2!T101*100/Figure2!U101</f>
        <v>1.644398766700925</v>
      </c>
      <c r="Z101">
        <v>23</v>
      </c>
      <c r="AA101" s="1">
        <v>820</v>
      </c>
      <c r="AB101" s="1">
        <f>Figure2!Z101*100/Figure2!AA101</f>
        <v>2.8048780487804876</v>
      </c>
    </row>
  </sheetData>
  <mergeCells count="7">
    <mergeCell ref="AE1:AN1"/>
    <mergeCell ref="T2:Z2"/>
    <mergeCell ref="T43:AC43"/>
    <mergeCell ref="T92:W92"/>
    <mergeCell ref="A1:F1"/>
    <mergeCell ref="H1:Q1"/>
    <mergeCell ref="T1:AC1"/>
  </mergeCells>
  <pageMargins left="0.78749999999999998" right="0.78749999999999998" top="1.0249999999999999" bottom="1.0249999999999999" header="0.78749999999999998" footer="0.78749999999999998"/>
  <pageSetup firstPageNumber="0" orientation="portrait" horizontalDpi="1200" verticalDpi="1200" r:id="rId1"/>
  <headerFooter>
    <oddHeader>&amp;C&amp;A</oddHeader>
    <oddFooter>&amp;CPage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O131"/>
  <sheetViews>
    <sheetView zoomScale="120" zoomScaleNormal="120" workbookViewId="0"/>
  </sheetViews>
  <sheetFormatPr defaultRowHeight="12.75" x14ac:dyDescent="0.35"/>
  <cols>
    <col min="1" max="1025" width="11.33203125"/>
  </cols>
  <sheetData>
    <row r="1" spans="1:41" ht="118.15" x14ac:dyDescent="0.4">
      <c r="A1" s="37" t="s">
        <v>1214</v>
      </c>
    </row>
    <row r="3" spans="1:41" ht="13.15" x14ac:dyDescent="0.4">
      <c r="D3" s="37"/>
    </row>
    <row r="4" spans="1:41" ht="15" x14ac:dyDescent="0.4">
      <c r="A4" s="43" t="s">
        <v>1193</v>
      </c>
      <c r="B4" s="43"/>
      <c r="C4" s="43"/>
      <c r="D4" s="43"/>
      <c r="E4" s="43"/>
      <c r="F4" s="43"/>
      <c r="H4" s="43" t="s">
        <v>1194</v>
      </c>
      <c r="I4" s="43"/>
      <c r="J4" s="43"/>
      <c r="K4" s="43"/>
      <c r="L4" s="43"/>
      <c r="M4" s="43"/>
      <c r="O4" s="43" t="s">
        <v>1195</v>
      </c>
      <c r="P4" s="43"/>
      <c r="Q4" s="43"/>
      <c r="R4" s="43"/>
      <c r="S4" s="43"/>
      <c r="T4" s="43"/>
      <c r="V4" s="43" t="s">
        <v>1149</v>
      </c>
      <c r="W4" s="43"/>
      <c r="X4" s="43"/>
      <c r="Y4" s="43"/>
      <c r="Z4" s="43"/>
      <c r="AA4" s="43"/>
      <c r="AC4" s="43" t="s">
        <v>1196</v>
      </c>
      <c r="AD4" s="43"/>
      <c r="AE4" s="43"/>
      <c r="AF4" s="43"/>
      <c r="AG4" s="43"/>
      <c r="AH4" s="43"/>
    </row>
    <row r="5" spans="1:41" ht="13.15" x14ac:dyDescent="0.4">
      <c r="A5" s="49" t="s">
        <v>1031</v>
      </c>
      <c r="B5" s="49"/>
      <c r="C5" s="50" t="s">
        <v>9</v>
      </c>
      <c r="D5" s="50"/>
      <c r="E5" s="51" t="s">
        <v>10</v>
      </c>
      <c r="F5" s="51"/>
      <c r="H5" s="49" t="s">
        <v>1031</v>
      </c>
      <c r="I5" s="49"/>
      <c r="J5" s="50" t="s">
        <v>9</v>
      </c>
      <c r="K5" s="50"/>
      <c r="L5" s="51" t="s">
        <v>10</v>
      </c>
      <c r="M5" s="51"/>
      <c r="O5" s="49" t="s">
        <v>1031</v>
      </c>
      <c r="P5" s="49"/>
      <c r="Q5" s="50" t="s">
        <v>9</v>
      </c>
      <c r="R5" s="50"/>
      <c r="S5" s="51" t="s">
        <v>10</v>
      </c>
      <c r="T5" s="51"/>
      <c r="V5" s="49" t="s">
        <v>1031</v>
      </c>
      <c r="W5" s="49"/>
      <c r="X5" s="50" t="s">
        <v>9</v>
      </c>
      <c r="Y5" s="50"/>
      <c r="Z5" s="51" t="s">
        <v>10</v>
      </c>
      <c r="AA5" s="51"/>
      <c r="AC5" s="49" t="s">
        <v>1031</v>
      </c>
      <c r="AD5" s="49"/>
      <c r="AE5" s="50" t="s">
        <v>9</v>
      </c>
      <c r="AF5" s="50"/>
      <c r="AG5" s="51" t="s">
        <v>10</v>
      </c>
      <c r="AH5" s="51"/>
      <c r="AJ5" s="43" t="s">
        <v>1197</v>
      </c>
      <c r="AK5" s="43"/>
      <c r="AL5" s="43"/>
      <c r="AM5" s="43"/>
      <c r="AN5" s="43"/>
      <c r="AO5" s="43"/>
    </row>
    <row r="6" spans="1:41" ht="13.15" x14ac:dyDescent="0.4">
      <c r="A6" t="s">
        <v>15</v>
      </c>
      <c r="B6" t="s">
        <v>338</v>
      </c>
      <c r="C6" t="s">
        <v>15</v>
      </c>
      <c r="D6" t="s">
        <v>11</v>
      </c>
      <c r="E6" t="s">
        <v>15</v>
      </c>
      <c r="F6" t="s">
        <v>338</v>
      </c>
      <c r="H6" t="s">
        <v>15</v>
      </c>
      <c r="I6" t="s">
        <v>337</v>
      </c>
      <c r="J6" t="s">
        <v>15</v>
      </c>
      <c r="K6" t="s">
        <v>339</v>
      </c>
      <c r="L6" t="s">
        <v>15</v>
      </c>
      <c r="M6" t="s">
        <v>340</v>
      </c>
      <c r="O6" t="s">
        <v>15</v>
      </c>
      <c r="P6" t="s">
        <v>1146</v>
      </c>
      <c r="Q6" t="s">
        <v>15</v>
      </c>
      <c r="R6" t="s">
        <v>1147</v>
      </c>
      <c r="S6" t="s">
        <v>15</v>
      </c>
      <c r="T6" t="s">
        <v>1147</v>
      </c>
      <c r="V6" t="s">
        <v>15</v>
      </c>
      <c r="W6" t="s">
        <v>1149</v>
      </c>
      <c r="X6" t="s">
        <v>15</v>
      </c>
      <c r="Y6" t="s">
        <v>1149</v>
      </c>
      <c r="Z6" t="s">
        <v>15</v>
      </c>
      <c r="AA6" t="s">
        <v>1149</v>
      </c>
      <c r="AC6" t="s">
        <v>15</v>
      </c>
      <c r="AD6" t="s">
        <v>1196</v>
      </c>
      <c r="AE6" t="s">
        <v>15</v>
      </c>
      <c r="AF6" t="s">
        <v>1196</v>
      </c>
      <c r="AG6" t="s">
        <v>15</v>
      </c>
      <c r="AH6" t="s">
        <v>1196</v>
      </c>
      <c r="AJ6" s="49" t="s">
        <v>1031</v>
      </c>
      <c r="AK6" s="49"/>
      <c r="AL6" s="40" t="s">
        <v>9</v>
      </c>
      <c r="AM6" s="40"/>
      <c r="AN6" s="51" t="s">
        <v>10</v>
      </c>
      <c r="AO6" s="51"/>
    </row>
    <row r="7" spans="1:41" ht="13.15" x14ac:dyDescent="0.4">
      <c r="A7" t="s">
        <v>23</v>
      </c>
      <c r="B7">
        <v>3.35</v>
      </c>
      <c r="C7" t="s">
        <v>24</v>
      </c>
      <c r="D7">
        <v>4.9000000000000004</v>
      </c>
      <c r="E7" t="s">
        <v>25</v>
      </c>
      <c r="F7">
        <v>5.2999999999999999E-2</v>
      </c>
      <c r="H7" t="s">
        <v>23</v>
      </c>
      <c r="I7">
        <v>3.59</v>
      </c>
      <c r="J7" t="s">
        <v>24</v>
      </c>
      <c r="K7">
        <v>4.8899999999999997</v>
      </c>
      <c r="L7" t="s">
        <v>25</v>
      </c>
      <c r="M7">
        <v>0.55000000000000004</v>
      </c>
      <c r="O7" t="s">
        <v>23</v>
      </c>
      <c r="P7">
        <v>52.71</v>
      </c>
      <c r="Q7" t="s">
        <v>24</v>
      </c>
      <c r="R7">
        <v>87.558300000000003</v>
      </c>
      <c r="S7" t="s">
        <v>25</v>
      </c>
      <c r="T7">
        <v>110.32899999999999</v>
      </c>
      <c r="V7" t="s">
        <v>23</v>
      </c>
      <c r="W7">
        <v>0.38507462686567201</v>
      </c>
      <c r="X7" t="s">
        <v>24</v>
      </c>
      <c r="Y7">
        <v>0.54489795918367301</v>
      </c>
      <c r="Z7" t="s">
        <v>25</v>
      </c>
      <c r="AA7">
        <v>2.11320754716981</v>
      </c>
      <c r="AC7" t="s">
        <v>23</v>
      </c>
      <c r="AD7">
        <v>0.107462686567164</v>
      </c>
      <c r="AE7" t="s">
        <v>24</v>
      </c>
      <c r="AF7">
        <v>0.36530612244897998</v>
      </c>
      <c r="AH7">
        <v>1.4528301886792501</v>
      </c>
      <c r="AJ7" s="30" t="s">
        <v>698</v>
      </c>
      <c r="AK7" s="1" t="s">
        <v>337</v>
      </c>
      <c r="AL7" s="1" t="s">
        <v>700</v>
      </c>
      <c r="AM7" s="1" t="s">
        <v>339</v>
      </c>
      <c r="AN7" s="1" t="s">
        <v>700</v>
      </c>
      <c r="AO7" s="1" t="s">
        <v>340</v>
      </c>
    </row>
    <row r="8" spans="1:41" x14ac:dyDescent="0.35">
      <c r="A8" t="s">
        <v>33</v>
      </c>
      <c r="B8">
        <v>1.1000000000000001</v>
      </c>
      <c r="C8" t="s">
        <v>34</v>
      </c>
      <c r="D8">
        <v>1.24</v>
      </c>
      <c r="E8" t="s">
        <v>35</v>
      </c>
      <c r="F8">
        <v>0.23599999999999999</v>
      </c>
      <c r="H8" t="s">
        <v>33</v>
      </c>
      <c r="I8">
        <v>1.44</v>
      </c>
      <c r="J8" t="s">
        <v>34</v>
      </c>
      <c r="K8">
        <v>1.28</v>
      </c>
      <c r="L8" t="s">
        <v>35</v>
      </c>
      <c r="M8">
        <v>0.46</v>
      </c>
      <c r="O8" t="s">
        <v>33</v>
      </c>
      <c r="P8">
        <v>45.51</v>
      </c>
      <c r="Q8" t="s">
        <v>34</v>
      </c>
      <c r="R8">
        <v>138.107</v>
      </c>
      <c r="S8" t="s">
        <v>35</v>
      </c>
      <c r="T8">
        <v>106.066</v>
      </c>
      <c r="V8" t="s">
        <v>33</v>
      </c>
      <c r="W8">
        <v>0.50909090909090904</v>
      </c>
      <c r="X8" t="s">
        <v>34</v>
      </c>
      <c r="Y8">
        <v>0.41935483870967699</v>
      </c>
      <c r="Z8" t="s">
        <v>35</v>
      </c>
      <c r="AA8">
        <v>0.394067796610169</v>
      </c>
      <c r="AC8" t="s">
        <v>33</v>
      </c>
      <c r="AD8">
        <v>0.12727272727272701</v>
      </c>
      <c r="AE8" t="s">
        <v>34</v>
      </c>
      <c r="AF8">
        <v>0.29838709677419401</v>
      </c>
      <c r="AJ8">
        <v>21.96</v>
      </c>
      <c r="AK8">
        <v>3.59</v>
      </c>
      <c r="AL8">
        <v>46.177700000000002</v>
      </c>
      <c r="AM8">
        <v>4.8899999999999997</v>
      </c>
      <c r="AN8">
        <v>23.598099999999999</v>
      </c>
      <c r="AO8">
        <v>0.55000000000000004</v>
      </c>
    </row>
    <row r="9" spans="1:41" x14ac:dyDescent="0.35">
      <c r="A9" t="s">
        <v>36</v>
      </c>
      <c r="B9">
        <v>0.95</v>
      </c>
      <c r="C9" t="s">
        <v>37</v>
      </c>
      <c r="D9">
        <v>0.84</v>
      </c>
      <c r="E9" t="s">
        <v>38</v>
      </c>
      <c r="F9">
        <v>0.1</v>
      </c>
      <c r="H9" t="s">
        <v>36</v>
      </c>
      <c r="I9">
        <v>1.34</v>
      </c>
      <c r="J9" t="s">
        <v>37</v>
      </c>
      <c r="K9">
        <v>1.03</v>
      </c>
      <c r="L9" t="s">
        <v>38</v>
      </c>
      <c r="M9">
        <v>0.31</v>
      </c>
      <c r="O9" t="s">
        <v>36</v>
      </c>
      <c r="P9">
        <v>43.27</v>
      </c>
      <c r="Q9" t="s">
        <v>37</v>
      </c>
      <c r="R9">
        <v>97.937700000000007</v>
      </c>
      <c r="S9" t="s">
        <v>38</v>
      </c>
      <c r="T9">
        <v>81.583500000000001</v>
      </c>
      <c r="V9" t="s">
        <v>36</v>
      </c>
      <c r="W9">
        <v>0.82105263157894703</v>
      </c>
      <c r="X9" t="s">
        <v>37</v>
      </c>
      <c r="Y9">
        <v>0.35714285714285698</v>
      </c>
      <c r="Z9" t="s">
        <v>38</v>
      </c>
      <c r="AA9">
        <v>1.25</v>
      </c>
      <c r="AC9" t="s">
        <v>36</v>
      </c>
      <c r="AD9">
        <v>0.336842105263158</v>
      </c>
      <c r="AE9" t="s">
        <v>37</v>
      </c>
      <c r="AH9">
        <v>0.64</v>
      </c>
      <c r="AJ9">
        <v>17.72</v>
      </c>
      <c r="AK9">
        <v>1.44</v>
      </c>
      <c r="AL9">
        <v>34.218800000000002</v>
      </c>
      <c r="AM9">
        <v>1.28</v>
      </c>
      <c r="AN9">
        <v>28.904</v>
      </c>
      <c r="AO9">
        <v>0.46</v>
      </c>
    </row>
    <row r="10" spans="1:41" x14ac:dyDescent="0.35">
      <c r="A10" t="s">
        <v>39</v>
      </c>
      <c r="B10">
        <v>0.56000000000000005</v>
      </c>
      <c r="C10" t="s">
        <v>40</v>
      </c>
      <c r="D10">
        <v>0.28999999999999998</v>
      </c>
      <c r="E10" t="s">
        <v>41</v>
      </c>
      <c r="F10">
        <v>0.74</v>
      </c>
      <c r="H10" t="s">
        <v>39</v>
      </c>
      <c r="I10">
        <v>2.06</v>
      </c>
      <c r="J10" t="s">
        <v>40</v>
      </c>
      <c r="K10">
        <v>0.65</v>
      </c>
      <c r="L10" t="s">
        <v>41</v>
      </c>
      <c r="M10">
        <v>0.92</v>
      </c>
      <c r="O10" t="s">
        <v>39</v>
      </c>
      <c r="P10">
        <v>57.41</v>
      </c>
      <c r="Q10" t="s">
        <v>40</v>
      </c>
      <c r="R10">
        <v>53.6736</v>
      </c>
      <c r="S10" t="s">
        <v>41</v>
      </c>
      <c r="T10">
        <v>62.304299999999998</v>
      </c>
      <c r="V10" t="s">
        <v>39</v>
      </c>
      <c r="W10">
        <v>0.85714285714285698</v>
      </c>
      <c r="X10" t="s">
        <v>40</v>
      </c>
      <c r="Y10">
        <v>1.13793103448276</v>
      </c>
      <c r="Z10" t="s">
        <v>41</v>
      </c>
      <c r="AA10">
        <v>0.87837837837837796</v>
      </c>
      <c r="AC10" t="s">
        <v>39</v>
      </c>
      <c r="AD10">
        <v>1.28571428571429</v>
      </c>
      <c r="AE10" t="s">
        <v>40</v>
      </c>
      <c r="AH10">
        <v>0.59459459459459496</v>
      </c>
      <c r="AJ10">
        <v>12.29</v>
      </c>
      <c r="AK10">
        <v>1.34</v>
      </c>
      <c r="AL10">
        <v>33.302999999999997</v>
      </c>
      <c r="AM10">
        <v>1.03</v>
      </c>
      <c r="AN10">
        <v>19.3431</v>
      </c>
      <c r="AO10">
        <v>0.31</v>
      </c>
    </row>
    <row r="11" spans="1:41" x14ac:dyDescent="0.35">
      <c r="A11" t="s">
        <v>45</v>
      </c>
      <c r="B11">
        <v>1.7</v>
      </c>
      <c r="C11" t="s">
        <v>43</v>
      </c>
      <c r="D11">
        <v>0.154</v>
      </c>
      <c r="E11" t="s">
        <v>44</v>
      </c>
      <c r="F11">
        <v>0.17899999999999999</v>
      </c>
      <c r="H11" t="s">
        <v>45</v>
      </c>
      <c r="I11">
        <v>2.2999999999999998</v>
      </c>
      <c r="J11" t="s">
        <v>43</v>
      </c>
      <c r="K11">
        <v>0.43</v>
      </c>
      <c r="L11" t="s">
        <v>44</v>
      </c>
      <c r="M11">
        <v>0.39</v>
      </c>
      <c r="O11" t="s">
        <v>42</v>
      </c>
      <c r="Q11" t="s">
        <v>43</v>
      </c>
      <c r="R11">
        <v>56.804499999999997</v>
      </c>
      <c r="S11" t="s">
        <v>44</v>
      </c>
      <c r="T11">
        <v>58.863999999999997</v>
      </c>
      <c r="V11" t="s">
        <v>45</v>
      </c>
      <c r="W11">
        <v>0.51764705882352902</v>
      </c>
      <c r="X11" t="s">
        <v>46</v>
      </c>
      <c r="Y11">
        <v>0.22727272727272699</v>
      </c>
      <c r="Z11" t="s">
        <v>53</v>
      </c>
      <c r="AA11">
        <v>0.87333333333333296</v>
      </c>
      <c r="AC11" t="s">
        <v>45</v>
      </c>
      <c r="AD11">
        <v>0.223529411764706</v>
      </c>
      <c r="AE11" t="s">
        <v>46</v>
      </c>
      <c r="AF11">
        <v>0.243181818181818</v>
      </c>
      <c r="AH11">
        <v>0.52</v>
      </c>
      <c r="AJ11">
        <v>9.2799999999999905</v>
      </c>
      <c r="AK11">
        <v>2.06</v>
      </c>
      <c r="AL11">
        <v>32.389000000000003</v>
      </c>
      <c r="AM11">
        <v>0.65</v>
      </c>
      <c r="AN11">
        <v>16.208500000000001</v>
      </c>
      <c r="AO11">
        <v>0.92</v>
      </c>
    </row>
    <row r="12" spans="1:41" x14ac:dyDescent="0.35">
      <c r="A12" t="s">
        <v>48</v>
      </c>
      <c r="B12">
        <v>0.82</v>
      </c>
      <c r="C12" t="s">
        <v>46</v>
      </c>
      <c r="D12">
        <v>0.44</v>
      </c>
      <c r="E12" t="s">
        <v>47</v>
      </c>
      <c r="F12">
        <v>0.71499999999999997</v>
      </c>
      <c r="H12" t="s">
        <v>48</v>
      </c>
      <c r="I12">
        <v>1.23</v>
      </c>
      <c r="J12" t="s">
        <v>46</v>
      </c>
      <c r="K12">
        <v>0.61</v>
      </c>
      <c r="L12" t="s">
        <v>47</v>
      </c>
      <c r="M12">
        <v>1.0900000000000001</v>
      </c>
      <c r="O12" t="s">
        <v>45</v>
      </c>
      <c r="P12">
        <v>103.48</v>
      </c>
      <c r="Q12" t="s">
        <v>46</v>
      </c>
      <c r="S12" t="s">
        <v>47</v>
      </c>
      <c r="T12">
        <v>42.117800000000003</v>
      </c>
      <c r="V12" t="s">
        <v>48</v>
      </c>
      <c r="W12">
        <v>0.52439024390243905</v>
      </c>
      <c r="X12" t="s">
        <v>49</v>
      </c>
      <c r="Y12">
        <v>0.721518987341772</v>
      </c>
      <c r="Z12" t="s">
        <v>56</v>
      </c>
      <c r="AA12">
        <v>0.75342465753424703</v>
      </c>
      <c r="AC12" t="s">
        <v>48</v>
      </c>
      <c r="AD12">
        <v>9.7560975609756101E-2</v>
      </c>
      <c r="AE12" t="s">
        <v>49</v>
      </c>
      <c r="AF12">
        <v>0.424050632911392</v>
      </c>
      <c r="AH12">
        <v>0.66164383561643803</v>
      </c>
      <c r="AJ12">
        <v>19.489999999999998</v>
      </c>
      <c r="AK12">
        <v>2.2999999999999998</v>
      </c>
      <c r="AL12">
        <v>32.332500000000003</v>
      </c>
      <c r="AM12">
        <v>0.43</v>
      </c>
      <c r="AN12">
        <v>30.790700000000001</v>
      </c>
      <c r="AO12">
        <v>0.39</v>
      </c>
    </row>
    <row r="13" spans="1:41" x14ac:dyDescent="0.35">
      <c r="A13" t="s">
        <v>51</v>
      </c>
      <c r="B13">
        <v>0.73</v>
      </c>
      <c r="C13" t="s">
        <v>49</v>
      </c>
      <c r="D13">
        <v>1.58</v>
      </c>
      <c r="E13" t="s">
        <v>50</v>
      </c>
      <c r="F13">
        <v>0.49</v>
      </c>
      <c r="H13" t="s">
        <v>51</v>
      </c>
      <c r="I13">
        <v>1.07</v>
      </c>
      <c r="J13" t="s">
        <v>49</v>
      </c>
      <c r="K13">
        <v>1.62</v>
      </c>
      <c r="L13" t="s">
        <v>50</v>
      </c>
      <c r="M13">
        <v>0.93</v>
      </c>
      <c r="O13" t="s">
        <v>48</v>
      </c>
      <c r="P13">
        <v>86.61</v>
      </c>
      <c r="Q13" t="s">
        <v>871</v>
      </c>
      <c r="S13" t="s">
        <v>50</v>
      </c>
      <c r="T13">
        <v>33.921700000000001</v>
      </c>
      <c r="V13" t="s">
        <v>51</v>
      </c>
      <c r="W13">
        <v>0.69863013698630105</v>
      </c>
      <c r="X13" t="s">
        <v>52</v>
      </c>
      <c r="Y13">
        <v>0.63451776649746205</v>
      </c>
      <c r="Z13" t="s">
        <v>58</v>
      </c>
      <c r="AA13">
        <v>1.06</v>
      </c>
      <c r="AC13" t="s">
        <v>51</v>
      </c>
      <c r="AD13">
        <v>0.91780821917808197</v>
      </c>
      <c r="AE13" t="s">
        <v>52</v>
      </c>
      <c r="AF13">
        <v>0.45329949238578698</v>
      </c>
      <c r="AH13">
        <v>0.7</v>
      </c>
      <c r="AJ13">
        <v>8.8000000000000007</v>
      </c>
      <c r="AK13">
        <v>1.23</v>
      </c>
      <c r="AL13">
        <v>31.215699999999998</v>
      </c>
      <c r="AM13">
        <v>0.61</v>
      </c>
      <c r="AN13">
        <v>32.490400000000001</v>
      </c>
      <c r="AO13">
        <v>1.0900000000000001</v>
      </c>
    </row>
    <row r="14" spans="1:41" x14ac:dyDescent="0.35">
      <c r="A14" t="s">
        <v>54</v>
      </c>
      <c r="B14">
        <v>1.51</v>
      </c>
      <c r="C14" t="s">
        <v>52</v>
      </c>
      <c r="D14">
        <v>1.97</v>
      </c>
      <c r="E14" t="s">
        <v>53</v>
      </c>
      <c r="F14">
        <v>1.5</v>
      </c>
      <c r="H14" t="s">
        <v>54</v>
      </c>
      <c r="I14">
        <v>1.68</v>
      </c>
      <c r="J14" t="s">
        <v>52</v>
      </c>
      <c r="K14">
        <v>2.08</v>
      </c>
      <c r="L14" t="s">
        <v>53</v>
      </c>
      <c r="M14">
        <v>1.87</v>
      </c>
      <c r="O14" t="s">
        <v>51</v>
      </c>
      <c r="P14">
        <v>127.11</v>
      </c>
      <c r="Q14" t="s">
        <v>870</v>
      </c>
      <c r="S14" t="s">
        <v>53</v>
      </c>
      <c r="T14">
        <v>32.886800000000001</v>
      </c>
      <c r="V14" t="s">
        <v>54</v>
      </c>
      <c r="W14">
        <v>0.36423841059602602</v>
      </c>
      <c r="X14" t="s">
        <v>55</v>
      </c>
      <c r="Y14">
        <v>0.565217391304348</v>
      </c>
      <c r="Z14" t="s">
        <v>61</v>
      </c>
      <c r="AA14">
        <v>1.6315789473684199</v>
      </c>
      <c r="AC14" t="s">
        <v>54</v>
      </c>
      <c r="AD14">
        <v>0.19867549668874199</v>
      </c>
      <c r="AE14" t="s">
        <v>55</v>
      </c>
      <c r="AF14">
        <v>0.31677018633540399</v>
      </c>
      <c r="AH14">
        <v>0.63157894736842102</v>
      </c>
      <c r="AJ14">
        <v>9.73</v>
      </c>
      <c r="AK14">
        <v>1.07</v>
      </c>
      <c r="AL14">
        <v>30.893999999999998</v>
      </c>
      <c r="AM14">
        <v>1.62</v>
      </c>
      <c r="AN14">
        <v>12.481299999999999</v>
      </c>
      <c r="AO14">
        <v>0.93</v>
      </c>
    </row>
    <row r="15" spans="1:41" x14ac:dyDescent="0.35">
      <c r="A15" t="s">
        <v>59</v>
      </c>
      <c r="B15">
        <v>0.22</v>
      </c>
      <c r="C15" t="s">
        <v>55</v>
      </c>
      <c r="D15">
        <v>1.6</v>
      </c>
      <c r="E15" t="s">
        <v>56</v>
      </c>
      <c r="F15">
        <v>0.73</v>
      </c>
      <c r="H15" t="s">
        <v>59</v>
      </c>
      <c r="I15">
        <v>0.59</v>
      </c>
      <c r="J15" t="s">
        <v>55</v>
      </c>
      <c r="K15">
        <v>1.6</v>
      </c>
      <c r="L15" t="s">
        <v>56</v>
      </c>
      <c r="M15">
        <v>1.06</v>
      </c>
      <c r="O15" t="s">
        <v>54</v>
      </c>
      <c r="P15">
        <v>33.814100000000003</v>
      </c>
      <c r="Q15" t="s">
        <v>49</v>
      </c>
      <c r="R15">
        <v>64.186899999999994</v>
      </c>
      <c r="S15" t="s">
        <v>56</v>
      </c>
      <c r="T15">
        <v>31.3292</v>
      </c>
      <c r="V15" t="s">
        <v>59</v>
      </c>
      <c r="W15">
        <v>0.86363636363636398</v>
      </c>
      <c r="X15" t="s">
        <v>57</v>
      </c>
      <c r="Y15">
        <v>1.0377358490566</v>
      </c>
      <c r="Z15" t="s">
        <v>64</v>
      </c>
      <c r="AA15">
        <v>0.33333333333333298</v>
      </c>
      <c r="AC15" t="s">
        <v>59</v>
      </c>
      <c r="AD15">
        <v>1.13636363636364</v>
      </c>
      <c r="AE15" t="s">
        <v>57</v>
      </c>
      <c r="AF15">
        <v>0.679245283018868</v>
      </c>
      <c r="AH15">
        <v>1.86666666666667</v>
      </c>
      <c r="AJ15">
        <v>14.63</v>
      </c>
      <c r="AK15">
        <v>1.68</v>
      </c>
      <c r="AL15">
        <v>30.7682</v>
      </c>
      <c r="AM15">
        <v>2.08</v>
      </c>
      <c r="AN15">
        <v>38.144799999999996</v>
      </c>
      <c r="AO15">
        <v>1.87</v>
      </c>
    </row>
    <row r="16" spans="1:41" x14ac:dyDescent="0.35">
      <c r="A16" t="s">
        <v>62</v>
      </c>
      <c r="B16">
        <v>1.44</v>
      </c>
      <c r="C16" t="s">
        <v>57</v>
      </c>
      <c r="D16">
        <v>0.53</v>
      </c>
      <c r="E16" t="s">
        <v>58</v>
      </c>
      <c r="F16">
        <v>0.5</v>
      </c>
      <c r="H16" t="s">
        <v>62</v>
      </c>
      <c r="I16">
        <v>1.44</v>
      </c>
      <c r="J16" t="s">
        <v>57</v>
      </c>
      <c r="K16">
        <v>0.67</v>
      </c>
      <c r="L16" t="s">
        <v>58</v>
      </c>
      <c r="M16">
        <v>0.67</v>
      </c>
      <c r="O16">
        <v>180122</v>
      </c>
      <c r="Q16" t="s">
        <v>52</v>
      </c>
      <c r="R16">
        <v>123.014</v>
      </c>
      <c r="S16" t="s">
        <v>58</v>
      </c>
      <c r="T16">
        <v>29.8626</v>
      </c>
      <c r="V16" t="s">
        <v>62</v>
      </c>
      <c r="W16">
        <v>0.28767123287671198</v>
      </c>
      <c r="X16" t="s">
        <v>60</v>
      </c>
      <c r="Y16">
        <v>1.23780487804878</v>
      </c>
      <c r="Z16" t="s">
        <v>67</v>
      </c>
      <c r="AA16">
        <v>0.75862068965517204</v>
      </c>
      <c r="AC16" t="s">
        <v>62</v>
      </c>
      <c r="AD16">
        <v>0.22602739726027399</v>
      </c>
      <c r="AE16" t="s">
        <v>60</v>
      </c>
      <c r="AF16">
        <v>0.77439024390243905</v>
      </c>
      <c r="AH16">
        <v>0.48275862068965503</v>
      </c>
      <c r="AJ16">
        <v>8.1699999999999893</v>
      </c>
      <c r="AK16">
        <v>0.59</v>
      </c>
      <c r="AL16">
        <v>29.953700000000001</v>
      </c>
      <c r="AM16">
        <v>1.6</v>
      </c>
      <c r="AN16">
        <v>9.7702000000000009</v>
      </c>
      <c r="AO16">
        <v>1.06</v>
      </c>
    </row>
    <row r="17" spans="1:41" x14ac:dyDescent="0.35">
      <c r="A17" t="s">
        <v>71</v>
      </c>
      <c r="B17">
        <v>0.81</v>
      </c>
      <c r="C17" t="s">
        <v>60</v>
      </c>
      <c r="D17">
        <v>1.64</v>
      </c>
      <c r="E17" t="s">
        <v>61</v>
      </c>
      <c r="F17">
        <v>0.38</v>
      </c>
      <c r="H17" t="s">
        <v>71</v>
      </c>
      <c r="I17">
        <v>1.42</v>
      </c>
      <c r="J17" t="s">
        <v>60</v>
      </c>
      <c r="K17" s="9">
        <v>1.78</v>
      </c>
      <c r="L17" t="s">
        <v>61</v>
      </c>
      <c r="M17">
        <v>0.63</v>
      </c>
      <c r="O17" t="s">
        <v>59</v>
      </c>
      <c r="P17">
        <v>16.89</v>
      </c>
      <c r="Q17" t="s">
        <v>55</v>
      </c>
      <c r="R17">
        <v>107.78</v>
      </c>
      <c r="S17" t="s">
        <v>61</v>
      </c>
      <c r="T17">
        <v>28.8432</v>
      </c>
      <c r="V17" t="s">
        <v>71</v>
      </c>
      <c r="W17">
        <v>0.74074074074074103</v>
      </c>
      <c r="X17" t="s">
        <v>63</v>
      </c>
      <c r="Y17">
        <v>0.55058139534883699</v>
      </c>
      <c r="Z17" t="s">
        <v>70</v>
      </c>
      <c r="AA17">
        <v>0.76086956521739102</v>
      </c>
      <c r="AC17" t="s">
        <v>71</v>
      </c>
      <c r="AD17">
        <v>0.48148148148148101</v>
      </c>
      <c r="AE17" t="s">
        <v>63</v>
      </c>
      <c r="AF17">
        <v>0.36627906976744201</v>
      </c>
      <c r="AH17">
        <v>0.77173913043478204</v>
      </c>
      <c r="AJ17">
        <v>12.48</v>
      </c>
      <c r="AK17">
        <v>1.44</v>
      </c>
      <c r="AL17">
        <v>29.904599999999999</v>
      </c>
      <c r="AM17">
        <v>0.67</v>
      </c>
      <c r="AN17">
        <v>9.3841999999999999</v>
      </c>
      <c r="AO17">
        <v>0.67</v>
      </c>
    </row>
    <row r="18" spans="1:41" x14ac:dyDescent="0.35">
      <c r="A18" t="s">
        <v>74</v>
      </c>
      <c r="B18">
        <v>0.69</v>
      </c>
      <c r="C18" t="s">
        <v>63</v>
      </c>
      <c r="D18">
        <v>1.72</v>
      </c>
      <c r="E18" t="s">
        <v>64</v>
      </c>
      <c r="F18">
        <v>0.15</v>
      </c>
      <c r="H18" t="s">
        <v>74</v>
      </c>
      <c r="I18">
        <v>1.38</v>
      </c>
      <c r="J18" t="s">
        <v>63</v>
      </c>
      <c r="K18">
        <v>1.73</v>
      </c>
      <c r="L18" t="s">
        <v>64</v>
      </c>
      <c r="M18">
        <v>0.43</v>
      </c>
      <c r="O18" t="s">
        <v>62</v>
      </c>
      <c r="P18">
        <v>45.333599999999997</v>
      </c>
      <c r="Q18" t="s">
        <v>57</v>
      </c>
      <c r="R18">
        <v>39.004100000000001</v>
      </c>
      <c r="S18" t="s">
        <v>64</v>
      </c>
      <c r="T18">
        <v>28.712800000000001</v>
      </c>
      <c r="V18" t="s">
        <v>74</v>
      </c>
      <c r="W18">
        <v>0.57971014492753603</v>
      </c>
      <c r="X18" t="s">
        <v>72</v>
      </c>
      <c r="Y18">
        <v>1.0693641618497101</v>
      </c>
      <c r="Z18" t="s">
        <v>73</v>
      </c>
      <c r="AA18">
        <v>0.42307692307692302</v>
      </c>
      <c r="AC18" t="s">
        <v>74</v>
      </c>
      <c r="AD18">
        <v>0.31884057971014501</v>
      </c>
      <c r="AE18" t="s">
        <v>72</v>
      </c>
      <c r="AF18">
        <v>0.47398843930635798</v>
      </c>
      <c r="AH18">
        <v>0.63461538461538503</v>
      </c>
      <c r="AJ18">
        <v>20.63</v>
      </c>
      <c r="AK18">
        <v>1.42</v>
      </c>
      <c r="AL18">
        <v>29.526949999999999</v>
      </c>
      <c r="AM18" s="9">
        <v>1.78</v>
      </c>
      <c r="AN18">
        <v>12.352399999999999</v>
      </c>
      <c r="AO18">
        <v>0.63</v>
      </c>
    </row>
    <row r="19" spans="1:41" x14ac:dyDescent="0.35">
      <c r="A19" t="s">
        <v>77</v>
      </c>
      <c r="B19">
        <v>0.84</v>
      </c>
      <c r="C19" t="s">
        <v>72</v>
      </c>
      <c r="D19">
        <v>1.73</v>
      </c>
      <c r="E19" t="s">
        <v>67</v>
      </c>
      <c r="F19">
        <v>0.28999999999999998</v>
      </c>
      <c r="H19" t="s">
        <v>77</v>
      </c>
      <c r="I19">
        <v>0.93</v>
      </c>
      <c r="J19" t="s">
        <v>72</v>
      </c>
      <c r="K19">
        <v>1.73</v>
      </c>
      <c r="L19" t="s">
        <v>67</v>
      </c>
      <c r="M19">
        <v>0.43</v>
      </c>
      <c r="O19" t="s">
        <v>65</v>
      </c>
      <c r="Q19" t="s">
        <v>60</v>
      </c>
      <c r="R19">
        <v>113.86</v>
      </c>
      <c r="S19" t="s">
        <v>67</v>
      </c>
      <c r="T19">
        <v>26.057500000000001</v>
      </c>
      <c r="V19" t="s">
        <v>77</v>
      </c>
      <c r="W19">
        <v>0.38095238095238099</v>
      </c>
      <c r="X19" t="s">
        <v>80</v>
      </c>
      <c r="Y19">
        <v>0.53947368421052599</v>
      </c>
      <c r="Z19" t="s">
        <v>76</v>
      </c>
      <c r="AA19">
        <v>0.5</v>
      </c>
      <c r="AC19" t="s">
        <v>77</v>
      </c>
      <c r="AD19">
        <v>0.5</v>
      </c>
      <c r="AE19" t="s">
        <v>80</v>
      </c>
      <c r="AF19">
        <v>0</v>
      </c>
      <c r="AH19">
        <v>0.52</v>
      </c>
      <c r="AJ19">
        <v>29.3</v>
      </c>
      <c r="AK19">
        <v>1.38</v>
      </c>
      <c r="AL19">
        <v>28.758900000000001</v>
      </c>
      <c r="AM19">
        <v>1.73</v>
      </c>
      <c r="AN19">
        <v>19.9023</v>
      </c>
      <c r="AO19">
        <v>0.43</v>
      </c>
    </row>
    <row r="20" spans="1:41" x14ac:dyDescent="0.35">
      <c r="A20" t="s">
        <v>79</v>
      </c>
      <c r="B20">
        <v>0.17</v>
      </c>
      <c r="C20" t="s">
        <v>80</v>
      </c>
      <c r="D20">
        <v>0.76</v>
      </c>
      <c r="E20" t="s">
        <v>70</v>
      </c>
      <c r="F20">
        <v>0.92</v>
      </c>
      <c r="H20" t="s">
        <v>79</v>
      </c>
      <c r="I20">
        <v>0.52</v>
      </c>
      <c r="J20" t="s">
        <v>80</v>
      </c>
      <c r="K20">
        <v>0.77</v>
      </c>
      <c r="L20" t="s">
        <v>70</v>
      </c>
      <c r="M20">
        <v>1.52</v>
      </c>
      <c r="O20" t="s">
        <v>68</v>
      </c>
      <c r="Q20" t="s">
        <v>63</v>
      </c>
      <c r="R20">
        <v>75.603800000000007</v>
      </c>
      <c r="S20" t="s">
        <v>70</v>
      </c>
      <c r="T20">
        <v>25.6846</v>
      </c>
      <c r="V20" t="s">
        <v>79</v>
      </c>
      <c r="W20">
        <v>0.88235294117647101</v>
      </c>
      <c r="X20" t="s">
        <v>82</v>
      </c>
      <c r="Y20">
        <v>0.89024390243902396</v>
      </c>
      <c r="Z20" t="s">
        <v>357</v>
      </c>
      <c r="AA20">
        <v>1.3529411764705901</v>
      </c>
      <c r="AC20" t="s">
        <v>79</v>
      </c>
      <c r="AD20">
        <v>0.47058823529411797</v>
      </c>
      <c r="AE20" t="s">
        <v>82</v>
      </c>
      <c r="AF20">
        <v>0.75609756097560998</v>
      </c>
      <c r="AH20">
        <v>1.1176470588235301</v>
      </c>
      <c r="AJ20">
        <v>20.21</v>
      </c>
      <c r="AK20">
        <v>0.93</v>
      </c>
      <c r="AL20">
        <v>28.666799999999999</v>
      </c>
      <c r="AM20">
        <v>1.73</v>
      </c>
      <c r="AN20">
        <v>20.155100000000001</v>
      </c>
      <c r="AO20">
        <v>0.43</v>
      </c>
    </row>
    <row r="21" spans="1:41" x14ac:dyDescent="0.35">
      <c r="A21" t="s">
        <v>81</v>
      </c>
      <c r="B21">
        <v>0.65</v>
      </c>
      <c r="C21" t="s">
        <v>82</v>
      </c>
      <c r="D21">
        <v>0.9</v>
      </c>
      <c r="E21" t="s">
        <v>73</v>
      </c>
      <c r="F21">
        <v>0.52</v>
      </c>
      <c r="H21" t="s">
        <v>81</v>
      </c>
      <c r="I21">
        <v>1.1399999999999999</v>
      </c>
      <c r="J21" t="s">
        <v>82</v>
      </c>
      <c r="K21">
        <v>0.9</v>
      </c>
      <c r="L21" t="s">
        <v>73</v>
      </c>
      <c r="M21" s="8">
        <v>0.81</v>
      </c>
      <c r="O21" t="s">
        <v>71</v>
      </c>
      <c r="P21">
        <v>70.53</v>
      </c>
      <c r="Q21" t="s">
        <v>903</v>
      </c>
      <c r="S21" t="s">
        <v>73</v>
      </c>
      <c r="T21">
        <v>5.9818300000000004</v>
      </c>
      <c r="V21" t="s">
        <v>81</v>
      </c>
      <c r="W21">
        <v>0.81538461538461504</v>
      </c>
      <c r="X21" t="s">
        <v>84</v>
      </c>
      <c r="Y21">
        <v>1.56603773584906</v>
      </c>
      <c r="Z21" t="s">
        <v>361</v>
      </c>
      <c r="AA21">
        <v>0.86792452830188704</v>
      </c>
      <c r="AC21" t="s">
        <v>81</v>
      </c>
      <c r="AD21">
        <v>0.84615384615384603</v>
      </c>
      <c r="AE21" t="s">
        <v>84</v>
      </c>
      <c r="AF21">
        <v>0.41509433962264097</v>
      </c>
      <c r="AH21">
        <v>0.83018867924528295</v>
      </c>
      <c r="AJ21">
        <v>25.59</v>
      </c>
      <c r="AK21">
        <v>0.52</v>
      </c>
      <c r="AL21">
        <v>28.532499999999999</v>
      </c>
      <c r="AM21">
        <v>0.77</v>
      </c>
      <c r="AN21">
        <v>16.878799999999998</v>
      </c>
      <c r="AO21">
        <v>1.52</v>
      </c>
    </row>
    <row r="22" spans="1:41" ht="13.15" x14ac:dyDescent="0.4">
      <c r="A22" t="s">
        <v>83</v>
      </c>
      <c r="B22">
        <v>0.73</v>
      </c>
      <c r="C22" t="s">
        <v>84</v>
      </c>
      <c r="D22">
        <v>1.26</v>
      </c>
      <c r="E22" t="s">
        <v>76</v>
      </c>
      <c r="F22">
        <v>0.2</v>
      </c>
      <c r="H22" t="s">
        <v>83</v>
      </c>
      <c r="I22">
        <v>2.12</v>
      </c>
      <c r="J22" t="s">
        <v>84</v>
      </c>
      <c r="K22">
        <v>1.26</v>
      </c>
      <c r="L22" t="s">
        <v>76</v>
      </c>
      <c r="M22">
        <v>0.48</v>
      </c>
      <c r="O22" t="s">
        <v>74</v>
      </c>
      <c r="P22">
        <v>114.75</v>
      </c>
      <c r="Q22" t="s">
        <v>66</v>
      </c>
      <c r="T22" s="1">
        <f>AVERAGE(T7:T21)</f>
        <v>46.969655333333336</v>
      </c>
      <c r="V22" t="s">
        <v>83</v>
      </c>
      <c r="W22">
        <v>0.58904109589041098</v>
      </c>
      <c r="Y22" s="1">
        <f>AVERAGE(Y7:Y21)</f>
        <v>0.76660634458252086</v>
      </c>
      <c r="Z22" t="s">
        <v>365</v>
      </c>
      <c r="AA22">
        <v>0.56363636363636405</v>
      </c>
      <c r="AC22" t="s">
        <v>83</v>
      </c>
      <c r="AD22">
        <v>0.67123287671232901</v>
      </c>
      <c r="AF22" s="1">
        <f>AVERAGE(AF7:AF21)</f>
        <v>0.42816079120237949</v>
      </c>
      <c r="AH22">
        <v>0.41818181818181799</v>
      </c>
      <c r="AJ22">
        <v>12.05</v>
      </c>
      <c r="AK22">
        <v>1.1399999999999999</v>
      </c>
      <c r="AL22">
        <v>28.409800000000001</v>
      </c>
      <c r="AM22">
        <v>0.9</v>
      </c>
      <c r="AN22">
        <v>18.934699999999999</v>
      </c>
      <c r="AO22" s="8">
        <v>0.81</v>
      </c>
    </row>
    <row r="23" spans="1:41" ht="13.15" x14ac:dyDescent="0.4">
      <c r="A23" t="s">
        <v>85</v>
      </c>
      <c r="B23">
        <v>1.96</v>
      </c>
      <c r="C23" s="19"/>
      <c r="D23" s="1">
        <f>AVERAGE(D7:D22)</f>
        <v>1.3471250000000001</v>
      </c>
      <c r="E23" t="s">
        <v>357</v>
      </c>
      <c r="F23">
        <v>0.17</v>
      </c>
      <c r="H23" t="s">
        <v>85</v>
      </c>
      <c r="I23">
        <v>2.2000000000000002</v>
      </c>
      <c r="J23" t="s">
        <v>397</v>
      </c>
      <c r="K23" s="1">
        <f>AVERAGE(K7:K22)</f>
        <v>1.4393750000000001</v>
      </c>
      <c r="L23" t="s">
        <v>357</v>
      </c>
      <c r="M23">
        <v>0.54</v>
      </c>
      <c r="O23" t="s">
        <v>77</v>
      </c>
      <c r="P23">
        <v>63.918999999999997</v>
      </c>
      <c r="Q23" t="s">
        <v>69</v>
      </c>
      <c r="T23" s="1">
        <f>STDEV(T7:T22)</f>
        <v>29.713269705376835</v>
      </c>
      <c r="V23" t="s">
        <v>85</v>
      </c>
      <c r="W23">
        <v>0.50510204081632604</v>
      </c>
      <c r="Y23" s="1">
        <f>STDEV(Y7:Y21)</f>
        <v>0.37474119584406623</v>
      </c>
      <c r="Z23" t="s">
        <v>369</v>
      </c>
      <c r="AA23">
        <v>0.238095238095238</v>
      </c>
      <c r="AC23" t="s">
        <v>85</v>
      </c>
      <c r="AD23">
        <v>0.50510204081632604</v>
      </c>
      <c r="AF23" s="1">
        <f>STDEV(AF7:AF21)</f>
        <v>0.21368757434157451</v>
      </c>
      <c r="AH23">
        <v>0.476190476190476</v>
      </c>
      <c r="AJ23">
        <v>22.73</v>
      </c>
      <c r="AK23">
        <v>2.12</v>
      </c>
      <c r="AL23">
        <v>28.3643</v>
      </c>
      <c r="AM23">
        <v>1.26</v>
      </c>
      <c r="AN23">
        <v>13.276899999999999</v>
      </c>
      <c r="AO23">
        <v>0.48</v>
      </c>
    </row>
    <row r="24" spans="1:41" ht="13.15" x14ac:dyDescent="0.4">
      <c r="A24" t="s">
        <v>86</v>
      </c>
      <c r="B24">
        <v>2.93</v>
      </c>
      <c r="D24" s="1">
        <f>STDEV(D7:D22)</f>
        <v>1.1061339204635217</v>
      </c>
      <c r="E24" t="s">
        <v>361</v>
      </c>
      <c r="F24" s="8">
        <v>0.53</v>
      </c>
      <c r="H24" t="s">
        <v>86</v>
      </c>
      <c r="I24">
        <v>2.93</v>
      </c>
      <c r="J24" t="s">
        <v>281</v>
      </c>
      <c r="K24" s="1">
        <f>STDEV(K7:K22)</f>
        <v>1.0502854770648471</v>
      </c>
      <c r="L24" t="s">
        <v>361</v>
      </c>
      <c r="M24" s="8">
        <v>0.95</v>
      </c>
      <c r="O24" t="s">
        <v>79</v>
      </c>
      <c r="P24">
        <v>13.8733</v>
      </c>
      <c r="Q24" t="s">
        <v>72</v>
      </c>
      <c r="T24" s="1">
        <f>STDEV(T7:T22)/SQRT(15)</f>
        <v>7.6719332486862557</v>
      </c>
      <c r="V24" t="s">
        <v>86</v>
      </c>
      <c r="W24">
        <v>0.47781569965870302</v>
      </c>
      <c r="Y24" s="1">
        <f>STDEV(Y8:Y22)/SQRT(15)</f>
        <v>9.5458839597761233E-2</v>
      </c>
      <c r="Z24" t="s">
        <v>373</v>
      </c>
      <c r="AA24">
        <v>0.469135802469136</v>
      </c>
      <c r="AC24" t="s">
        <v>86</v>
      </c>
      <c r="AD24">
        <v>0.20136518771331099</v>
      </c>
      <c r="AF24" s="1">
        <f>STDEV(AF8:AF22)/SQRT(15)</f>
        <v>5.4959274974489464E-2</v>
      </c>
      <c r="AH24">
        <v>0.19753086419753099</v>
      </c>
      <c r="AJ24">
        <v>25.84</v>
      </c>
      <c r="AK24">
        <v>2.2000000000000002</v>
      </c>
      <c r="AL24">
        <v>28.1434</v>
      </c>
      <c r="AM24" s="1">
        <f>AVERAGE(AM8:AM23)</f>
        <v>1.4393750000000001</v>
      </c>
      <c r="AN24">
        <v>14.048299999999999</v>
      </c>
      <c r="AO24">
        <v>0.54</v>
      </c>
    </row>
    <row r="25" spans="1:41" ht="13.15" x14ac:dyDescent="0.4">
      <c r="A25" t="s">
        <v>88</v>
      </c>
      <c r="B25">
        <v>0.32</v>
      </c>
      <c r="D25" s="1">
        <f>STDEV(D7:D22)/SQRT(16)</f>
        <v>0.27653348011588041</v>
      </c>
      <c r="E25" t="s">
        <v>365</v>
      </c>
      <c r="F25" s="8">
        <v>1.1000000000000001</v>
      </c>
      <c r="H25" t="s">
        <v>88</v>
      </c>
      <c r="I25">
        <v>1.71</v>
      </c>
      <c r="J25" t="s">
        <v>284</v>
      </c>
      <c r="K25" s="1">
        <f>STDEV(K7:K22)/SQRT(16)</f>
        <v>0.26257136926621177</v>
      </c>
      <c r="L25" t="s">
        <v>365</v>
      </c>
      <c r="M25" s="8">
        <v>1.18</v>
      </c>
      <c r="O25" t="s">
        <v>81</v>
      </c>
      <c r="P25">
        <v>86.506699999999995</v>
      </c>
      <c r="Q25" t="s">
        <v>75</v>
      </c>
      <c r="V25" t="s">
        <v>88</v>
      </c>
      <c r="W25">
        <v>2.875</v>
      </c>
      <c r="Z25" t="s">
        <v>377</v>
      </c>
      <c r="AA25">
        <v>0.38636363636363602</v>
      </c>
      <c r="AC25" t="s">
        <v>88</v>
      </c>
      <c r="AD25">
        <v>1.34375</v>
      </c>
      <c r="AH25">
        <v>0.26136363636363602</v>
      </c>
      <c r="AJ25">
        <v>12.74</v>
      </c>
      <c r="AK25">
        <v>2.93</v>
      </c>
      <c r="AL25">
        <v>27.837900000000001</v>
      </c>
      <c r="AN25">
        <v>8.2209000000000003</v>
      </c>
      <c r="AO25" s="8">
        <v>0.95</v>
      </c>
    </row>
    <row r="26" spans="1:41" x14ac:dyDescent="0.35">
      <c r="A26" t="s">
        <v>89</v>
      </c>
      <c r="B26">
        <v>1.01</v>
      </c>
      <c r="E26" t="s">
        <v>369</v>
      </c>
      <c r="F26">
        <v>0.42</v>
      </c>
      <c r="H26" t="s">
        <v>89</v>
      </c>
      <c r="I26">
        <v>1.52</v>
      </c>
      <c r="L26" t="s">
        <v>369</v>
      </c>
      <c r="M26" s="8">
        <v>0.8</v>
      </c>
      <c r="O26" t="s">
        <v>83</v>
      </c>
      <c r="P26">
        <v>48.069699999999997</v>
      </c>
      <c r="Q26" t="s">
        <v>78</v>
      </c>
      <c r="V26" t="s">
        <v>89</v>
      </c>
      <c r="W26">
        <v>0.524752475247525</v>
      </c>
      <c r="Z26" t="s">
        <v>1165</v>
      </c>
      <c r="AA26">
        <v>0.31976744186046502</v>
      </c>
      <c r="AC26" t="s">
        <v>89</v>
      </c>
      <c r="AD26">
        <v>0.34653465346534701</v>
      </c>
      <c r="AH26">
        <v>0.209302325581395</v>
      </c>
      <c r="AJ26">
        <v>9.93</v>
      </c>
      <c r="AK26">
        <v>1.71</v>
      </c>
      <c r="AL26">
        <v>27.764099999999999</v>
      </c>
      <c r="AN26">
        <v>9.7326999999999995</v>
      </c>
      <c r="AO26" s="8">
        <v>1.18</v>
      </c>
    </row>
    <row r="27" spans="1:41" ht="13.15" x14ac:dyDescent="0.4">
      <c r="A27" t="s">
        <v>90</v>
      </c>
      <c r="B27">
        <v>2.9</v>
      </c>
      <c r="D27" s="1"/>
      <c r="E27" t="s">
        <v>410</v>
      </c>
      <c r="F27">
        <v>0.4</v>
      </c>
      <c r="H27" t="s">
        <v>90</v>
      </c>
      <c r="I27">
        <v>2.9</v>
      </c>
      <c r="L27" t="s">
        <v>410</v>
      </c>
      <c r="M27">
        <v>0.56000000000000005</v>
      </c>
      <c r="O27" t="s">
        <v>85</v>
      </c>
      <c r="P27">
        <v>60.874099999999999</v>
      </c>
      <c r="Q27" t="s">
        <v>80</v>
      </c>
      <c r="V27" t="s">
        <v>90</v>
      </c>
      <c r="W27">
        <v>0.38356164383561597</v>
      </c>
      <c r="Z27" t="s">
        <v>1166</v>
      </c>
      <c r="AA27">
        <v>0.72789115646258495</v>
      </c>
      <c r="AC27" t="s">
        <v>90</v>
      </c>
      <c r="AD27">
        <v>0.106164383561644</v>
      </c>
      <c r="AH27">
        <v>0.44897959183673503</v>
      </c>
      <c r="AJ27">
        <v>11.99</v>
      </c>
      <c r="AK27">
        <v>1.52</v>
      </c>
      <c r="AL27">
        <v>27.762499999999999</v>
      </c>
      <c r="AN27">
        <v>7.4295999999999998</v>
      </c>
      <c r="AO27" s="8">
        <v>0.8</v>
      </c>
    </row>
    <row r="28" spans="1:41" ht="13.15" x14ac:dyDescent="0.4">
      <c r="A28" t="s">
        <v>91</v>
      </c>
      <c r="B28">
        <v>0.72</v>
      </c>
      <c r="D28" s="1"/>
      <c r="E28" t="s">
        <v>373</v>
      </c>
      <c r="F28">
        <v>0.81</v>
      </c>
      <c r="H28" t="s">
        <v>91</v>
      </c>
      <c r="I28">
        <v>1.02</v>
      </c>
      <c r="L28" t="s">
        <v>373</v>
      </c>
      <c r="M28">
        <v>0.98</v>
      </c>
      <c r="O28" t="s">
        <v>86</v>
      </c>
      <c r="P28">
        <v>44.1676</v>
      </c>
      <c r="Q28" t="s">
        <v>82</v>
      </c>
      <c r="V28" t="s">
        <v>91</v>
      </c>
      <c r="W28">
        <v>0.45833333333333298</v>
      </c>
      <c r="AA28" s="1">
        <f>AVERAGE(AA7:AA27)</f>
        <v>0.79312602453986092</v>
      </c>
      <c r="AC28" t="s">
        <v>91</v>
      </c>
      <c r="AD28">
        <v>0.22222222222222199</v>
      </c>
      <c r="AH28">
        <v>0.63980056281359998</v>
      </c>
      <c r="AJ28">
        <v>8.7200000000000006</v>
      </c>
      <c r="AK28">
        <v>2.9</v>
      </c>
      <c r="AL28">
        <v>27.688300000000002</v>
      </c>
      <c r="AN28">
        <v>12.389699999999999</v>
      </c>
      <c r="AO28">
        <v>0.56000000000000005</v>
      </c>
    </row>
    <row r="29" spans="1:41" ht="13.15" x14ac:dyDescent="0.4">
      <c r="A29" t="s">
        <v>92</v>
      </c>
      <c r="B29">
        <v>3.34</v>
      </c>
      <c r="D29" s="1"/>
      <c r="E29" t="s">
        <v>377</v>
      </c>
      <c r="F29">
        <v>0.88</v>
      </c>
      <c r="H29" t="s">
        <v>92</v>
      </c>
      <c r="I29">
        <v>3.66</v>
      </c>
      <c r="L29" t="s">
        <v>377</v>
      </c>
      <c r="M29">
        <v>1.75</v>
      </c>
      <c r="O29" t="s">
        <v>87</v>
      </c>
      <c r="Q29" t="s">
        <v>84</v>
      </c>
      <c r="V29" t="s">
        <v>92</v>
      </c>
      <c r="W29">
        <v>0.55688622754491002</v>
      </c>
      <c r="AA29" s="1">
        <f>STDEV(AA7:AA28)</f>
        <v>0.46368402015587101</v>
      </c>
      <c r="AC29" t="s">
        <v>92</v>
      </c>
      <c r="AD29">
        <v>0.30239520958083799</v>
      </c>
      <c r="AH29" s="1">
        <f>AVERAGE(AH7:AH28)</f>
        <v>0.67026725628091444</v>
      </c>
      <c r="AJ29">
        <v>13.76</v>
      </c>
      <c r="AK29">
        <v>1.02</v>
      </c>
      <c r="AL29">
        <v>27.653500000000001</v>
      </c>
      <c r="AN29">
        <v>29.9419</v>
      </c>
      <c r="AO29">
        <v>0.98</v>
      </c>
    </row>
    <row r="30" spans="1:41" ht="13.15" x14ac:dyDescent="0.4">
      <c r="A30" t="s">
        <v>93</v>
      </c>
      <c r="B30">
        <v>2.1</v>
      </c>
      <c r="E30" t="s">
        <v>420</v>
      </c>
      <c r="F30">
        <v>1.47</v>
      </c>
      <c r="H30" t="s">
        <v>93</v>
      </c>
      <c r="I30">
        <v>2.5</v>
      </c>
      <c r="L30" t="s">
        <v>420</v>
      </c>
      <c r="M30">
        <v>1.66</v>
      </c>
      <c r="O30" t="s">
        <v>88</v>
      </c>
      <c r="P30">
        <v>42.044499999999999</v>
      </c>
      <c r="R30" s="1">
        <f>AVERAGE(R7:R20)</f>
        <v>87.048172727272728</v>
      </c>
      <c r="V30" t="s">
        <v>93</v>
      </c>
      <c r="W30">
        <v>0.42380952380952402</v>
      </c>
      <c r="AA30" s="1">
        <f>STDEV(AA8:AA29)/SQRT(21)</f>
        <v>7.9071977744299304E-2</v>
      </c>
      <c r="AC30" t="s">
        <v>93</v>
      </c>
      <c r="AD30">
        <v>0.452380952380952</v>
      </c>
      <c r="AJ30">
        <v>18.749199999999998</v>
      </c>
      <c r="AK30">
        <v>3.66</v>
      </c>
      <c r="AL30">
        <v>27.208100000000002</v>
      </c>
      <c r="AN30">
        <v>8.3805999999999905</v>
      </c>
      <c r="AO30">
        <v>1.75</v>
      </c>
    </row>
    <row r="31" spans="1:41" ht="13.15" x14ac:dyDescent="0.4">
      <c r="A31" t="s">
        <v>94</v>
      </c>
      <c r="B31">
        <v>0.63</v>
      </c>
      <c r="E31" t="s">
        <v>424</v>
      </c>
      <c r="F31">
        <v>1.72</v>
      </c>
      <c r="H31" t="s">
        <v>94</v>
      </c>
      <c r="I31">
        <v>1.02</v>
      </c>
      <c r="L31" t="s">
        <v>424</v>
      </c>
      <c r="M31">
        <v>1.76</v>
      </c>
      <c r="O31" t="s">
        <v>89</v>
      </c>
      <c r="P31">
        <v>67.805499999999995</v>
      </c>
      <c r="R31" s="1">
        <f>STDEV(R7:R20)</f>
        <v>31.872332168389914</v>
      </c>
      <c r="V31" t="s">
        <v>94</v>
      </c>
      <c r="W31">
        <v>0.30158730158730201</v>
      </c>
      <c r="AC31" t="s">
        <v>94</v>
      </c>
      <c r="AD31">
        <v>0.238095238095238</v>
      </c>
      <c r="AJ31">
        <v>11.9109</v>
      </c>
      <c r="AK31">
        <v>2.5</v>
      </c>
      <c r="AL31">
        <v>26.936599999999999</v>
      </c>
      <c r="AM31" s="1"/>
      <c r="AN31">
        <v>8.0699000000000005</v>
      </c>
      <c r="AO31">
        <v>1.66</v>
      </c>
    </row>
    <row r="32" spans="1:41" ht="13.15" x14ac:dyDescent="0.4">
      <c r="A32" t="s">
        <v>95</v>
      </c>
      <c r="B32">
        <v>2.5</v>
      </c>
      <c r="F32" s="1">
        <f>AVERAGE(F7:F31)</f>
        <v>0.6081200000000001</v>
      </c>
      <c r="H32" t="s">
        <v>95</v>
      </c>
      <c r="I32">
        <v>3.03</v>
      </c>
      <c r="L32" t="s">
        <v>397</v>
      </c>
      <c r="M32" s="1">
        <f>AVERAGE(M7:M31)</f>
        <v>0.90920000000000001</v>
      </c>
      <c r="O32" t="s">
        <v>90</v>
      </c>
      <c r="P32">
        <v>107.958</v>
      </c>
      <c r="R32" s="1">
        <f>STDEV(R7:R20)/SQRT(11)</f>
        <v>9.6098697269203512</v>
      </c>
      <c r="V32" t="s">
        <v>95</v>
      </c>
      <c r="W32">
        <v>0.52800000000000002</v>
      </c>
      <c r="AC32" t="s">
        <v>95</v>
      </c>
      <c r="AD32">
        <v>0.14399999999999999</v>
      </c>
      <c r="AJ32">
        <v>12.0435</v>
      </c>
      <c r="AK32">
        <v>1.02</v>
      </c>
      <c r="AL32">
        <v>26.650099999999998</v>
      </c>
      <c r="AN32">
        <v>34.347299999999997</v>
      </c>
      <c r="AO32">
        <v>1.76</v>
      </c>
    </row>
    <row r="33" spans="1:41" ht="13.15" x14ac:dyDescent="0.4">
      <c r="A33" t="s">
        <v>96</v>
      </c>
      <c r="B33">
        <v>2.5099999999999998</v>
      </c>
      <c r="F33" s="1">
        <f>STDEV(F7:F31)</f>
        <v>0.4564775752067855</v>
      </c>
      <c r="H33" t="s">
        <v>96</v>
      </c>
      <c r="I33">
        <v>2.71</v>
      </c>
      <c r="L33" t="s">
        <v>281</v>
      </c>
      <c r="M33" s="1">
        <f>STDEV(M7:M31)</f>
        <v>0.47630452443788535</v>
      </c>
      <c r="O33" t="s">
        <v>91</v>
      </c>
      <c r="P33">
        <v>31.715800000000002</v>
      </c>
      <c r="V33" t="s">
        <v>96</v>
      </c>
      <c r="W33">
        <v>0.38247011952191201</v>
      </c>
      <c r="AC33" t="s">
        <v>96</v>
      </c>
      <c r="AD33">
        <v>0.24302788844621501</v>
      </c>
      <c r="AJ33">
        <v>17.410900000000002</v>
      </c>
      <c r="AK33">
        <v>3.03</v>
      </c>
      <c r="AL33">
        <v>26.5686</v>
      </c>
      <c r="AN33">
        <v>20.288399999999999</v>
      </c>
      <c r="AO33" s="1">
        <f>AVERAGE(AO8:AO32)</f>
        <v>0.90920000000000001</v>
      </c>
    </row>
    <row r="34" spans="1:41" ht="13.15" x14ac:dyDescent="0.4">
      <c r="A34" t="s">
        <v>97</v>
      </c>
      <c r="B34">
        <v>0.77</v>
      </c>
      <c r="F34" s="1">
        <f>STDEV(F7:F31)/SQRT(25)</f>
        <v>9.1295515041357106E-2</v>
      </c>
      <c r="H34" t="s">
        <v>97</v>
      </c>
      <c r="I34">
        <v>1.75</v>
      </c>
      <c r="L34" t="s">
        <v>284</v>
      </c>
      <c r="M34" s="1">
        <f>M33/SQRT(25)</f>
        <v>9.5260904887577075E-2</v>
      </c>
      <c r="O34" t="s">
        <v>92</v>
      </c>
      <c r="P34">
        <v>69.508700000000005</v>
      </c>
      <c r="V34" t="s">
        <v>97</v>
      </c>
      <c r="W34">
        <v>0.97402597402597402</v>
      </c>
      <c r="AC34" t="s">
        <v>97</v>
      </c>
      <c r="AD34">
        <v>0.14285714285714299</v>
      </c>
      <c r="AJ34">
        <v>15.8269</v>
      </c>
      <c r="AK34">
        <v>2.71</v>
      </c>
      <c r="AL34">
        <v>26.422999999999998</v>
      </c>
      <c r="AN34">
        <v>27.070799999999998</v>
      </c>
    </row>
    <row r="35" spans="1:41" x14ac:dyDescent="0.35">
      <c r="A35" t="s">
        <v>98</v>
      </c>
      <c r="B35">
        <v>0.76</v>
      </c>
      <c r="H35" t="s">
        <v>98</v>
      </c>
      <c r="I35">
        <v>1.61</v>
      </c>
      <c r="O35" t="s">
        <v>93</v>
      </c>
      <c r="P35">
        <v>56.094200000000001</v>
      </c>
      <c r="V35" t="s">
        <v>98</v>
      </c>
      <c r="W35">
        <v>1</v>
      </c>
      <c r="AC35" t="s">
        <v>98</v>
      </c>
      <c r="AD35">
        <v>0.17105263157894701</v>
      </c>
      <c r="AJ35">
        <v>29.836099999999998</v>
      </c>
      <c r="AK35">
        <v>1.75</v>
      </c>
      <c r="AL35">
        <v>26.3081</v>
      </c>
      <c r="AN35">
        <v>32.2776</v>
      </c>
    </row>
    <row r="36" spans="1:41" ht="13.15" x14ac:dyDescent="0.4">
      <c r="A36" t="s">
        <v>99</v>
      </c>
      <c r="B36">
        <v>2.21</v>
      </c>
      <c r="H36" t="s">
        <v>99</v>
      </c>
      <c r="I36">
        <v>2.27</v>
      </c>
      <c r="O36" t="s">
        <v>94</v>
      </c>
      <c r="P36">
        <v>171.94300000000001</v>
      </c>
      <c r="V36" t="s">
        <v>99</v>
      </c>
      <c r="W36">
        <v>0.289592760180995</v>
      </c>
      <c r="AC36" t="s">
        <v>99</v>
      </c>
      <c r="AD36">
        <v>3.6199095022624403E-2</v>
      </c>
      <c r="AJ36">
        <v>10.9376</v>
      </c>
      <c r="AK36">
        <v>1.61</v>
      </c>
      <c r="AL36">
        <v>25.991599999999998</v>
      </c>
      <c r="AM36" s="1"/>
      <c r="AN36">
        <v>15.5801</v>
      </c>
      <c r="AO36" s="1"/>
    </row>
    <row r="37" spans="1:41" x14ac:dyDescent="0.35">
      <c r="A37" t="s">
        <v>100</v>
      </c>
      <c r="B37">
        <v>3.36</v>
      </c>
      <c r="H37" t="s">
        <v>100</v>
      </c>
      <c r="I37">
        <v>3.5</v>
      </c>
      <c r="O37" t="s">
        <v>95</v>
      </c>
      <c r="P37">
        <v>85.942499999999995</v>
      </c>
      <c r="V37" t="s">
        <v>100</v>
      </c>
      <c r="W37">
        <v>0.31845238095238099</v>
      </c>
      <c r="AC37" t="s">
        <v>100</v>
      </c>
      <c r="AD37">
        <v>0.19047619047619099</v>
      </c>
      <c r="AJ37">
        <v>14.9237</v>
      </c>
      <c r="AK37">
        <v>2.27</v>
      </c>
      <c r="AL37">
        <v>25.749099999999999</v>
      </c>
      <c r="AN37">
        <v>11.9864</v>
      </c>
    </row>
    <row r="38" spans="1:41" x14ac:dyDescent="0.35">
      <c r="A38" t="s">
        <v>101</v>
      </c>
      <c r="B38">
        <v>3.99</v>
      </c>
      <c r="H38" t="s">
        <v>101</v>
      </c>
      <c r="I38">
        <v>4.5599999999999996</v>
      </c>
      <c r="O38" t="s">
        <v>96</v>
      </c>
      <c r="P38">
        <v>84.437299999999993</v>
      </c>
      <c r="V38" t="s">
        <v>101</v>
      </c>
      <c r="W38">
        <v>0.50125313283207995</v>
      </c>
      <c r="AC38" t="s">
        <v>101</v>
      </c>
      <c r="AD38">
        <v>0.278195488721804</v>
      </c>
      <c r="AJ38">
        <v>22.999199999999998</v>
      </c>
      <c r="AK38">
        <v>3.5</v>
      </c>
      <c r="AL38">
        <v>25.600899999999999</v>
      </c>
      <c r="AN38">
        <v>27.215</v>
      </c>
    </row>
    <row r="39" spans="1:41" x14ac:dyDescent="0.35">
      <c r="A39" t="s">
        <v>102</v>
      </c>
      <c r="B39">
        <v>1.73</v>
      </c>
      <c r="H39" t="s">
        <v>102</v>
      </c>
      <c r="I39">
        <v>1.93</v>
      </c>
      <c r="O39" t="s">
        <v>97</v>
      </c>
      <c r="P39">
        <v>123.673</v>
      </c>
      <c r="V39" t="s">
        <v>102</v>
      </c>
      <c r="W39">
        <v>0.65895953757225401</v>
      </c>
      <c r="AC39" t="s">
        <v>102</v>
      </c>
      <c r="AD39">
        <v>0.34104046242774599</v>
      </c>
      <c r="AJ39">
        <v>27.5716</v>
      </c>
      <c r="AK39">
        <v>4.5599999999999996</v>
      </c>
      <c r="AL39">
        <v>25.5928</v>
      </c>
      <c r="AN39">
        <v>21.532499999999999</v>
      </c>
    </row>
    <row r="40" spans="1:41" x14ac:dyDescent="0.35">
      <c r="A40" t="s">
        <v>103</v>
      </c>
      <c r="B40">
        <v>1.92</v>
      </c>
      <c r="H40" t="s">
        <v>103</v>
      </c>
      <c r="I40">
        <v>2.75</v>
      </c>
      <c r="O40" t="s">
        <v>98</v>
      </c>
      <c r="P40">
        <v>28.4376</v>
      </c>
      <c r="V40" t="s">
        <v>103</v>
      </c>
      <c r="W40">
        <v>0.625</v>
      </c>
      <c r="AC40" t="s">
        <v>103</v>
      </c>
      <c r="AD40">
        <v>0.38541666666666702</v>
      </c>
      <c r="AJ40">
        <v>10.8444</v>
      </c>
      <c r="AK40">
        <v>1.93</v>
      </c>
      <c r="AL40">
        <v>25.509340000000002</v>
      </c>
      <c r="AN40">
        <v>9.5559999999999992</v>
      </c>
    </row>
    <row r="41" spans="1:41" x14ac:dyDescent="0.35">
      <c r="A41" t="s">
        <v>104</v>
      </c>
      <c r="B41">
        <v>1.42</v>
      </c>
      <c r="H41" t="s">
        <v>104</v>
      </c>
      <c r="I41">
        <v>1.8</v>
      </c>
      <c r="O41" t="s">
        <v>99</v>
      </c>
      <c r="P41">
        <v>153.43600000000001</v>
      </c>
      <c r="V41" t="s">
        <v>104</v>
      </c>
      <c r="W41">
        <v>0.42957746478873199</v>
      </c>
      <c r="AC41" t="s">
        <v>104</v>
      </c>
      <c r="AD41">
        <v>0.169014084507042</v>
      </c>
      <c r="AJ41">
        <v>12.3644</v>
      </c>
      <c r="AK41">
        <v>2.75</v>
      </c>
      <c r="AL41">
        <v>25.461300000000001</v>
      </c>
      <c r="AN41">
        <v>13.625299999999999</v>
      </c>
    </row>
    <row r="42" spans="1:41" x14ac:dyDescent="0.35">
      <c r="A42" t="s">
        <v>105</v>
      </c>
      <c r="B42">
        <v>2.0699999999999998</v>
      </c>
      <c r="H42" t="s">
        <v>105</v>
      </c>
      <c r="I42">
        <v>2.17</v>
      </c>
      <c r="O42" t="s">
        <v>100</v>
      </c>
      <c r="P42">
        <v>142.35400000000001</v>
      </c>
      <c r="V42" t="s">
        <v>105</v>
      </c>
      <c r="W42">
        <v>0.565217391304348</v>
      </c>
      <c r="AC42" t="s">
        <v>105</v>
      </c>
      <c r="AD42">
        <v>0.405797101449275</v>
      </c>
      <c r="AJ42">
        <v>23.032399999999999</v>
      </c>
      <c r="AK42">
        <v>1.8</v>
      </c>
      <c r="AL42">
        <v>25.061</v>
      </c>
      <c r="AN42">
        <v>33.187100000000001</v>
      </c>
    </row>
    <row r="43" spans="1:41" x14ac:dyDescent="0.35">
      <c r="A43" t="s">
        <v>106</v>
      </c>
      <c r="B43">
        <v>1.9</v>
      </c>
      <c r="H43" t="s">
        <v>106</v>
      </c>
      <c r="I43">
        <v>2.3199999999999998</v>
      </c>
      <c r="O43" t="s">
        <v>101</v>
      </c>
      <c r="P43">
        <v>100.946</v>
      </c>
      <c r="V43" t="s">
        <v>106</v>
      </c>
      <c r="W43">
        <v>0.42105263157894701</v>
      </c>
      <c r="AC43" t="s">
        <v>106</v>
      </c>
      <c r="AD43">
        <v>0.43684210526315798</v>
      </c>
      <c r="AJ43">
        <v>9.7620000000000005</v>
      </c>
      <c r="AK43">
        <v>2.17</v>
      </c>
      <c r="AL43">
        <v>25.051100000000002</v>
      </c>
      <c r="AN43">
        <v>9.4598999999999993</v>
      </c>
    </row>
    <row r="44" spans="1:41" x14ac:dyDescent="0.35">
      <c r="A44" t="s">
        <v>108</v>
      </c>
      <c r="B44">
        <v>3.92</v>
      </c>
      <c r="H44" t="s">
        <v>108</v>
      </c>
      <c r="I44">
        <v>3.92</v>
      </c>
      <c r="O44" t="s">
        <v>102</v>
      </c>
      <c r="P44">
        <v>59.190300000000001</v>
      </c>
      <c r="V44" t="s">
        <v>108</v>
      </c>
      <c r="W44">
        <v>0.38010204081632698</v>
      </c>
      <c r="AC44" t="s">
        <v>108</v>
      </c>
      <c r="AD44">
        <v>0.15051020408163299</v>
      </c>
      <c r="AJ44">
        <v>17.171800000000001</v>
      </c>
      <c r="AK44">
        <v>2.3199999999999998</v>
      </c>
      <c r="AL44">
        <v>24.2883</v>
      </c>
      <c r="AN44">
        <v>21.4206</v>
      </c>
    </row>
    <row r="45" spans="1:41" x14ac:dyDescent="0.35">
      <c r="A45" t="s">
        <v>109</v>
      </c>
      <c r="B45">
        <v>1.04</v>
      </c>
      <c r="H45" t="s">
        <v>109</v>
      </c>
      <c r="I45">
        <v>1.2</v>
      </c>
      <c r="O45" t="s">
        <v>103</v>
      </c>
      <c r="P45">
        <v>123.863</v>
      </c>
      <c r="V45" t="s">
        <v>109</v>
      </c>
      <c r="W45">
        <v>0.17307692307692299</v>
      </c>
      <c r="AC45" t="s">
        <v>109</v>
      </c>
      <c r="AD45">
        <v>2.8846153846153799E-2</v>
      </c>
      <c r="AJ45">
        <v>23.520299999999999</v>
      </c>
      <c r="AK45">
        <v>3.92</v>
      </c>
      <c r="AL45">
        <v>23.9741</v>
      </c>
      <c r="AN45">
        <v>22.868099999999998</v>
      </c>
    </row>
    <row r="46" spans="1:41" x14ac:dyDescent="0.35">
      <c r="A46" t="s">
        <v>110</v>
      </c>
      <c r="B46">
        <v>3.5</v>
      </c>
      <c r="H46" t="s">
        <v>110</v>
      </c>
      <c r="I46">
        <v>3.52</v>
      </c>
      <c r="O46" t="s">
        <v>104</v>
      </c>
      <c r="P46">
        <v>173.41800000000001</v>
      </c>
      <c r="V46" t="s">
        <v>110</v>
      </c>
      <c r="W46">
        <v>0.22</v>
      </c>
      <c r="AC46" t="s">
        <v>110</v>
      </c>
      <c r="AD46">
        <v>0.18</v>
      </c>
      <c r="AJ46">
        <v>13.086600000000001</v>
      </c>
      <c r="AK46">
        <v>1.2</v>
      </c>
      <c r="AL46">
        <v>23.964500000000001</v>
      </c>
      <c r="AN46">
        <v>13.423400000000001</v>
      </c>
    </row>
    <row r="47" spans="1:41" x14ac:dyDescent="0.35">
      <c r="A47" t="s">
        <v>111</v>
      </c>
      <c r="B47">
        <v>0.68</v>
      </c>
      <c r="H47" t="s">
        <v>111</v>
      </c>
      <c r="I47">
        <v>0.94</v>
      </c>
      <c r="O47" t="s">
        <v>105</v>
      </c>
      <c r="P47">
        <v>93.472899999999996</v>
      </c>
      <c r="V47" t="s">
        <v>111</v>
      </c>
      <c r="W47">
        <v>0.47058823529411797</v>
      </c>
      <c r="AC47" t="s">
        <v>111</v>
      </c>
      <c r="AD47">
        <v>0.36764705882352899</v>
      </c>
      <c r="AJ47">
        <v>11.098800000000001</v>
      </c>
      <c r="AK47">
        <v>3.52</v>
      </c>
      <c r="AL47">
        <v>23.856000000000002</v>
      </c>
      <c r="AN47">
        <v>13.021599999999999</v>
      </c>
    </row>
    <row r="48" spans="1:41" x14ac:dyDescent="0.35">
      <c r="A48" t="s">
        <v>112</v>
      </c>
      <c r="B48">
        <v>2.56</v>
      </c>
      <c r="H48" t="s">
        <v>112</v>
      </c>
      <c r="I48">
        <v>2.82</v>
      </c>
      <c r="O48" t="s">
        <v>106</v>
      </c>
      <c r="P48">
        <v>46.0989</v>
      </c>
      <c r="V48" t="s">
        <v>112</v>
      </c>
      <c r="W48">
        <v>0.3359375</v>
      </c>
      <c r="AC48" t="s">
        <v>112</v>
      </c>
      <c r="AD48">
        <v>7.8125E-2</v>
      </c>
      <c r="AJ48">
        <v>14.7334</v>
      </c>
      <c r="AK48">
        <v>0.94</v>
      </c>
      <c r="AL48">
        <v>23.8081</v>
      </c>
      <c r="AN48">
        <v>11.6427</v>
      </c>
    </row>
    <row r="49" spans="1:40" x14ac:dyDescent="0.35">
      <c r="A49" t="s">
        <v>113</v>
      </c>
      <c r="B49">
        <v>1.57</v>
      </c>
      <c r="H49" t="s">
        <v>113</v>
      </c>
      <c r="I49">
        <v>1.96</v>
      </c>
      <c r="O49" t="s">
        <v>107</v>
      </c>
      <c r="V49" t="s">
        <v>113</v>
      </c>
      <c r="W49">
        <v>0.52866242038216604</v>
      </c>
      <c r="AC49" t="s">
        <v>113</v>
      </c>
      <c r="AD49">
        <v>0.49044585987261102</v>
      </c>
      <c r="AJ49">
        <v>16.260000000000002</v>
      </c>
      <c r="AK49">
        <v>2.82</v>
      </c>
      <c r="AL49">
        <v>23.663</v>
      </c>
      <c r="AN49">
        <v>25.664200000000001</v>
      </c>
    </row>
    <row r="50" spans="1:40" x14ac:dyDescent="0.35">
      <c r="A50" t="s">
        <v>114</v>
      </c>
      <c r="B50">
        <v>0.44</v>
      </c>
      <c r="H50" t="s">
        <v>114</v>
      </c>
      <c r="I50">
        <v>0.7</v>
      </c>
      <c r="O50" t="s">
        <v>108</v>
      </c>
      <c r="P50">
        <v>71.872600000000006</v>
      </c>
      <c r="V50" t="s">
        <v>114</v>
      </c>
      <c r="W50">
        <v>0.36363636363636398</v>
      </c>
      <c r="AC50" t="s">
        <v>114</v>
      </c>
      <c r="AD50">
        <v>0.27272727272727298</v>
      </c>
      <c r="AJ50">
        <v>19.89</v>
      </c>
      <c r="AK50">
        <v>1.96</v>
      </c>
      <c r="AL50">
        <v>23.497949999999999</v>
      </c>
      <c r="AN50">
        <v>11.648099999999999</v>
      </c>
    </row>
    <row r="51" spans="1:40" x14ac:dyDescent="0.35">
      <c r="A51" t="s">
        <v>115</v>
      </c>
      <c r="B51">
        <v>0.34</v>
      </c>
      <c r="H51" t="s">
        <v>115</v>
      </c>
      <c r="I51">
        <v>0.94</v>
      </c>
      <c r="O51" t="s">
        <v>109</v>
      </c>
      <c r="P51">
        <v>70.181299999999993</v>
      </c>
      <c r="V51" t="s">
        <v>115</v>
      </c>
      <c r="W51">
        <v>2.02941176470588</v>
      </c>
      <c r="AC51" t="s">
        <v>115</v>
      </c>
      <c r="AD51">
        <v>0.17647058823529399</v>
      </c>
      <c r="AJ51">
        <v>29.08</v>
      </c>
      <c r="AK51">
        <v>0.7</v>
      </c>
      <c r="AL51">
        <v>23.4345</v>
      </c>
      <c r="AN51">
        <v>20.536899999999999</v>
      </c>
    </row>
    <row r="52" spans="1:40" x14ac:dyDescent="0.35">
      <c r="A52" t="s">
        <v>116</v>
      </c>
      <c r="B52">
        <v>0.74</v>
      </c>
      <c r="H52" t="s">
        <v>116</v>
      </c>
      <c r="I52">
        <v>1.84</v>
      </c>
      <c r="O52" t="s">
        <v>110</v>
      </c>
      <c r="P52">
        <v>98.606099999999998</v>
      </c>
      <c r="V52" t="s">
        <v>116</v>
      </c>
      <c r="W52">
        <v>0.98648648648648696</v>
      </c>
      <c r="AC52" t="s">
        <v>116</v>
      </c>
      <c r="AD52">
        <v>0.71621621621621601</v>
      </c>
      <c r="AJ52">
        <v>20.94</v>
      </c>
      <c r="AK52">
        <v>0.94</v>
      </c>
      <c r="AL52">
        <v>23.370999999999999</v>
      </c>
      <c r="AN52">
        <v>12.7623</v>
      </c>
    </row>
    <row r="53" spans="1:40" x14ac:dyDescent="0.35">
      <c r="A53" t="s">
        <v>117</v>
      </c>
      <c r="B53">
        <v>1.08</v>
      </c>
      <c r="H53" t="s">
        <v>117</v>
      </c>
      <c r="I53">
        <v>1.52</v>
      </c>
      <c r="O53" t="s">
        <v>111</v>
      </c>
      <c r="P53">
        <v>145.148</v>
      </c>
      <c r="V53" t="s">
        <v>117</v>
      </c>
      <c r="W53">
        <v>0.44444444444444398</v>
      </c>
      <c r="AC53" t="s">
        <v>117</v>
      </c>
      <c r="AD53">
        <v>0.32407407407407401</v>
      </c>
      <c r="AJ53">
        <v>12.69</v>
      </c>
      <c r="AK53">
        <v>1.84</v>
      </c>
      <c r="AL53">
        <v>23.221</v>
      </c>
      <c r="AN53">
        <v>16.2242</v>
      </c>
    </row>
    <row r="54" spans="1:40" x14ac:dyDescent="0.35">
      <c r="A54" t="s">
        <v>118</v>
      </c>
      <c r="B54">
        <v>2.14</v>
      </c>
      <c r="H54" t="s">
        <v>118</v>
      </c>
      <c r="I54">
        <v>3.04</v>
      </c>
      <c r="O54" t="s">
        <v>112</v>
      </c>
      <c r="P54">
        <v>69.115300000000005</v>
      </c>
      <c r="V54" t="s">
        <v>118</v>
      </c>
      <c r="W54">
        <v>0.52336448598130902</v>
      </c>
      <c r="AC54" t="s">
        <v>118</v>
      </c>
      <c r="AD54">
        <v>7.00934579439252E-2</v>
      </c>
      <c r="AJ54">
        <v>23.75</v>
      </c>
      <c r="AK54">
        <v>1.52</v>
      </c>
      <c r="AL54">
        <v>23.054600000000001</v>
      </c>
      <c r="AN54">
        <v>16.738700000000001</v>
      </c>
    </row>
    <row r="55" spans="1:40" x14ac:dyDescent="0.35">
      <c r="A55" t="s">
        <v>119</v>
      </c>
      <c r="B55">
        <v>0.77</v>
      </c>
      <c r="H55" t="s">
        <v>119</v>
      </c>
      <c r="I55">
        <v>1.25</v>
      </c>
      <c r="O55" t="s">
        <v>113</v>
      </c>
      <c r="P55">
        <v>40.392400000000002</v>
      </c>
      <c r="V55" t="s">
        <v>119</v>
      </c>
      <c r="W55">
        <v>0.25974025974025999</v>
      </c>
      <c r="AC55" t="s">
        <v>119</v>
      </c>
      <c r="AD55">
        <v>0.12987012987013</v>
      </c>
      <c r="AJ55">
        <v>21.36</v>
      </c>
      <c r="AK55">
        <v>3.04</v>
      </c>
      <c r="AL55">
        <v>22.9343</v>
      </c>
      <c r="AN55">
        <v>14.308199999999999</v>
      </c>
    </row>
    <row r="56" spans="1:40" x14ac:dyDescent="0.35">
      <c r="A56" t="s">
        <v>120</v>
      </c>
      <c r="B56">
        <v>3.47</v>
      </c>
      <c r="H56" t="s">
        <v>120</v>
      </c>
      <c r="I56">
        <v>3.48</v>
      </c>
      <c r="O56" t="s">
        <v>114</v>
      </c>
      <c r="P56">
        <v>97.441999999999993</v>
      </c>
      <c r="V56" t="s">
        <v>120</v>
      </c>
      <c r="W56">
        <v>5.4755043227665702E-2</v>
      </c>
      <c r="AC56" t="s">
        <v>120</v>
      </c>
      <c r="AD56">
        <v>2.88184438040346E-4</v>
      </c>
      <c r="AJ56">
        <v>48.78</v>
      </c>
      <c r="AK56">
        <v>1.25</v>
      </c>
      <c r="AL56">
        <v>22.807400000000001</v>
      </c>
      <c r="AN56">
        <v>6.0026000000000002</v>
      </c>
    </row>
    <row r="57" spans="1:40" x14ac:dyDescent="0.35">
      <c r="A57" t="s">
        <v>121</v>
      </c>
      <c r="B57">
        <v>1.23</v>
      </c>
      <c r="H57" t="s">
        <v>121</v>
      </c>
      <c r="I57">
        <v>1.68</v>
      </c>
      <c r="O57" t="s">
        <v>115</v>
      </c>
      <c r="P57">
        <v>33.441600000000001</v>
      </c>
      <c r="V57" t="s">
        <v>121</v>
      </c>
      <c r="W57">
        <v>0.439024390243903</v>
      </c>
      <c r="AC57" t="s">
        <v>121</v>
      </c>
      <c r="AD57">
        <v>0.219512195121951</v>
      </c>
      <c r="AJ57">
        <v>15.34</v>
      </c>
      <c r="AK57">
        <v>3.48</v>
      </c>
      <c r="AL57">
        <v>22.640799999999999</v>
      </c>
      <c r="AN57">
        <v>22.083500000000001</v>
      </c>
    </row>
    <row r="58" spans="1:40" x14ac:dyDescent="0.35">
      <c r="A58" t="s">
        <v>122</v>
      </c>
      <c r="B58">
        <v>0.49</v>
      </c>
      <c r="H58" t="s">
        <v>122</v>
      </c>
      <c r="I58">
        <v>0.75</v>
      </c>
      <c r="O58" t="s">
        <v>116</v>
      </c>
      <c r="P58">
        <v>45.100999999999999</v>
      </c>
      <c r="V58" t="s">
        <v>122</v>
      </c>
      <c r="W58">
        <v>0.28571428571428598</v>
      </c>
      <c r="AC58" t="s">
        <v>122</v>
      </c>
      <c r="AD58">
        <v>0.26530612244898</v>
      </c>
      <c r="AJ58">
        <v>10.52</v>
      </c>
      <c r="AK58">
        <v>1.68</v>
      </c>
      <c r="AL58">
        <v>22.582000000000001</v>
      </c>
      <c r="AN58">
        <v>26.451599999999999</v>
      </c>
    </row>
    <row r="59" spans="1:40" x14ac:dyDescent="0.35">
      <c r="A59" t="s">
        <v>123</v>
      </c>
      <c r="B59">
        <v>0.51</v>
      </c>
      <c r="H59" t="s">
        <v>123</v>
      </c>
      <c r="I59">
        <v>0.97</v>
      </c>
      <c r="O59" t="s">
        <v>117</v>
      </c>
      <c r="P59">
        <v>77.837699999999998</v>
      </c>
      <c r="V59" t="s">
        <v>123</v>
      </c>
      <c r="W59">
        <v>1.76470588235294</v>
      </c>
      <c r="AC59" t="s">
        <v>123</v>
      </c>
      <c r="AD59">
        <v>0.70588235294117596</v>
      </c>
      <c r="AJ59">
        <v>12.41</v>
      </c>
      <c r="AK59">
        <v>0.75</v>
      </c>
      <c r="AL59">
        <v>22.327999999999999</v>
      </c>
      <c r="AN59">
        <v>26.598400000000002</v>
      </c>
    </row>
    <row r="60" spans="1:40" x14ac:dyDescent="0.35">
      <c r="A60" t="s">
        <v>124</v>
      </c>
      <c r="B60">
        <v>1.63</v>
      </c>
      <c r="H60" t="s">
        <v>124</v>
      </c>
      <c r="I60">
        <v>2.91</v>
      </c>
      <c r="O60" t="s">
        <v>118</v>
      </c>
      <c r="P60">
        <v>122.922</v>
      </c>
      <c r="V60" t="s">
        <v>124</v>
      </c>
      <c r="W60">
        <v>1.1472392638036799</v>
      </c>
      <c r="AC60" t="s">
        <v>124</v>
      </c>
      <c r="AD60">
        <v>0.55828220858895705</v>
      </c>
      <c r="AJ60">
        <v>13.75</v>
      </c>
      <c r="AK60">
        <v>0.97</v>
      </c>
      <c r="AL60">
        <v>21.7974</v>
      </c>
      <c r="AN60">
        <v>18.190100000000001</v>
      </c>
    </row>
    <row r="61" spans="1:40" x14ac:dyDescent="0.35">
      <c r="A61" t="s">
        <v>125</v>
      </c>
      <c r="B61">
        <v>2.74</v>
      </c>
      <c r="H61" t="s">
        <v>125</v>
      </c>
      <c r="I61">
        <v>2.42</v>
      </c>
      <c r="O61" t="s">
        <v>119</v>
      </c>
      <c r="P61">
        <v>97.817800000000005</v>
      </c>
      <c r="V61" t="s">
        <v>125</v>
      </c>
      <c r="W61">
        <v>0.273722627737226</v>
      </c>
      <c r="AC61" t="s">
        <v>125</v>
      </c>
      <c r="AD61">
        <v>0.14233576642335799</v>
      </c>
      <c r="AJ61">
        <v>0.92000000000000204</v>
      </c>
      <c r="AK61">
        <v>2.91</v>
      </c>
      <c r="AL61">
        <v>21.7501</v>
      </c>
      <c r="AN61">
        <v>31.574400000000001</v>
      </c>
    </row>
    <row r="62" spans="1:40" x14ac:dyDescent="0.35">
      <c r="A62" t="s">
        <v>126</v>
      </c>
      <c r="B62">
        <v>5.08</v>
      </c>
      <c r="H62" t="s">
        <v>126</v>
      </c>
      <c r="I62">
        <v>5.08</v>
      </c>
      <c r="O62" t="s">
        <v>120</v>
      </c>
      <c r="P62">
        <v>122.73399999999999</v>
      </c>
      <c r="V62" t="s">
        <v>126</v>
      </c>
      <c r="W62">
        <v>0.259332023575638</v>
      </c>
      <c r="AC62" t="s">
        <v>126</v>
      </c>
      <c r="AD62">
        <v>0.20235756385068801</v>
      </c>
      <c r="AJ62">
        <v>9.94</v>
      </c>
      <c r="AK62">
        <v>2.42</v>
      </c>
      <c r="AL62">
        <v>21.728899999999999</v>
      </c>
      <c r="AN62">
        <v>34.835700000000003</v>
      </c>
    </row>
    <row r="63" spans="1:40" x14ac:dyDescent="0.35">
      <c r="A63" t="s">
        <v>127</v>
      </c>
      <c r="B63">
        <v>8.5</v>
      </c>
      <c r="H63" t="s">
        <v>127</v>
      </c>
      <c r="I63">
        <v>8.51</v>
      </c>
      <c r="O63" t="s">
        <v>121</v>
      </c>
      <c r="P63">
        <v>77.191800000000001</v>
      </c>
      <c r="V63" t="s">
        <v>127</v>
      </c>
      <c r="W63">
        <v>0.17411764705882399</v>
      </c>
      <c r="AC63" t="s">
        <v>127</v>
      </c>
      <c r="AD63">
        <v>6.8235294117647102E-2</v>
      </c>
      <c r="AJ63">
        <v>6.87</v>
      </c>
      <c r="AK63">
        <v>5.08</v>
      </c>
      <c r="AL63">
        <v>21.415199999999999</v>
      </c>
      <c r="AN63">
        <v>32.897399999999998</v>
      </c>
    </row>
    <row r="64" spans="1:40" x14ac:dyDescent="0.35">
      <c r="A64" t="s">
        <v>524</v>
      </c>
      <c r="B64">
        <v>1.28</v>
      </c>
      <c r="H64" t="s">
        <v>524</v>
      </c>
      <c r="I64">
        <v>1.84</v>
      </c>
      <c r="O64" t="s">
        <v>122</v>
      </c>
      <c r="P64">
        <v>12.395</v>
      </c>
      <c r="V64" t="s">
        <v>524</v>
      </c>
      <c r="W64">
        <v>0.5859375</v>
      </c>
      <c r="AC64" t="s">
        <v>524</v>
      </c>
      <c r="AD64">
        <v>8.3593749999999994E-2</v>
      </c>
      <c r="AJ64">
        <v>15.79</v>
      </c>
      <c r="AK64">
        <v>8.51</v>
      </c>
      <c r="AL64">
        <v>21.397600000000001</v>
      </c>
      <c r="AN64">
        <v>17.800799999999999</v>
      </c>
    </row>
    <row r="65" spans="1:40" x14ac:dyDescent="0.35">
      <c r="A65" t="s">
        <v>528</v>
      </c>
      <c r="B65">
        <v>2.37</v>
      </c>
      <c r="H65" t="s">
        <v>528</v>
      </c>
      <c r="I65">
        <v>2.58</v>
      </c>
      <c r="O65" t="s">
        <v>123</v>
      </c>
      <c r="P65">
        <v>23.9971</v>
      </c>
      <c r="V65" t="s">
        <v>528</v>
      </c>
      <c r="W65">
        <v>0.443037974683544</v>
      </c>
      <c r="AC65" t="s">
        <v>528</v>
      </c>
      <c r="AD65">
        <v>0.20675105485232101</v>
      </c>
      <c r="AJ65">
        <v>9.1</v>
      </c>
      <c r="AK65">
        <v>1.84</v>
      </c>
      <c r="AL65">
        <v>21.328600000000002</v>
      </c>
      <c r="AN65">
        <v>17.746700000000001</v>
      </c>
    </row>
    <row r="66" spans="1:40" x14ac:dyDescent="0.35">
      <c r="A66" t="s">
        <v>532</v>
      </c>
      <c r="B66">
        <v>1.1299999999999999</v>
      </c>
      <c r="H66" t="s">
        <v>532</v>
      </c>
      <c r="I66">
        <v>1.74</v>
      </c>
      <c r="O66" t="s">
        <v>124</v>
      </c>
      <c r="P66">
        <v>26.8261</v>
      </c>
      <c r="V66" t="s">
        <v>532</v>
      </c>
      <c r="W66">
        <v>0.95575221238938102</v>
      </c>
      <c r="AC66" t="s">
        <v>532</v>
      </c>
      <c r="AD66">
        <v>0.221238938053097</v>
      </c>
      <c r="AJ66">
        <v>26.62</v>
      </c>
      <c r="AK66">
        <v>2.58</v>
      </c>
      <c r="AL66">
        <v>21.166599999999999</v>
      </c>
      <c r="AN66">
        <v>6.7690999999999999</v>
      </c>
    </row>
    <row r="67" spans="1:40" x14ac:dyDescent="0.35">
      <c r="A67" t="s">
        <v>536</v>
      </c>
      <c r="B67">
        <v>5.18</v>
      </c>
      <c r="H67" t="s">
        <v>536</v>
      </c>
      <c r="I67">
        <v>5.18</v>
      </c>
      <c r="O67" t="s">
        <v>125</v>
      </c>
      <c r="P67">
        <v>81.580100000000002</v>
      </c>
      <c r="V67" t="s">
        <v>536</v>
      </c>
      <c r="W67">
        <v>0.42471042471042503</v>
      </c>
      <c r="AC67" t="s">
        <v>536</v>
      </c>
      <c r="AD67">
        <v>0.295366795366795</v>
      </c>
      <c r="AJ67">
        <v>12.28</v>
      </c>
      <c r="AK67">
        <v>1.74</v>
      </c>
      <c r="AL67">
        <v>20.3948</v>
      </c>
      <c r="AN67">
        <v>22.210100000000001</v>
      </c>
    </row>
    <row r="68" spans="1:40" x14ac:dyDescent="0.35">
      <c r="A68" t="s">
        <v>540</v>
      </c>
      <c r="B68">
        <v>2.14</v>
      </c>
      <c r="H68" t="s">
        <v>540</v>
      </c>
      <c r="I68">
        <v>3.35</v>
      </c>
      <c r="O68" t="s">
        <v>126</v>
      </c>
      <c r="P68">
        <v>59.1905</v>
      </c>
      <c r="V68" t="s">
        <v>540</v>
      </c>
      <c r="W68">
        <v>0.59813084112149495</v>
      </c>
      <c r="AC68" t="s">
        <v>540</v>
      </c>
      <c r="AD68">
        <v>0.29439252336448601</v>
      </c>
      <c r="AJ68">
        <v>17.48</v>
      </c>
      <c r="AK68">
        <v>5.18</v>
      </c>
      <c r="AL68">
        <v>20.2774</v>
      </c>
      <c r="AN68">
        <v>19.901900000000001</v>
      </c>
    </row>
    <row r="69" spans="1:40" x14ac:dyDescent="0.35">
      <c r="A69" t="s">
        <v>544</v>
      </c>
      <c r="B69">
        <v>1.1200000000000001</v>
      </c>
      <c r="H69" t="s">
        <v>544</v>
      </c>
      <c r="I69">
        <v>1.79</v>
      </c>
      <c r="O69" t="s">
        <v>127</v>
      </c>
      <c r="P69">
        <v>96.869600000000005</v>
      </c>
      <c r="V69" t="s">
        <v>544</v>
      </c>
      <c r="W69">
        <v>0.58928571428571397</v>
      </c>
      <c r="AC69" t="s">
        <v>544</v>
      </c>
      <c r="AD69">
        <v>0.46428571428571402</v>
      </c>
      <c r="AJ69">
        <v>16.489999999999998</v>
      </c>
      <c r="AK69">
        <v>3.35</v>
      </c>
      <c r="AL69">
        <v>19.944800000000001</v>
      </c>
      <c r="AN69">
        <v>16.246500000000001</v>
      </c>
    </row>
    <row r="70" spans="1:40" x14ac:dyDescent="0.35">
      <c r="A70" t="s">
        <v>548</v>
      </c>
      <c r="B70">
        <v>5.39</v>
      </c>
      <c r="H70" t="s">
        <v>548</v>
      </c>
      <c r="I70">
        <v>5.98</v>
      </c>
      <c r="O70" t="s">
        <v>524</v>
      </c>
      <c r="P70">
        <v>150.547</v>
      </c>
      <c r="V70" t="s">
        <v>548</v>
      </c>
      <c r="W70">
        <v>0.45640074211502801</v>
      </c>
      <c r="AC70" t="s">
        <v>548</v>
      </c>
      <c r="AD70">
        <v>0.23005565862708699</v>
      </c>
      <c r="AJ70">
        <v>25.67</v>
      </c>
      <c r="AK70">
        <v>1.79</v>
      </c>
      <c r="AL70">
        <v>19.9115</v>
      </c>
      <c r="AN70">
        <v>22.6373</v>
      </c>
    </row>
    <row r="71" spans="1:40" x14ac:dyDescent="0.35">
      <c r="A71" t="s">
        <v>552</v>
      </c>
      <c r="B71">
        <v>2.11</v>
      </c>
      <c r="H71" t="s">
        <v>552</v>
      </c>
      <c r="I71">
        <v>2.4700000000000002</v>
      </c>
      <c r="O71" t="s">
        <v>528</v>
      </c>
      <c r="P71">
        <v>80.010800000000003</v>
      </c>
      <c r="V71" t="s">
        <v>552</v>
      </c>
      <c r="W71">
        <v>0.44549763033175399</v>
      </c>
      <c r="AC71" t="s">
        <v>552</v>
      </c>
      <c r="AD71">
        <v>0.222748815165877</v>
      </c>
      <c r="AJ71">
        <v>12.94</v>
      </c>
      <c r="AK71">
        <v>5.98</v>
      </c>
      <c r="AL71">
        <v>19.759699999999999</v>
      </c>
      <c r="AN71">
        <v>26.154699999999998</v>
      </c>
    </row>
    <row r="72" spans="1:40" x14ac:dyDescent="0.35">
      <c r="A72" t="s">
        <v>556</v>
      </c>
      <c r="B72">
        <v>0.44</v>
      </c>
      <c r="H72" t="s">
        <v>556</v>
      </c>
      <c r="I72">
        <v>0.62</v>
      </c>
      <c r="O72" t="s">
        <v>532</v>
      </c>
      <c r="P72">
        <v>47.6143</v>
      </c>
      <c r="V72" t="s">
        <v>556</v>
      </c>
      <c r="W72">
        <v>0.61363636363636398</v>
      </c>
      <c r="AC72" t="s">
        <v>556</v>
      </c>
      <c r="AD72">
        <v>9.0909090909090898E-2</v>
      </c>
      <c r="AJ72">
        <v>16.77</v>
      </c>
      <c r="AK72">
        <v>2.4700000000000002</v>
      </c>
      <c r="AL72">
        <v>19.703900000000001</v>
      </c>
      <c r="AN72">
        <v>28.6462</v>
      </c>
    </row>
    <row r="73" spans="1:40" x14ac:dyDescent="0.35">
      <c r="A73" t="s">
        <v>560</v>
      </c>
      <c r="B73">
        <v>4.21</v>
      </c>
      <c r="H73" t="s">
        <v>560</v>
      </c>
      <c r="I73">
        <v>6.82</v>
      </c>
      <c r="O73" t="s">
        <v>536</v>
      </c>
      <c r="P73">
        <v>126.066</v>
      </c>
      <c r="V73" t="s">
        <v>560</v>
      </c>
      <c r="W73">
        <v>0.57957244655581897</v>
      </c>
      <c r="AC73" t="s">
        <v>560</v>
      </c>
      <c r="AD73">
        <v>0.78859857482185303</v>
      </c>
      <c r="AJ73">
        <v>19.3</v>
      </c>
      <c r="AK73">
        <v>0.62</v>
      </c>
      <c r="AL73">
        <v>19.691299999999998</v>
      </c>
      <c r="AN73">
        <v>23.2986</v>
      </c>
    </row>
    <row r="74" spans="1:40" x14ac:dyDescent="0.35">
      <c r="A74" t="s">
        <v>564</v>
      </c>
      <c r="B74">
        <v>1.1599999999999999</v>
      </c>
      <c r="H74" t="s">
        <v>564</v>
      </c>
      <c r="I74">
        <v>1.28</v>
      </c>
      <c r="O74" t="s">
        <v>540</v>
      </c>
      <c r="P74">
        <v>135.922</v>
      </c>
      <c r="V74" t="s">
        <v>564</v>
      </c>
      <c r="W74">
        <v>0.42241379310344801</v>
      </c>
      <c r="AC74" t="s">
        <v>564</v>
      </c>
      <c r="AD74">
        <v>0.22413793103448301</v>
      </c>
      <c r="AJ74">
        <v>25.78</v>
      </c>
      <c r="AK74">
        <v>6.82</v>
      </c>
      <c r="AL74">
        <v>19.564599999999999</v>
      </c>
      <c r="AN74">
        <v>14.157999999999999</v>
      </c>
    </row>
    <row r="75" spans="1:40" x14ac:dyDescent="0.35">
      <c r="A75" t="s">
        <v>568</v>
      </c>
      <c r="B75">
        <v>4.58</v>
      </c>
      <c r="H75" t="s">
        <v>568</v>
      </c>
      <c r="I75">
        <v>5.03</v>
      </c>
      <c r="O75" t="s">
        <v>544</v>
      </c>
      <c r="P75">
        <v>130.46199999999999</v>
      </c>
      <c r="V75" t="s">
        <v>568</v>
      </c>
      <c r="W75">
        <v>0.45196506550218302</v>
      </c>
      <c r="AC75" t="s">
        <v>568</v>
      </c>
      <c r="AD75">
        <v>0.23799126637554599</v>
      </c>
      <c r="AJ75">
        <v>15.31</v>
      </c>
      <c r="AK75">
        <v>1.28</v>
      </c>
      <c r="AL75">
        <v>19.509699999999999</v>
      </c>
      <c r="AN75">
        <v>14.8683</v>
      </c>
    </row>
    <row r="76" spans="1:40" x14ac:dyDescent="0.35">
      <c r="A76" t="s">
        <v>572</v>
      </c>
      <c r="B76">
        <v>5.35</v>
      </c>
      <c r="H76" t="s">
        <v>572</v>
      </c>
      <c r="I76">
        <v>5.39</v>
      </c>
      <c r="O76" t="s">
        <v>548</v>
      </c>
      <c r="P76">
        <v>22.465699999999998</v>
      </c>
      <c r="V76" t="s">
        <v>572</v>
      </c>
      <c r="W76">
        <v>0.41121495327102803</v>
      </c>
      <c r="AC76" t="s">
        <v>572</v>
      </c>
      <c r="AD76">
        <v>0.22056074766355099</v>
      </c>
      <c r="AJ76">
        <v>20.58</v>
      </c>
      <c r="AK76">
        <v>5.03</v>
      </c>
      <c r="AL76">
        <v>19.490500000000001</v>
      </c>
      <c r="AN76">
        <v>18.557200000000002</v>
      </c>
    </row>
    <row r="77" spans="1:40" ht="13.15" x14ac:dyDescent="0.4">
      <c r="B77" s="1">
        <f>AVERAGE(B7:B76)</f>
        <v>1.9458571428571425</v>
      </c>
      <c r="H77" t="s">
        <v>397</v>
      </c>
      <c r="I77" s="1">
        <f>AVERAGE(I7:I76)</f>
        <v>2.3947142857142856</v>
      </c>
      <c r="O77" t="s">
        <v>552</v>
      </c>
      <c r="P77">
        <v>20.091999999999999</v>
      </c>
      <c r="W77" s="1">
        <f>AVERAGE(W7:W76)</f>
        <v>0.58726891113067681</v>
      </c>
      <c r="AD77" s="1">
        <f>AVERAGE(AD7:AD76)</f>
        <v>0.33336198957755264</v>
      </c>
      <c r="AJ77">
        <v>13.39</v>
      </c>
      <c r="AK77">
        <v>5.39</v>
      </c>
      <c r="AL77">
        <v>18.9206</v>
      </c>
      <c r="AN77">
        <v>19.195399999999999</v>
      </c>
    </row>
    <row r="78" spans="1:40" ht="13.15" x14ac:dyDescent="0.4">
      <c r="B78" s="1">
        <f>STDEV(B7:B76)</f>
        <v>1.5787644158471974</v>
      </c>
      <c r="H78" t="s">
        <v>281</v>
      </c>
      <c r="I78" s="1">
        <f>STDEV(I7:I76)</f>
        <v>1.5474192834921623</v>
      </c>
      <c r="O78" t="s">
        <v>556</v>
      </c>
      <c r="P78">
        <v>117.875</v>
      </c>
      <c r="W78" s="1">
        <f>STDEV(W8:W77)</f>
        <v>0.42071989064324772</v>
      </c>
      <c r="AD78" s="1">
        <f>STDEV(AD8:AD77)</f>
        <v>0.27716398988957269</v>
      </c>
      <c r="AJ78">
        <v>17.57</v>
      </c>
      <c r="AK78" s="1">
        <f>AVERAGE(AK8:AK77)</f>
        <v>2.3947142857142856</v>
      </c>
      <c r="AL78">
        <v>18.793500000000002</v>
      </c>
      <c r="AN78">
        <v>34.000100000000003</v>
      </c>
    </row>
    <row r="79" spans="1:40" ht="13.15" x14ac:dyDescent="0.4">
      <c r="B79" s="1">
        <f>B78/SQRT(70)</f>
        <v>0.1886984397219672</v>
      </c>
      <c r="H79" t="s">
        <v>284</v>
      </c>
      <c r="I79" s="1">
        <f>I78/SQRT(70)</f>
        <v>0.18495197982655609</v>
      </c>
      <c r="O79" t="s">
        <v>560</v>
      </c>
      <c r="W79" s="1">
        <f>STDEV(W9:W78)/SQRT(70)</f>
        <v>5.0330967443653792E-2</v>
      </c>
      <c r="AD79" s="1">
        <f>STDEV(AD9:AD78)/SQRT(70)</f>
        <v>3.3000309188188671E-2</v>
      </c>
      <c r="AJ79">
        <v>22.31</v>
      </c>
      <c r="AL79">
        <v>18.661300000000001</v>
      </c>
      <c r="AN79">
        <v>19.396899999999999</v>
      </c>
    </row>
    <row r="80" spans="1:40" x14ac:dyDescent="0.35">
      <c r="O80" t="s">
        <v>944</v>
      </c>
      <c r="AJ80">
        <v>35.15</v>
      </c>
      <c r="AL80">
        <v>18.604900000000001</v>
      </c>
      <c r="AN80">
        <v>37.654899999999998</v>
      </c>
    </row>
    <row r="81" spans="15:40" x14ac:dyDescent="0.35">
      <c r="O81" t="s">
        <v>945</v>
      </c>
      <c r="AJ81">
        <v>20.37</v>
      </c>
      <c r="AL81">
        <v>18.569700000000001</v>
      </c>
      <c r="AN81">
        <v>25.078099999999999</v>
      </c>
    </row>
    <row r="82" spans="15:40" ht="13.15" x14ac:dyDescent="0.4">
      <c r="O82" t="s">
        <v>946</v>
      </c>
      <c r="AJ82">
        <v>22.06</v>
      </c>
      <c r="AK82" s="1"/>
      <c r="AL82">
        <v>18.455200000000001</v>
      </c>
      <c r="AN82">
        <v>16.944900000000001</v>
      </c>
    </row>
    <row r="83" spans="15:40" x14ac:dyDescent="0.35">
      <c r="O83" t="s">
        <v>947</v>
      </c>
      <c r="AJ83">
        <v>10.28</v>
      </c>
      <c r="AL83">
        <v>18.334</v>
      </c>
      <c r="AN83">
        <v>23.5932</v>
      </c>
    </row>
    <row r="84" spans="15:40" x14ac:dyDescent="0.35">
      <c r="O84" t="s">
        <v>564</v>
      </c>
      <c r="AJ84">
        <v>22.47</v>
      </c>
      <c r="AL84">
        <v>18.1706</v>
      </c>
      <c r="AN84">
        <v>21.398199999999999</v>
      </c>
    </row>
    <row r="85" spans="15:40" x14ac:dyDescent="0.35">
      <c r="O85" t="s">
        <v>568</v>
      </c>
      <c r="AJ85">
        <v>16.78</v>
      </c>
      <c r="AL85">
        <v>17.950199999999999</v>
      </c>
      <c r="AN85">
        <v>18.646699999999999</v>
      </c>
    </row>
    <row r="86" spans="15:40" x14ac:dyDescent="0.35">
      <c r="O86" t="s">
        <v>572</v>
      </c>
      <c r="AJ86">
        <v>21.77</v>
      </c>
      <c r="AL86">
        <v>17.7849</v>
      </c>
      <c r="AN86">
        <v>14.693899999999999</v>
      </c>
    </row>
    <row r="87" spans="15:40" ht="13.15" x14ac:dyDescent="0.4">
      <c r="P87" s="1">
        <f>AVERAGE(Supplementary_Fig8!P7:P75)</f>
        <v>30.475003336047859</v>
      </c>
      <c r="AJ87">
        <v>10.02</v>
      </c>
      <c r="AL87">
        <v>17.706199999999999</v>
      </c>
      <c r="AN87">
        <v>30.4373</v>
      </c>
    </row>
    <row r="88" spans="15:40" x14ac:dyDescent="0.35">
      <c r="P88">
        <f>STDEV(Supplementary_Fig8!P7:P75)</f>
        <v>52.035635359440008</v>
      </c>
      <c r="AJ88">
        <v>30.77</v>
      </c>
      <c r="AL88">
        <v>17.632899999999999</v>
      </c>
      <c r="AN88">
        <v>5.7176</v>
      </c>
    </row>
    <row r="89" spans="15:40" x14ac:dyDescent="0.35">
      <c r="P89">
        <f>Supplementary_Fig8!P88/SQRT(63)</f>
        <v>0</v>
      </c>
      <c r="AJ89">
        <v>18.11</v>
      </c>
      <c r="AL89">
        <v>17.1435</v>
      </c>
      <c r="AN89">
        <v>10.436500000000001</v>
      </c>
    </row>
    <row r="90" spans="15:40" x14ac:dyDescent="0.35">
      <c r="AJ90">
        <v>21.08</v>
      </c>
      <c r="AL90">
        <v>17.042999999999999</v>
      </c>
      <c r="AN90">
        <v>27.313700000000001</v>
      </c>
    </row>
    <row r="91" spans="15:40" x14ac:dyDescent="0.35">
      <c r="AJ91">
        <v>21.52</v>
      </c>
      <c r="AL91">
        <v>16.8203</v>
      </c>
      <c r="AN91">
        <v>25.653700000000001</v>
      </c>
    </row>
    <row r="92" spans="15:40" x14ac:dyDescent="0.35">
      <c r="AJ92">
        <v>23.3</v>
      </c>
      <c r="AL92">
        <v>16.6889</v>
      </c>
      <c r="AN92">
        <v>23.2666</v>
      </c>
    </row>
    <row r="93" spans="15:40" x14ac:dyDescent="0.35">
      <c r="AJ93">
        <v>10.46</v>
      </c>
      <c r="AL93">
        <v>16.675799999999999</v>
      </c>
      <c r="AN93">
        <v>23.990400000000001</v>
      </c>
    </row>
    <row r="94" spans="15:40" x14ac:dyDescent="0.35">
      <c r="AJ94">
        <v>12.13</v>
      </c>
      <c r="AL94">
        <v>16.651299999999999</v>
      </c>
      <c r="AN94">
        <v>7.1794000000000002</v>
      </c>
    </row>
    <row r="95" spans="15:40" x14ac:dyDescent="0.35">
      <c r="AJ95">
        <v>12.18</v>
      </c>
      <c r="AL95">
        <v>16.581</v>
      </c>
      <c r="AN95">
        <v>20.98</v>
      </c>
    </row>
    <row r="96" spans="15:40" x14ac:dyDescent="0.35">
      <c r="AJ96">
        <v>11.63</v>
      </c>
      <c r="AL96">
        <v>16.513400000000001</v>
      </c>
      <c r="AN96">
        <v>24.3398</v>
      </c>
    </row>
    <row r="97" spans="36:40" ht="13.15" x14ac:dyDescent="0.4">
      <c r="AJ97">
        <v>16.309999999999999</v>
      </c>
      <c r="AL97">
        <v>16.395800000000001</v>
      </c>
      <c r="AN97" s="1">
        <f>AVERAGE(AN8:AN96)</f>
        <v>19.716414606741576</v>
      </c>
    </row>
    <row r="98" spans="36:40" x14ac:dyDescent="0.35">
      <c r="AJ98">
        <v>11.21</v>
      </c>
      <c r="AL98">
        <v>16.334</v>
      </c>
    </row>
    <row r="99" spans="36:40" x14ac:dyDescent="0.35">
      <c r="AJ99">
        <v>20.220300000000002</v>
      </c>
      <c r="AL99">
        <v>16.262699999999999</v>
      </c>
    </row>
    <row r="100" spans="36:40" x14ac:dyDescent="0.35">
      <c r="AJ100">
        <v>18.806000000000001</v>
      </c>
      <c r="AL100">
        <v>16.130199999999999</v>
      </c>
    </row>
    <row r="101" spans="36:40" x14ac:dyDescent="0.35">
      <c r="AJ101">
        <v>26.512599999999999</v>
      </c>
      <c r="AL101">
        <v>16.077500000000001</v>
      </c>
    </row>
    <row r="102" spans="36:40" x14ac:dyDescent="0.35">
      <c r="AJ102">
        <v>23.414200000000001</v>
      </c>
      <c r="AL102">
        <v>15.478199999999999</v>
      </c>
    </row>
    <row r="103" spans="36:40" x14ac:dyDescent="0.35">
      <c r="AJ103">
        <v>17.911200000000001</v>
      </c>
      <c r="AL103">
        <v>15.2614</v>
      </c>
    </row>
    <row r="104" spans="36:40" x14ac:dyDescent="0.35">
      <c r="AJ104">
        <v>12.303900000000001</v>
      </c>
      <c r="AL104">
        <v>15.196</v>
      </c>
    </row>
    <row r="105" spans="36:40" x14ac:dyDescent="0.35">
      <c r="AJ105">
        <v>24.620100000000001</v>
      </c>
      <c r="AL105">
        <v>15.117900000000001</v>
      </c>
    </row>
    <row r="106" spans="36:40" x14ac:dyDescent="0.35">
      <c r="AJ106">
        <v>17.429400000000001</v>
      </c>
      <c r="AL106">
        <v>14.6404</v>
      </c>
    </row>
    <row r="107" spans="36:40" x14ac:dyDescent="0.35">
      <c r="AJ107">
        <v>8.3085000000000004</v>
      </c>
      <c r="AL107">
        <v>14.1328</v>
      </c>
    </row>
    <row r="108" spans="36:40" x14ac:dyDescent="0.35">
      <c r="AJ108">
        <v>10.884399999999999</v>
      </c>
      <c r="AL108">
        <v>13.8772</v>
      </c>
    </row>
    <row r="109" spans="36:40" x14ac:dyDescent="0.35">
      <c r="AJ109">
        <v>23.492599999999999</v>
      </c>
      <c r="AL109">
        <v>13.8527</v>
      </c>
    </row>
    <row r="110" spans="36:40" x14ac:dyDescent="0.35">
      <c r="AJ110">
        <v>18.100000000000001</v>
      </c>
      <c r="AL110">
        <v>13.591900000000001</v>
      </c>
    </row>
    <row r="111" spans="36:40" x14ac:dyDescent="0.35">
      <c r="AJ111">
        <v>29.73</v>
      </c>
      <c r="AL111">
        <v>13.245799999999999</v>
      </c>
    </row>
    <row r="112" spans="36:40" x14ac:dyDescent="0.35">
      <c r="AJ112">
        <v>15.359</v>
      </c>
      <c r="AL112">
        <v>13.059900000000001</v>
      </c>
    </row>
    <row r="113" spans="36:38" x14ac:dyDescent="0.35">
      <c r="AJ113">
        <v>18.930499999999999</v>
      </c>
      <c r="AL113">
        <v>12.82</v>
      </c>
    </row>
    <row r="114" spans="36:38" x14ac:dyDescent="0.35">
      <c r="AJ114">
        <v>19.7271</v>
      </c>
      <c r="AL114">
        <v>12.605600000000001</v>
      </c>
    </row>
    <row r="115" spans="36:38" x14ac:dyDescent="0.35">
      <c r="AJ115">
        <v>16.381900000000002</v>
      </c>
      <c r="AL115">
        <v>12.3672</v>
      </c>
    </row>
    <row r="116" spans="36:38" x14ac:dyDescent="0.35">
      <c r="AJ116">
        <v>23.207100000000001</v>
      </c>
      <c r="AL116">
        <v>12.0008</v>
      </c>
    </row>
    <row r="117" spans="36:38" x14ac:dyDescent="0.35">
      <c r="AJ117">
        <v>22.8123</v>
      </c>
      <c r="AL117">
        <v>11.853</v>
      </c>
    </row>
    <row r="118" spans="36:38" x14ac:dyDescent="0.35">
      <c r="AJ118">
        <v>25.884</v>
      </c>
      <c r="AL118">
        <v>11.1334</v>
      </c>
    </row>
    <row r="119" spans="36:38" x14ac:dyDescent="0.35">
      <c r="AJ119">
        <v>16.34</v>
      </c>
      <c r="AL119">
        <v>10.8642</v>
      </c>
    </row>
    <row r="120" spans="36:38" x14ac:dyDescent="0.35">
      <c r="AJ120">
        <v>23.221</v>
      </c>
      <c r="AL120">
        <v>10.614599999999999</v>
      </c>
    </row>
    <row r="121" spans="36:38" x14ac:dyDescent="0.35">
      <c r="AJ121">
        <v>8.0969999999999995</v>
      </c>
      <c r="AL121">
        <v>10.4709</v>
      </c>
    </row>
    <row r="122" spans="36:38" x14ac:dyDescent="0.35">
      <c r="AJ122">
        <v>20.451599999999999</v>
      </c>
      <c r="AL122">
        <v>10.042199999999999</v>
      </c>
    </row>
    <row r="123" spans="36:38" x14ac:dyDescent="0.35">
      <c r="AJ123">
        <v>8.4600000000000009</v>
      </c>
      <c r="AL123">
        <v>9.7302999999999997</v>
      </c>
    </row>
    <row r="124" spans="36:38" x14ac:dyDescent="0.35">
      <c r="AJ124">
        <v>12.4734</v>
      </c>
      <c r="AL124">
        <v>9.7202000000000002</v>
      </c>
    </row>
    <row r="125" spans="36:38" x14ac:dyDescent="0.35">
      <c r="AJ125">
        <v>15.9061</v>
      </c>
      <c r="AL125">
        <v>9.1798999999999999</v>
      </c>
    </row>
    <row r="126" spans="36:38" x14ac:dyDescent="0.35">
      <c r="AJ126">
        <v>14.639900000000001</v>
      </c>
      <c r="AL126">
        <v>9.1281999999999996</v>
      </c>
    </row>
    <row r="127" spans="36:38" x14ac:dyDescent="0.35">
      <c r="AJ127">
        <v>10.656499999999999</v>
      </c>
      <c r="AL127">
        <v>9.077</v>
      </c>
    </row>
    <row r="128" spans="36:38" x14ac:dyDescent="0.35">
      <c r="AJ128">
        <v>14.498699999999999</v>
      </c>
      <c r="AL128">
        <v>7.9524999999999997</v>
      </c>
    </row>
    <row r="129" spans="36:38" ht="13.15" x14ac:dyDescent="0.4">
      <c r="AJ129" s="1">
        <f>AVERAGE(AJ8:AJ128)</f>
        <v>17.372917355371904</v>
      </c>
      <c r="AL129">
        <v>7.82899999999999</v>
      </c>
    </row>
    <row r="130" spans="36:38" x14ac:dyDescent="0.35">
      <c r="AL130">
        <v>4.3384999999999998</v>
      </c>
    </row>
    <row r="131" spans="36:38" ht="13.15" x14ac:dyDescent="0.4">
      <c r="AL131" s="1">
        <f>AVERAGE(AL8:AL130)</f>
        <v>20.57495154471545</v>
      </c>
    </row>
  </sheetData>
  <mergeCells count="24">
    <mergeCell ref="AJ5:AO5"/>
    <mergeCell ref="AJ6:AK6"/>
    <mergeCell ref="AL6:AM6"/>
    <mergeCell ref="AN6:AO6"/>
    <mergeCell ref="X5:Y5"/>
    <mergeCell ref="Z5:AA5"/>
    <mergeCell ref="AC5:AD5"/>
    <mergeCell ref="AE5:AF5"/>
    <mergeCell ref="AG5:AH5"/>
    <mergeCell ref="L5:M5"/>
    <mergeCell ref="O5:P5"/>
    <mergeCell ref="Q5:R5"/>
    <mergeCell ref="S5:T5"/>
    <mergeCell ref="V5:W5"/>
    <mergeCell ref="A5:B5"/>
    <mergeCell ref="C5:D5"/>
    <mergeCell ref="E5:F5"/>
    <mergeCell ref="H5:I5"/>
    <mergeCell ref="J5:K5"/>
    <mergeCell ref="A4:F4"/>
    <mergeCell ref="H4:M4"/>
    <mergeCell ref="O4:T4"/>
    <mergeCell ref="V4:AA4"/>
    <mergeCell ref="AC4:AH4"/>
  </mergeCells>
  <pageMargins left="0.78749999999999998" right="0.78749999999999998" top="1.05277777777778" bottom="1.05277777777778" header="0.78749999999999998" footer="0.78749999999999998"/>
  <pageSetup firstPageNumber="0" orientation="portrait" horizontalDpi="1200" verticalDpi="1200" r:id="rId1"/>
  <headerFooter>
    <oddHeader>&amp;C&amp;"Times New Roman,Regular"&amp;12&amp;A</oddHeader>
    <oddFooter>&amp;C&amp;"Times New Roman,Regular"&amp;12Page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U47"/>
  <sheetViews>
    <sheetView zoomScale="120" zoomScaleNormal="120" workbookViewId="0">
      <selection activeCell="C1" sqref="C1"/>
    </sheetView>
  </sheetViews>
  <sheetFormatPr defaultRowHeight="12.75" x14ac:dyDescent="0.35"/>
  <cols>
    <col min="1" max="1025" width="11.33203125"/>
  </cols>
  <sheetData>
    <row r="1" spans="1:73" ht="118.15" x14ac:dyDescent="0.4">
      <c r="A1" s="37" t="s">
        <v>1198</v>
      </c>
    </row>
    <row r="3" spans="1:73" ht="13.15" x14ac:dyDescent="0.4">
      <c r="A3" s="43" t="s">
        <v>1199</v>
      </c>
      <c r="B3" s="43"/>
      <c r="C3" s="43"/>
      <c r="D3" s="43"/>
      <c r="E3" s="43"/>
      <c r="F3" s="43"/>
      <c r="H3" s="43" t="s">
        <v>1200</v>
      </c>
      <c r="I3" s="43"/>
      <c r="J3" s="43"/>
      <c r="K3" s="43"/>
      <c r="L3" s="43"/>
      <c r="M3" s="43"/>
      <c r="O3" s="43" t="s">
        <v>1201</v>
      </c>
      <c r="P3" s="43"/>
      <c r="Q3" s="43"/>
      <c r="R3" s="43"/>
      <c r="S3" s="43"/>
      <c r="T3" s="43"/>
      <c r="V3" s="43" t="s">
        <v>1202</v>
      </c>
      <c r="W3" s="43"/>
      <c r="X3" s="43"/>
      <c r="Y3" s="43"/>
      <c r="Z3" s="43"/>
      <c r="AA3" s="43"/>
      <c r="AC3" s="43" t="s">
        <v>1203</v>
      </c>
      <c r="AD3" s="43"/>
      <c r="AE3" s="43"/>
      <c r="AF3" s="43"/>
      <c r="AG3" s="43"/>
      <c r="AH3" s="43"/>
      <c r="AJ3" s="43" t="s">
        <v>1204</v>
      </c>
      <c r="AK3" s="43"/>
      <c r="AL3" s="43"/>
      <c r="AM3" s="43"/>
      <c r="AN3" s="43"/>
      <c r="AO3" s="43"/>
      <c r="AQ3" s="43" t="s">
        <v>1205</v>
      </c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G3" s="43" t="s">
        <v>1206</v>
      </c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</row>
    <row r="4" spans="1:73" ht="13.15" x14ac:dyDescent="0.4">
      <c r="A4" s="49" t="s">
        <v>1031</v>
      </c>
      <c r="B4" s="49"/>
      <c r="C4" s="50" t="s">
        <v>9</v>
      </c>
      <c r="D4" s="50"/>
      <c r="E4" s="51" t="s">
        <v>10</v>
      </c>
      <c r="F4" s="51"/>
      <c r="H4" s="49" t="s">
        <v>1031</v>
      </c>
      <c r="I4" s="49"/>
      <c r="J4" s="50" t="s">
        <v>9</v>
      </c>
      <c r="K4" s="50"/>
      <c r="L4" s="51" t="s">
        <v>10</v>
      </c>
      <c r="M4" s="51"/>
      <c r="O4" s="49" t="s">
        <v>1031</v>
      </c>
      <c r="P4" s="49"/>
      <c r="Q4" s="50" t="s">
        <v>9</v>
      </c>
      <c r="R4" s="50"/>
      <c r="S4" s="51" t="s">
        <v>10</v>
      </c>
      <c r="T4" s="51"/>
      <c r="V4" s="49" t="s">
        <v>1031</v>
      </c>
      <c r="W4" s="49"/>
      <c r="X4" s="50" t="s">
        <v>9</v>
      </c>
      <c r="Y4" s="50"/>
      <c r="Z4" s="51" t="s">
        <v>10</v>
      </c>
      <c r="AA4" s="51"/>
      <c r="AC4" s="49" t="s">
        <v>1031</v>
      </c>
      <c r="AD4" s="49"/>
      <c r="AE4" s="50" t="s">
        <v>9</v>
      </c>
      <c r="AF4" s="50"/>
      <c r="AG4" s="51" t="s">
        <v>10</v>
      </c>
      <c r="AH4" s="51"/>
      <c r="AJ4" s="49" t="s">
        <v>1031</v>
      </c>
      <c r="AK4" s="49"/>
      <c r="AL4" s="50" t="s">
        <v>9</v>
      </c>
      <c r="AM4" s="50"/>
      <c r="AN4" s="51" t="s">
        <v>10</v>
      </c>
      <c r="AO4" s="51"/>
      <c r="AQ4" s="49" t="s">
        <v>1</v>
      </c>
      <c r="AR4" s="49"/>
      <c r="AS4" s="49"/>
      <c r="AT4" s="49"/>
      <c r="AU4" s="49"/>
      <c r="AV4" s="50" t="s">
        <v>9</v>
      </c>
      <c r="AW4" s="50"/>
      <c r="AX4" s="50"/>
      <c r="AY4" s="50"/>
      <c r="AZ4" s="50"/>
      <c r="BA4" s="51" t="s">
        <v>10</v>
      </c>
      <c r="BB4" s="51"/>
      <c r="BC4" s="51"/>
      <c r="BD4" s="51"/>
      <c r="BE4" s="51"/>
      <c r="BG4" s="39" t="s">
        <v>1</v>
      </c>
      <c r="BH4" s="39"/>
      <c r="BI4" s="39"/>
      <c r="BJ4" s="39"/>
      <c r="BK4" s="39"/>
      <c r="BL4" s="40" t="s">
        <v>9</v>
      </c>
      <c r="BM4" s="40"/>
      <c r="BN4" s="40"/>
      <c r="BO4" s="40"/>
      <c r="BP4" s="40"/>
      <c r="BQ4" s="41" t="s">
        <v>10</v>
      </c>
      <c r="BR4" s="41"/>
      <c r="BS4" s="41"/>
      <c r="BT4" s="41"/>
      <c r="BU4" s="41"/>
    </row>
    <row r="5" spans="1:73" ht="14.65" x14ac:dyDescent="0.4">
      <c r="A5" t="s">
        <v>15</v>
      </c>
      <c r="B5" t="s">
        <v>145</v>
      </c>
      <c r="C5" t="s">
        <v>15</v>
      </c>
      <c r="D5" t="s">
        <v>145</v>
      </c>
      <c r="E5" t="s">
        <v>15</v>
      </c>
      <c r="F5" t="s">
        <v>145</v>
      </c>
      <c r="H5" t="s">
        <v>15</v>
      </c>
      <c r="I5" t="s">
        <v>146</v>
      </c>
      <c r="J5" t="s">
        <v>15</v>
      </c>
      <c r="K5" t="s">
        <v>146</v>
      </c>
      <c r="L5" t="s">
        <v>15</v>
      </c>
      <c r="M5" t="s">
        <v>146</v>
      </c>
      <c r="O5" t="s">
        <v>15</v>
      </c>
      <c r="P5" t="s">
        <v>147</v>
      </c>
      <c r="Q5" t="s">
        <v>15</v>
      </c>
      <c r="R5" t="s">
        <v>147</v>
      </c>
      <c r="S5" t="s">
        <v>15</v>
      </c>
      <c r="T5" t="s">
        <v>147</v>
      </c>
      <c r="V5" t="s">
        <v>15</v>
      </c>
      <c r="W5" s="17" t="s">
        <v>148</v>
      </c>
      <c r="X5" t="s">
        <v>15</v>
      </c>
      <c r="Y5" s="17" t="s">
        <v>148</v>
      </c>
      <c r="Z5" t="s">
        <v>15</v>
      </c>
      <c r="AA5" s="17" t="s">
        <v>148</v>
      </c>
      <c r="AC5" t="s">
        <v>309</v>
      </c>
      <c r="AD5" t="s">
        <v>186</v>
      </c>
      <c r="AE5" t="s">
        <v>309</v>
      </c>
      <c r="AF5" t="s">
        <v>186</v>
      </c>
      <c r="AG5" t="s">
        <v>309</v>
      </c>
      <c r="AH5" t="s">
        <v>186</v>
      </c>
      <c r="AJ5" t="s">
        <v>309</v>
      </c>
      <c r="AK5" t="s">
        <v>186</v>
      </c>
      <c r="AL5" t="s">
        <v>309</v>
      </c>
      <c r="AM5" t="s">
        <v>186</v>
      </c>
      <c r="AN5" t="s">
        <v>309</v>
      </c>
      <c r="AO5" t="s">
        <v>186</v>
      </c>
      <c r="AQ5" s="42" t="s">
        <v>157</v>
      </c>
      <c r="AR5" s="42"/>
      <c r="AS5" s="42"/>
      <c r="AT5" s="42"/>
      <c r="AU5" s="42"/>
      <c r="AV5" s="42" t="s">
        <v>157</v>
      </c>
      <c r="AW5" s="42"/>
      <c r="AX5" s="42"/>
      <c r="AY5" s="42"/>
      <c r="AZ5" s="42"/>
      <c r="BA5" s="42" t="s">
        <v>157</v>
      </c>
      <c r="BB5" s="42"/>
      <c r="BC5" s="42"/>
      <c r="BD5" s="42"/>
      <c r="BE5" s="42"/>
      <c r="BG5" t="s">
        <v>1207</v>
      </c>
      <c r="BH5" t="s">
        <v>1208</v>
      </c>
      <c r="BI5" t="s">
        <v>1209</v>
      </c>
      <c r="BJ5" t="s">
        <v>1210</v>
      </c>
      <c r="BK5" s="19" t="s">
        <v>1211</v>
      </c>
      <c r="BL5" t="s">
        <v>1207</v>
      </c>
      <c r="BM5" t="s">
        <v>1208</v>
      </c>
      <c r="BN5" t="s">
        <v>1209</v>
      </c>
      <c r="BO5" t="s">
        <v>1210</v>
      </c>
      <c r="BP5" s="19" t="s">
        <v>1211</v>
      </c>
      <c r="BQ5" t="s">
        <v>1207</v>
      </c>
      <c r="BR5" t="s">
        <v>1208</v>
      </c>
      <c r="BS5" t="s">
        <v>1209</v>
      </c>
      <c r="BT5" t="s">
        <v>1210</v>
      </c>
      <c r="BU5" s="19" t="s">
        <v>1211</v>
      </c>
    </row>
    <row r="6" spans="1:73" x14ac:dyDescent="0.35">
      <c r="A6" t="s">
        <v>158</v>
      </c>
      <c r="B6">
        <v>20315.625710043601</v>
      </c>
      <c r="C6" t="s">
        <v>159</v>
      </c>
      <c r="D6" s="2">
        <v>703.66485121276901</v>
      </c>
      <c r="E6" s="18" t="s">
        <v>160</v>
      </c>
      <c r="F6">
        <v>3424.3318205256201</v>
      </c>
      <c r="H6" t="s">
        <v>158</v>
      </c>
      <c r="I6">
        <v>200</v>
      </c>
      <c r="J6" t="s">
        <v>159</v>
      </c>
      <c r="K6">
        <v>5</v>
      </c>
      <c r="L6" s="18" t="s">
        <v>160</v>
      </c>
      <c r="M6">
        <v>15</v>
      </c>
      <c r="O6" t="s">
        <v>161</v>
      </c>
      <c r="P6">
        <v>3408.6084981775598</v>
      </c>
      <c r="Q6" s="8" t="s">
        <v>159</v>
      </c>
      <c r="R6" s="8">
        <v>3357.1783826608198</v>
      </c>
      <c r="S6" s="18" t="s">
        <v>160</v>
      </c>
      <c r="T6">
        <v>2344.0882402659499</v>
      </c>
      <c r="V6" t="s">
        <v>161</v>
      </c>
      <c r="W6">
        <v>1803.8844956129999</v>
      </c>
      <c r="X6" s="8" t="s">
        <v>159</v>
      </c>
      <c r="Y6" s="8">
        <v>1154.4415006412601</v>
      </c>
      <c r="Z6" s="18" t="s">
        <v>160</v>
      </c>
      <c r="AA6">
        <v>3359.9307667119601</v>
      </c>
      <c r="AC6">
        <v>152.61245525790901</v>
      </c>
      <c r="AD6">
        <v>0.39315270761224802</v>
      </c>
      <c r="AE6">
        <v>366.81079430501399</v>
      </c>
      <c r="AF6">
        <v>0.44709698445686702</v>
      </c>
      <c r="AG6">
        <v>505.54135284928202</v>
      </c>
      <c r="AH6">
        <v>0.53605901569202397</v>
      </c>
      <c r="AJ6">
        <v>142.25648819304399</v>
      </c>
      <c r="AK6">
        <v>0.239004915922439</v>
      </c>
      <c r="AL6">
        <v>414.84748593705098</v>
      </c>
      <c r="AM6">
        <v>0.63878897422126601</v>
      </c>
      <c r="AN6">
        <v>433.31172010683599</v>
      </c>
      <c r="AO6">
        <v>0.43848340855667101</v>
      </c>
      <c r="AR6" s="19" t="s">
        <v>164</v>
      </c>
      <c r="AS6" s="19" t="s">
        <v>165</v>
      </c>
      <c r="AT6" s="19" t="s">
        <v>166</v>
      </c>
      <c r="AU6" t="s">
        <v>167</v>
      </c>
      <c r="AW6" s="19" t="s">
        <v>164</v>
      </c>
      <c r="AX6" s="19" t="s">
        <v>165</v>
      </c>
      <c r="AY6" s="19" t="s">
        <v>166</v>
      </c>
      <c r="AZ6" t="s">
        <v>167</v>
      </c>
      <c r="BB6" s="19" t="s">
        <v>164</v>
      </c>
      <c r="BC6" s="19" t="s">
        <v>165</v>
      </c>
      <c r="BD6" s="19" t="s">
        <v>166</v>
      </c>
      <c r="BE6" t="s">
        <v>167</v>
      </c>
      <c r="BG6">
        <v>1152.3699999999999</v>
      </c>
      <c r="BH6">
        <v>157.81</v>
      </c>
      <c r="BI6">
        <v>350</v>
      </c>
      <c r="BJ6">
        <f>BG6*BH6*BI6</f>
        <v>63649428.394999996</v>
      </c>
      <c r="BK6">
        <f>BJ6/10000</f>
        <v>6364.9428394999995</v>
      </c>
      <c r="BL6">
        <v>1250.32</v>
      </c>
      <c r="BM6">
        <v>227.31</v>
      </c>
      <c r="BN6">
        <v>350</v>
      </c>
      <c r="BO6">
        <f>BL6*BM6*BN6</f>
        <v>99473583.719999999</v>
      </c>
      <c r="BP6">
        <f>BO6/10000</f>
        <v>9947.3583720000006</v>
      </c>
      <c r="BQ6">
        <v>1354.59</v>
      </c>
      <c r="BR6">
        <v>222.78</v>
      </c>
      <c r="BS6">
        <v>350</v>
      </c>
      <c r="BT6">
        <f>BQ6*BR6*BS6</f>
        <v>105621446.07000001</v>
      </c>
      <c r="BU6">
        <f>BT6/10000</f>
        <v>10562.144607</v>
      </c>
    </row>
    <row r="7" spans="1:73" x14ac:dyDescent="0.35">
      <c r="A7" t="s">
        <v>168</v>
      </c>
      <c r="B7">
        <v>9737.8393853669895</v>
      </c>
      <c r="C7" t="s">
        <v>169</v>
      </c>
      <c r="D7">
        <v>5651.2389127219203</v>
      </c>
      <c r="E7" t="s">
        <v>170</v>
      </c>
      <c r="F7" s="2">
        <v>1103.55927034874</v>
      </c>
      <c r="H7" t="s">
        <v>168</v>
      </c>
      <c r="I7">
        <v>104</v>
      </c>
      <c r="J7" t="s">
        <v>169</v>
      </c>
      <c r="K7">
        <v>37</v>
      </c>
      <c r="L7" t="s">
        <v>170</v>
      </c>
      <c r="M7">
        <v>5</v>
      </c>
      <c r="O7" t="s">
        <v>158</v>
      </c>
      <c r="P7">
        <v>1205.3991971764401</v>
      </c>
      <c r="Q7" s="8" t="s">
        <v>169</v>
      </c>
      <c r="R7" s="8">
        <v>3460.1234906893201</v>
      </c>
      <c r="S7" t="s">
        <v>170</v>
      </c>
      <c r="T7">
        <v>4242.4949717865902</v>
      </c>
      <c r="V7" t="s">
        <v>158</v>
      </c>
      <c r="W7">
        <v>1006.8697374691</v>
      </c>
      <c r="X7" s="8" t="s">
        <v>169</v>
      </c>
      <c r="Y7" s="8">
        <v>1693.8659420495601</v>
      </c>
      <c r="Z7" t="s">
        <v>170</v>
      </c>
      <c r="AA7">
        <v>624.40059322739501</v>
      </c>
      <c r="AC7">
        <v>206.41454148151701</v>
      </c>
      <c r="AD7">
        <v>0.10658163829979</v>
      </c>
      <c r="AE7">
        <v>384.75494228119999</v>
      </c>
      <c r="AF7">
        <v>0.740731225725767</v>
      </c>
      <c r="AG7">
        <v>352.90920386690902</v>
      </c>
      <c r="AH7">
        <v>0.80473956725453799</v>
      </c>
      <c r="AJ7">
        <v>240.602246699094</v>
      </c>
      <c r="AK7">
        <v>6.2343557492875602E-2</v>
      </c>
      <c r="AL7">
        <v>307.41990127737398</v>
      </c>
      <c r="AM7">
        <v>0.62780580957204601</v>
      </c>
      <c r="AN7">
        <v>310.98700428710998</v>
      </c>
      <c r="AO7">
        <v>0.76530529160077998</v>
      </c>
      <c r="AQ7" t="s">
        <v>171</v>
      </c>
      <c r="AR7">
        <v>1.61</v>
      </c>
      <c r="AS7">
        <v>1.08</v>
      </c>
      <c r="AU7">
        <v>80224</v>
      </c>
      <c r="AV7" t="s">
        <v>171</v>
      </c>
      <c r="AW7">
        <v>2.27</v>
      </c>
      <c r="AX7">
        <v>2.31</v>
      </c>
      <c r="AZ7">
        <v>140624</v>
      </c>
      <c r="BA7" t="s">
        <v>171</v>
      </c>
      <c r="BB7">
        <v>2.7</v>
      </c>
      <c r="BC7">
        <v>2.08</v>
      </c>
      <c r="BD7">
        <v>1.73</v>
      </c>
      <c r="BE7">
        <v>130624</v>
      </c>
    </row>
    <row r="8" spans="1:73" x14ac:dyDescent="0.35">
      <c r="A8" t="s">
        <v>172</v>
      </c>
      <c r="B8">
        <v>7005.0260094551704</v>
      </c>
      <c r="C8" t="s">
        <v>173</v>
      </c>
      <c r="D8" s="2">
        <v>551.83924514427702</v>
      </c>
      <c r="E8" t="s">
        <v>174</v>
      </c>
      <c r="F8" s="2">
        <v>1311.7195707354999</v>
      </c>
      <c r="H8" t="s">
        <v>172</v>
      </c>
      <c r="I8">
        <v>68</v>
      </c>
      <c r="J8" t="s">
        <v>173</v>
      </c>
      <c r="K8">
        <v>6</v>
      </c>
      <c r="L8" t="s">
        <v>174</v>
      </c>
      <c r="M8">
        <v>9</v>
      </c>
      <c r="O8" t="s">
        <v>168</v>
      </c>
      <c r="P8">
        <v>758.36153619729896</v>
      </c>
      <c r="Q8" s="8" t="s">
        <v>175</v>
      </c>
      <c r="R8" s="8">
        <v>3668.1771161841698</v>
      </c>
      <c r="S8" t="s">
        <v>174</v>
      </c>
      <c r="T8">
        <v>1728.7276051133799</v>
      </c>
      <c r="V8" t="s">
        <v>168</v>
      </c>
      <c r="W8">
        <v>795.71455053200896</v>
      </c>
      <c r="X8" s="8" t="s">
        <v>175</v>
      </c>
      <c r="Y8" s="8">
        <v>1568.6488514535299</v>
      </c>
      <c r="Z8" t="s">
        <v>174</v>
      </c>
      <c r="AA8">
        <v>761.08206535895795</v>
      </c>
      <c r="AC8">
        <v>272.46656061638203</v>
      </c>
      <c r="AD8">
        <v>0.293614012005809</v>
      </c>
      <c r="AE8">
        <v>375.85506176344398</v>
      </c>
      <c r="AF8">
        <v>0.691756015683618</v>
      </c>
      <c r="AG8">
        <v>332.30657301655299</v>
      </c>
      <c r="AH8">
        <v>0.73727100182215299</v>
      </c>
      <c r="AJ8">
        <v>210.99695756073899</v>
      </c>
      <c r="AK8">
        <v>0.142182144931469</v>
      </c>
      <c r="AL8">
        <v>373.19455636091197</v>
      </c>
      <c r="AM8">
        <v>0.47428344541238499</v>
      </c>
      <c r="AN8">
        <v>366.60008481130001</v>
      </c>
      <c r="AO8">
        <v>0.72285853435195802</v>
      </c>
      <c r="AQ8" t="s">
        <v>176</v>
      </c>
      <c r="AR8">
        <v>1.47</v>
      </c>
      <c r="AS8">
        <v>1.34</v>
      </c>
      <c r="AT8">
        <v>1.75</v>
      </c>
      <c r="AU8">
        <v>80224</v>
      </c>
      <c r="AV8" t="s">
        <v>176</v>
      </c>
      <c r="AW8">
        <v>2.41</v>
      </c>
      <c r="AX8">
        <v>1.56</v>
      </c>
      <c r="AY8">
        <v>1.57</v>
      </c>
      <c r="AZ8">
        <v>140624</v>
      </c>
      <c r="BA8" t="s">
        <v>176</v>
      </c>
      <c r="BB8">
        <v>2.66</v>
      </c>
      <c r="BC8">
        <v>2.62</v>
      </c>
      <c r="BD8">
        <v>2.15</v>
      </c>
      <c r="BE8">
        <v>130624</v>
      </c>
    </row>
    <row r="9" spans="1:73" ht="13.15" x14ac:dyDescent="0.4">
      <c r="A9" t="s">
        <v>177</v>
      </c>
      <c r="B9">
        <v>5144.7528099921501</v>
      </c>
      <c r="C9" t="s">
        <v>178</v>
      </c>
      <c r="D9">
        <v>3266.8076619899598</v>
      </c>
      <c r="E9" t="s">
        <v>179</v>
      </c>
      <c r="F9" s="8">
        <v>8049.8546933340103</v>
      </c>
      <c r="H9" t="s">
        <v>177</v>
      </c>
      <c r="I9">
        <v>48</v>
      </c>
      <c r="J9" t="s">
        <v>178</v>
      </c>
      <c r="K9">
        <v>15</v>
      </c>
      <c r="L9" t="s">
        <v>179</v>
      </c>
      <c r="M9">
        <v>41</v>
      </c>
      <c r="O9" t="s">
        <v>172</v>
      </c>
      <c r="P9">
        <v>1294.07542671175</v>
      </c>
      <c r="Q9" s="8" t="s">
        <v>173</v>
      </c>
      <c r="R9" s="8">
        <v>3258.9785047795299</v>
      </c>
      <c r="S9" t="s">
        <v>179</v>
      </c>
      <c r="T9" s="8">
        <v>3548.2189835333802</v>
      </c>
      <c r="V9" t="s">
        <v>172</v>
      </c>
      <c r="W9">
        <v>1143.3843329459201</v>
      </c>
      <c r="X9" s="8" t="s">
        <v>173</v>
      </c>
      <c r="Y9" s="8">
        <v>1711.40718207177</v>
      </c>
      <c r="Z9" t="s">
        <v>179</v>
      </c>
      <c r="AA9" s="8">
        <v>1394.3177096506599</v>
      </c>
      <c r="AC9">
        <v>267.08339897270599</v>
      </c>
      <c r="AD9">
        <v>0.16099840037004401</v>
      </c>
      <c r="AE9">
        <v>504.61389782491898</v>
      </c>
      <c r="AF9">
        <v>0.66783733355858799</v>
      </c>
      <c r="AG9">
        <v>512.92580412358905</v>
      </c>
      <c r="AH9">
        <v>0.43865993520143998</v>
      </c>
      <c r="AJ9">
        <v>212.06959772934701</v>
      </c>
      <c r="AK9">
        <v>0.287641418916874</v>
      </c>
      <c r="AL9">
        <v>472.412684033392</v>
      </c>
      <c r="AM9">
        <v>0.56306701532424996</v>
      </c>
      <c r="AN9">
        <v>370.184559143304</v>
      </c>
      <c r="AO9">
        <v>0.66453338996446298</v>
      </c>
      <c r="AQ9" t="s">
        <v>180</v>
      </c>
      <c r="AR9">
        <v>1.48</v>
      </c>
      <c r="AS9">
        <v>1.25</v>
      </c>
      <c r="AT9">
        <v>1.81</v>
      </c>
      <c r="AU9">
        <v>80224</v>
      </c>
      <c r="AV9" t="s">
        <v>180</v>
      </c>
      <c r="AW9">
        <v>1.8</v>
      </c>
      <c r="AX9">
        <v>1.27</v>
      </c>
      <c r="AY9">
        <v>2</v>
      </c>
      <c r="AZ9">
        <v>140624</v>
      </c>
      <c r="BA9" t="s">
        <v>180</v>
      </c>
      <c r="BB9">
        <v>2.5499999999999998</v>
      </c>
      <c r="BC9">
        <v>2.09</v>
      </c>
      <c r="BD9">
        <v>2.75</v>
      </c>
      <c r="BE9">
        <v>130624</v>
      </c>
      <c r="BG9" s="43" t="s">
        <v>1212</v>
      </c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</row>
    <row r="10" spans="1:73" ht="13.15" x14ac:dyDescent="0.4">
      <c r="A10" t="s">
        <v>181</v>
      </c>
      <c r="B10">
        <v>2311.8648927201498</v>
      </c>
      <c r="C10" t="s">
        <v>182</v>
      </c>
      <c r="D10">
        <v>4795.8305385478998</v>
      </c>
      <c r="E10" t="s">
        <v>183</v>
      </c>
      <c r="F10" s="8">
        <v>3136.9775007163098</v>
      </c>
      <c r="H10" t="s">
        <v>181</v>
      </c>
      <c r="I10">
        <v>23</v>
      </c>
      <c r="J10" t="s">
        <v>182</v>
      </c>
      <c r="K10">
        <v>32</v>
      </c>
      <c r="L10" t="s">
        <v>183</v>
      </c>
      <c r="M10" s="8">
        <v>15</v>
      </c>
      <c r="O10" t="s">
        <v>177</v>
      </c>
      <c r="P10">
        <v>451.49885123987798</v>
      </c>
      <c r="Q10" s="8" t="s">
        <v>184</v>
      </c>
      <c r="R10" s="8">
        <v>5563.4727571021403</v>
      </c>
      <c r="S10" t="s">
        <v>185</v>
      </c>
      <c r="T10" s="8">
        <v>1819.3524752134299</v>
      </c>
      <c r="V10" t="s">
        <v>177</v>
      </c>
      <c r="W10">
        <v>660.99191800218898</v>
      </c>
      <c r="X10" s="8" t="s">
        <v>184</v>
      </c>
      <c r="Y10" s="8">
        <v>1751.86843339602</v>
      </c>
      <c r="Z10" t="s">
        <v>185</v>
      </c>
      <c r="AA10" s="8">
        <v>1208.08474782181</v>
      </c>
      <c r="AC10">
        <v>263.796890938324</v>
      </c>
      <c r="AD10">
        <v>0.36770713883310602</v>
      </c>
      <c r="AE10">
        <v>471.92661289380197</v>
      </c>
      <c r="AF10">
        <v>0.63781103200411104</v>
      </c>
      <c r="AG10">
        <v>431.91103605757797</v>
      </c>
      <c r="AH10">
        <v>0.90064843804579897</v>
      </c>
      <c r="AJ10" s="18">
        <v>170.819664239227</v>
      </c>
      <c r="AK10">
        <v>0.15220730069805</v>
      </c>
      <c r="AL10">
        <v>319.16566016966101</v>
      </c>
      <c r="AM10">
        <v>0.48564121816114397</v>
      </c>
      <c r="AN10">
        <v>222.10102844437199</v>
      </c>
      <c r="AO10">
        <v>0.540294661580351</v>
      </c>
      <c r="AQ10" t="s">
        <v>187</v>
      </c>
      <c r="AR10">
        <v>2.08</v>
      </c>
      <c r="AS10">
        <v>2.0699999999999998</v>
      </c>
      <c r="AT10">
        <v>1.39</v>
      </c>
      <c r="AU10">
        <v>80224</v>
      </c>
      <c r="AV10" t="s">
        <v>187</v>
      </c>
      <c r="AW10">
        <v>1.78</v>
      </c>
      <c r="AX10">
        <v>1.92</v>
      </c>
      <c r="AZ10">
        <v>140624</v>
      </c>
      <c r="BA10" t="s">
        <v>187</v>
      </c>
      <c r="BB10">
        <v>1.28</v>
      </c>
      <c r="BC10">
        <v>1.53</v>
      </c>
      <c r="BD10">
        <v>2.38</v>
      </c>
      <c r="BE10">
        <v>130624</v>
      </c>
      <c r="BG10" s="39" t="s">
        <v>1</v>
      </c>
      <c r="BH10" s="39"/>
      <c r="BI10" s="39"/>
      <c r="BJ10" s="39"/>
      <c r="BK10" s="39"/>
      <c r="BL10" s="40" t="s">
        <v>9</v>
      </c>
      <c r="BM10" s="40"/>
      <c r="BN10" s="40"/>
      <c r="BO10" s="40"/>
      <c r="BP10" s="40"/>
      <c r="BQ10" s="41" t="s">
        <v>10</v>
      </c>
      <c r="BR10" s="41"/>
      <c r="BS10" s="41"/>
      <c r="BT10" s="41"/>
      <c r="BU10" s="41"/>
    </row>
    <row r="11" spans="1:73" ht="14.25" x14ac:dyDescent="0.35">
      <c r="A11" t="s">
        <v>188</v>
      </c>
      <c r="B11" s="8">
        <v>13242.233081316401</v>
      </c>
      <c r="C11" t="s">
        <v>189</v>
      </c>
      <c r="D11">
        <v>2436.2665935997102</v>
      </c>
      <c r="E11" t="s">
        <v>190</v>
      </c>
      <c r="F11" s="8">
        <v>2035.19943071783</v>
      </c>
      <c r="H11" t="s">
        <v>188</v>
      </c>
      <c r="I11">
        <v>133</v>
      </c>
      <c r="J11" t="s">
        <v>189</v>
      </c>
      <c r="K11">
        <v>13</v>
      </c>
      <c r="L11" t="s">
        <v>190</v>
      </c>
      <c r="M11" s="8">
        <v>15</v>
      </c>
      <c r="O11" t="s">
        <v>181</v>
      </c>
      <c r="P11">
        <v>766.86388149866502</v>
      </c>
      <c r="Q11" s="8" t="s">
        <v>178</v>
      </c>
      <c r="R11" s="8">
        <v>2489.9136607836899</v>
      </c>
      <c r="S11" t="s">
        <v>191</v>
      </c>
      <c r="T11" s="8">
        <v>8487.4201846784708</v>
      </c>
      <c r="V11" t="s">
        <v>181</v>
      </c>
      <c r="W11">
        <v>435.142518308251</v>
      </c>
      <c r="X11" s="8" t="s">
        <v>178</v>
      </c>
      <c r="Y11" s="8">
        <v>860.93827401246699</v>
      </c>
      <c r="Z11" t="s">
        <v>191</v>
      </c>
      <c r="AA11" s="8">
        <v>2373.7558751394699</v>
      </c>
      <c r="AC11">
        <v>226.974317037529</v>
      </c>
      <c r="AD11">
        <v>0.25112973460594401</v>
      </c>
      <c r="AE11">
        <v>549.80972144348505</v>
      </c>
      <c r="AF11">
        <v>0.68569176807244203</v>
      </c>
      <c r="AG11">
        <v>485.73025154449999</v>
      </c>
      <c r="AH11">
        <v>1.20848968770936</v>
      </c>
      <c r="AJ11">
        <v>288.18496632854999</v>
      </c>
      <c r="AK11">
        <v>5.2049904584193403E-2</v>
      </c>
      <c r="AL11">
        <v>471.15075350057703</v>
      </c>
      <c r="AM11">
        <v>0.60065700393632804</v>
      </c>
      <c r="AN11">
        <v>301.97058904076403</v>
      </c>
      <c r="AO11">
        <v>0.99678581598344795</v>
      </c>
      <c r="AQ11" t="s">
        <v>192</v>
      </c>
      <c r="AR11">
        <v>2.29</v>
      </c>
      <c r="AS11">
        <v>1.56</v>
      </c>
      <c r="AT11">
        <v>2.3199999999999998</v>
      </c>
      <c r="AU11">
        <v>80224</v>
      </c>
      <c r="AV11" t="s">
        <v>192</v>
      </c>
      <c r="AW11">
        <v>1.35</v>
      </c>
      <c r="AX11">
        <v>1.65</v>
      </c>
      <c r="AY11">
        <v>1.49</v>
      </c>
      <c r="AZ11">
        <v>140624</v>
      </c>
      <c r="BA11" t="s">
        <v>192</v>
      </c>
      <c r="BB11">
        <v>3.17</v>
      </c>
      <c r="BC11">
        <v>2.75</v>
      </c>
      <c r="BD11">
        <v>2.1</v>
      </c>
      <c r="BE11">
        <v>130624</v>
      </c>
      <c r="BG11" t="s">
        <v>1207</v>
      </c>
      <c r="BH11" t="s">
        <v>1213</v>
      </c>
      <c r="BI11" t="s">
        <v>1209</v>
      </c>
      <c r="BJ11" t="s">
        <v>1210</v>
      </c>
      <c r="BK11" s="19" t="s">
        <v>1211</v>
      </c>
      <c r="BL11" t="s">
        <v>1207</v>
      </c>
      <c r="BM11" t="s">
        <v>1213</v>
      </c>
      <c r="BN11" t="s">
        <v>1209</v>
      </c>
      <c r="BO11" t="s">
        <v>1210</v>
      </c>
      <c r="BP11" s="19" t="s">
        <v>1211</v>
      </c>
      <c r="BQ11" t="s">
        <v>1207</v>
      </c>
      <c r="BR11" t="s">
        <v>1213</v>
      </c>
      <c r="BS11" t="s">
        <v>1209</v>
      </c>
      <c r="BT11" t="s">
        <v>1210</v>
      </c>
      <c r="BU11" s="19" t="s">
        <v>1211</v>
      </c>
    </row>
    <row r="12" spans="1:73" x14ac:dyDescent="0.35">
      <c r="A12" t="s">
        <v>193</v>
      </c>
      <c r="B12">
        <v>12196.234189401301</v>
      </c>
      <c r="C12" t="s">
        <v>194</v>
      </c>
      <c r="D12">
        <v>1901.8981039954699</v>
      </c>
      <c r="E12" t="s">
        <v>195</v>
      </c>
      <c r="F12" s="8">
        <v>2852.4602716839499</v>
      </c>
      <c r="H12" t="s">
        <v>193</v>
      </c>
      <c r="I12">
        <v>118</v>
      </c>
      <c r="J12" t="s">
        <v>194</v>
      </c>
      <c r="K12">
        <v>14</v>
      </c>
      <c r="L12" t="s">
        <v>195</v>
      </c>
      <c r="M12" s="8">
        <v>31</v>
      </c>
      <c r="O12" t="s">
        <v>188</v>
      </c>
      <c r="P12">
        <v>1051.8032567497</v>
      </c>
      <c r="Q12" s="8" t="s">
        <v>182</v>
      </c>
      <c r="R12" s="8">
        <v>4863.42583307121</v>
      </c>
      <c r="S12" t="s">
        <v>183</v>
      </c>
      <c r="T12" s="8">
        <v>989.861121849646</v>
      </c>
      <c r="V12" t="s">
        <v>188</v>
      </c>
      <c r="W12">
        <v>674.28183407765403</v>
      </c>
      <c r="X12" s="8" t="s">
        <v>182</v>
      </c>
      <c r="Y12" s="8">
        <v>1589.1065541322</v>
      </c>
      <c r="Z12" t="s">
        <v>183</v>
      </c>
      <c r="AA12" s="8">
        <v>1065.34121564566</v>
      </c>
      <c r="AC12">
        <v>255.257079791454</v>
      </c>
      <c r="AD12">
        <v>0.18412809563754001</v>
      </c>
      <c r="AE12">
        <v>520.60672245810701</v>
      </c>
      <c r="AF12">
        <v>0.73952176065298703</v>
      </c>
      <c r="AG12">
        <v>388.68512214742498</v>
      </c>
      <c r="AH12">
        <v>1.06255674958239</v>
      </c>
      <c r="AJ12">
        <v>330.14360711498301</v>
      </c>
      <c r="AK12">
        <v>9.0869546928865799E-2</v>
      </c>
      <c r="AL12">
        <v>383.09198235486002</v>
      </c>
      <c r="AM12">
        <v>0.67607784012583905</v>
      </c>
      <c r="AN12">
        <v>401.08047810039</v>
      </c>
      <c r="AO12">
        <v>0.82277751727771997</v>
      </c>
      <c r="AQ12" t="s">
        <v>196</v>
      </c>
      <c r="AR12">
        <v>1.17</v>
      </c>
      <c r="AS12">
        <v>1.48</v>
      </c>
      <c r="AT12">
        <v>1.63</v>
      </c>
      <c r="AU12">
        <v>80224</v>
      </c>
      <c r="AV12" t="s">
        <v>196</v>
      </c>
      <c r="AW12">
        <v>1.89</v>
      </c>
      <c r="AX12">
        <v>1.08</v>
      </c>
      <c r="AY12">
        <v>1.51</v>
      </c>
      <c r="AZ12">
        <v>140624</v>
      </c>
      <c r="BA12" t="s">
        <v>196</v>
      </c>
      <c r="BB12">
        <v>2.0099999999999998</v>
      </c>
      <c r="BC12">
        <v>1.69</v>
      </c>
      <c r="BE12">
        <v>130624</v>
      </c>
      <c r="BG12">
        <v>1152.3699999999999</v>
      </c>
      <c r="BH12">
        <v>76.790000000000006</v>
      </c>
      <c r="BI12">
        <v>350</v>
      </c>
      <c r="BJ12">
        <f>BG12*BH12*BI12</f>
        <v>30971672.305</v>
      </c>
      <c r="BK12">
        <f>BJ12/10000</f>
        <v>3097.1672305000002</v>
      </c>
      <c r="BL12">
        <v>1250.32</v>
      </c>
      <c r="BM12">
        <v>114.05</v>
      </c>
      <c r="BN12">
        <v>350</v>
      </c>
      <c r="BO12">
        <f>BL12*BM12*BN12</f>
        <v>49909648.599999994</v>
      </c>
      <c r="BP12">
        <f>BO12/10000</f>
        <v>4990.9648599999991</v>
      </c>
      <c r="BQ12">
        <v>1354.59</v>
      </c>
      <c r="BR12">
        <v>122.43</v>
      </c>
      <c r="BS12">
        <v>350</v>
      </c>
      <c r="BT12">
        <f>BQ12*BR12*BS12</f>
        <v>58044858.795000002</v>
      </c>
      <c r="BU12">
        <f>BT12/10000</f>
        <v>5804.4858795</v>
      </c>
    </row>
    <row r="13" spans="1:73" x14ac:dyDescent="0.35">
      <c r="A13" t="s">
        <v>197</v>
      </c>
      <c r="B13">
        <v>5776.6756421114796</v>
      </c>
      <c r="C13" t="s">
        <v>198</v>
      </c>
      <c r="D13">
        <v>1889.3525340344099</v>
      </c>
      <c r="E13" t="s">
        <v>199</v>
      </c>
      <c r="F13">
        <v>3802.3069059876798</v>
      </c>
      <c r="H13" t="s">
        <v>197</v>
      </c>
      <c r="I13">
        <v>54</v>
      </c>
      <c r="J13" t="s">
        <v>198</v>
      </c>
      <c r="K13">
        <v>20</v>
      </c>
      <c r="L13" t="s">
        <v>199</v>
      </c>
      <c r="M13">
        <v>22</v>
      </c>
      <c r="O13" t="s">
        <v>193</v>
      </c>
      <c r="P13">
        <v>442.010703870898</v>
      </c>
      <c r="Q13" t="s">
        <v>189</v>
      </c>
      <c r="R13">
        <v>3429.1587425743901</v>
      </c>
      <c r="S13" t="s">
        <v>190</v>
      </c>
      <c r="T13" s="8">
        <v>2790.1169127646999</v>
      </c>
      <c r="V13" t="s">
        <v>193</v>
      </c>
      <c r="W13">
        <v>936.62717106721595</v>
      </c>
      <c r="X13" t="s">
        <v>189</v>
      </c>
      <c r="Y13">
        <v>1576.83364659534</v>
      </c>
      <c r="Z13" t="s">
        <v>190</v>
      </c>
      <c r="AA13" s="8">
        <v>529.11755734277403</v>
      </c>
      <c r="AC13">
        <v>479.60892535834103</v>
      </c>
      <c r="AD13">
        <v>0.206418176905344</v>
      </c>
      <c r="AE13">
        <v>492.409809434414</v>
      </c>
      <c r="AF13">
        <v>1.4357959294354099</v>
      </c>
      <c r="AG13">
        <v>436.64981732662602</v>
      </c>
      <c r="AH13">
        <v>1.1153102112389299</v>
      </c>
      <c r="AJ13">
        <v>357.59067936239398</v>
      </c>
      <c r="AK13">
        <v>0.39150908589012601</v>
      </c>
      <c r="AL13">
        <v>339.22375436568802</v>
      </c>
      <c r="AM13">
        <v>0.65443530160532504</v>
      </c>
      <c r="AN13">
        <v>358.74321502261103</v>
      </c>
      <c r="AO13">
        <v>1.03695340963188</v>
      </c>
      <c r="AQ13" t="s">
        <v>200</v>
      </c>
      <c r="AR13">
        <v>1.97</v>
      </c>
      <c r="AS13">
        <v>1.19</v>
      </c>
      <c r="AT13">
        <v>1.36</v>
      </c>
      <c r="AU13">
        <v>80224</v>
      </c>
      <c r="AV13" t="s">
        <v>200</v>
      </c>
      <c r="AW13">
        <v>1.83</v>
      </c>
      <c r="AX13">
        <v>1.83</v>
      </c>
      <c r="AZ13">
        <v>140624</v>
      </c>
      <c r="BA13" t="s">
        <v>171</v>
      </c>
      <c r="BB13">
        <v>2.29</v>
      </c>
      <c r="BC13">
        <v>2.37</v>
      </c>
      <c r="BD13">
        <v>2.9</v>
      </c>
      <c r="BE13">
        <v>120624</v>
      </c>
    </row>
    <row r="14" spans="1:73" x14ac:dyDescent="0.35">
      <c r="A14" t="s">
        <v>201</v>
      </c>
      <c r="B14">
        <v>4811.3352877717398</v>
      </c>
      <c r="C14" t="s">
        <v>202</v>
      </c>
      <c r="D14">
        <v>1557.63766922436</v>
      </c>
      <c r="E14" t="s">
        <v>203</v>
      </c>
      <c r="F14">
        <v>9165.3749462182604</v>
      </c>
      <c r="H14" t="s">
        <v>201</v>
      </c>
      <c r="I14">
        <v>53</v>
      </c>
      <c r="J14" t="s">
        <v>202</v>
      </c>
      <c r="K14">
        <v>21</v>
      </c>
      <c r="L14" t="s">
        <v>203</v>
      </c>
      <c r="M14" s="8">
        <v>93</v>
      </c>
      <c r="O14" t="s">
        <v>197</v>
      </c>
      <c r="P14">
        <v>742.49026523183602</v>
      </c>
      <c r="Q14" t="s">
        <v>194</v>
      </c>
      <c r="R14">
        <v>2576.56229667463</v>
      </c>
      <c r="S14" t="s">
        <v>204</v>
      </c>
      <c r="T14" s="8">
        <v>2595.3054048978402</v>
      </c>
      <c r="V14" t="s">
        <v>197</v>
      </c>
      <c r="W14">
        <v>511.12871493354498</v>
      </c>
      <c r="X14" t="s">
        <v>194</v>
      </c>
      <c r="Y14">
        <v>2180.9411836552899</v>
      </c>
      <c r="Z14" t="s">
        <v>204</v>
      </c>
      <c r="AA14" s="8">
        <v>538.82839095798295</v>
      </c>
      <c r="AC14">
        <v>553.68799306837104</v>
      </c>
      <c r="AD14">
        <v>0.433457114845479</v>
      </c>
      <c r="AE14">
        <v>290.62344377131802</v>
      </c>
      <c r="AF14">
        <v>0.84989702411742196</v>
      </c>
      <c r="AG14">
        <v>426.47076402956498</v>
      </c>
      <c r="AH14">
        <v>1.15834435010826</v>
      </c>
      <c r="AJ14">
        <v>426.60034213960103</v>
      </c>
      <c r="AK14">
        <v>0.10314103307868799</v>
      </c>
      <c r="AL14">
        <v>273.35919968490998</v>
      </c>
      <c r="AM14">
        <v>0.80480188796859697</v>
      </c>
      <c r="AN14">
        <v>391.779319027859</v>
      </c>
      <c r="AO14">
        <v>0.87549286892197997</v>
      </c>
      <c r="AQ14" t="s">
        <v>171</v>
      </c>
      <c r="AR14">
        <v>2.09</v>
      </c>
      <c r="AS14">
        <v>2.41</v>
      </c>
      <c r="AT14">
        <v>2.75</v>
      </c>
      <c r="AU14">
        <v>602242</v>
      </c>
      <c r="AV14" t="s">
        <v>171</v>
      </c>
      <c r="AW14">
        <v>1.59</v>
      </c>
      <c r="AX14">
        <v>1.6</v>
      </c>
      <c r="AY14">
        <v>1.41</v>
      </c>
      <c r="AZ14">
        <v>280224</v>
      </c>
      <c r="BA14" t="s">
        <v>176</v>
      </c>
      <c r="BB14">
        <v>2.0099999999999998</v>
      </c>
      <c r="BC14">
        <v>1.67</v>
      </c>
      <c r="BD14">
        <v>1.89</v>
      </c>
      <c r="BE14">
        <v>120624</v>
      </c>
    </row>
    <row r="15" spans="1:73" x14ac:dyDescent="0.35">
      <c r="A15" s="17" t="s">
        <v>205</v>
      </c>
      <c r="B15">
        <v>6503.5264434819901</v>
      </c>
      <c r="C15" t="s">
        <v>206</v>
      </c>
      <c r="D15">
        <v>2815.4537608052601</v>
      </c>
      <c r="E15" t="s">
        <v>207</v>
      </c>
      <c r="F15">
        <v>3779.59042662092</v>
      </c>
      <c r="H15" s="17" t="s">
        <v>205</v>
      </c>
      <c r="I15">
        <v>72</v>
      </c>
      <c r="J15" t="s">
        <v>206</v>
      </c>
      <c r="K15">
        <v>19</v>
      </c>
      <c r="L15" t="s">
        <v>207</v>
      </c>
      <c r="M15">
        <v>23</v>
      </c>
      <c r="O15" t="s">
        <v>201</v>
      </c>
      <c r="P15">
        <v>1641.3267996058</v>
      </c>
      <c r="Q15" t="s">
        <v>198</v>
      </c>
      <c r="R15">
        <v>1792.26878601627</v>
      </c>
      <c r="S15" t="s">
        <v>195</v>
      </c>
      <c r="T15" s="8">
        <v>5749.9469274021003</v>
      </c>
      <c r="V15" t="s">
        <v>201</v>
      </c>
      <c r="W15">
        <v>1405.52233792271</v>
      </c>
      <c r="X15" t="s">
        <v>198</v>
      </c>
      <c r="Y15">
        <v>1126.3983518838099</v>
      </c>
      <c r="Z15" t="s">
        <v>195</v>
      </c>
      <c r="AA15" s="8">
        <v>2676.8555315455801</v>
      </c>
      <c r="AC15">
        <v>539.896440270732</v>
      </c>
      <c r="AD15">
        <v>0.16855084274007801</v>
      </c>
      <c r="AE15">
        <v>295.62169477064401</v>
      </c>
      <c r="AF15">
        <v>0.74757706862976003</v>
      </c>
      <c r="AG15">
        <v>479.89684538030701</v>
      </c>
      <c r="AH15">
        <v>0.72098827764913398</v>
      </c>
      <c r="AJ15">
        <v>330.16798987727401</v>
      </c>
      <c r="AK15">
        <v>3.9373895709369597E-2</v>
      </c>
      <c r="AL15">
        <v>359.94296566523502</v>
      </c>
      <c r="AM15">
        <v>0.88347330086665898</v>
      </c>
      <c r="AN15">
        <v>381.730997097959</v>
      </c>
      <c r="AO15">
        <v>0.89591886066364301</v>
      </c>
      <c r="AQ15" t="s">
        <v>176</v>
      </c>
      <c r="AR15">
        <v>2.0499999999999998</v>
      </c>
      <c r="AS15">
        <v>2.46</v>
      </c>
      <c r="AT15">
        <v>2.16</v>
      </c>
      <c r="AU15">
        <v>602242</v>
      </c>
      <c r="AV15" t="s">
        <v>176</v>
      </c>
      <c r="AW15">
        <v>2.0699999999999998</v>
      </c>
      <c r="AX15">
        <v>3.36</v>
      </c>
      <c r="AY15">
        <v>2.64</v>
      </c>
      <c r="AZ15">
        <v>280224</v>
      </c>
      <c r="BA15" t="s">
        <v>180</v>
      </c>
      <c r="BB15">
        <v>2.21</v>
      </c>
      <c r="BC15">
        <v>1.41</v>
      </c>
      <c r="BD15">
        <v>1.76</v>
      </c>
      <c r="BE15">
        <v>120624</v>
      </c>
    </row>
    <row r="16" spans="1:73" x14ac:dyDescent="0.35">
      <c r="A16" s="17" t="s">
        <v>208</v>
      </c>
      <c r="B16">
        <v>6442.1182608815297</v>
      </c>
      <c r="C16" t="s">
        <v>209</v>
      </c>
      <c r="D16">
        <v>5730.4075887246199</v>
      </c>
      <c r="E16" t="s">
        <v>210</v>
      </c>
      <c r="F16">
        <v>7061.7325957430503</v>
      </c>
      <c r="H16" s="17" t="s">
        <v>208</v>
      </c>
      <c r="I16">
        <v>78</v>
      </c>
      <c r="J16" t="s">
        <v>209</v>
      </c>
      <c r="K16">
        <v>36</v>
      </c>
      <c r="L16" t="s">
        <v>210</v>
      </c>
      <c r="M16">
        <v>42</v>
      </c>
      <c r="O16" s="17" t="s">
        <v>205</v>
      </c>
      <c r="P16">
        <v>633.703507636155</v>
      </c>
      <c r="Q16" t="s">
        <v>202</v>
      </c>
      <c r="R16">
        <v>2506.9829702275601</v>
      </c>
      <c r="S16" t="s">
        <v>199</v>
      </c>
      <c r="T16">
        <v>5190.5545634709597</v>
      </c>
      <c r="V16" s="17" t="s">
        <v>205</v>
      </c>
      <c r="W16">
        <v>108.95618050273499</v>
      </c>
      <c r="X16" t="s">
        <v>202</v>
      </c>
      <c r="Y16">
        <v>1621.4009522460401</v>
      </c>
      <c r="Z16" t="s">
        <v>199</v>
      </c>
      <c r="AA16">
        <v>2278.06700656771</v>
      </c>
      <c r="AC16">
        <v>476.98633175871402</v>
      </c>
      <c r="AD16">
        <v>0.199167132629822</v>
      </c>
      <c r="AE16">
        <v>292.315897670955</v>
      </c>
      <c r="AF16">
        <v>0.92023732593155105</v>
      </c>
      <c r="AG16">
        <v>471.06709658119399</v>
      </c>
      <c r="AH16">
        <v>0.78120506117024202</v>
      </c>
      <c r="AJ16">
        <v>465.69215587760499</v>
      </c>
      <c r="AK16">
        <v>0.24479690834638401</v>
      </c>
      <c r="AL16">
        <v>235.42058666532699</v>
      </c>
      <c r="AM16">
        <v>0.63715753207785297</v>
      </c>
      <c r="AN16">
        <v>365.18203437662203</v>
      </c>
      <c r="AO16">
        <v>0.88996711066245604</v>
      </c>
      <c r="AQ16" t="s">
        <v>180</v>
      </c>
      <c r="AR16">
        <v>2.71</v>
      </c>
      <c r="AS16">
        <v>2.12</v>
      </c>
      <c r="AT16">
        <v>2.7</v>
      </c>
      <c r="AU16">
        <v>602242</v>
      </c>
      <c r="AV16" t="s">
        <v>180</v>
      </c>
      <c r="AW16">
        <v>1.7</v>
      </c>
      <c r="AX16">
        <v>1.85</v>
      </c>
      <c r="AY16">
        <v>2.4700000000000002</v>
      </c>
      <c r="AZ16">
        <v>280224</v>
      </c>
      <c r="BA16" t="s">
        <v>187</v>
      </c>
      <c r="BB16">
        <v>2.13</v>
      </c>
      <c r="BC16">
        <v>1.95</v>
      </c>
      <c r="BE16">
        <v>120624</v>
      </c>
    </row>
    <row r="17" spans="1:57" x14ac:dyDescent="0.35">
      <c r="A17" s="17" t="s">
        <v>213</v>
      </c>
      <c r="B17">
        <v>7969.9964932175299</v>
      </c>
      <c r="C17" t="s">
        <v>214</v>
      </c>
      <c r="D17">
        <v>3370.1258910438701</v>
      </c>
      <c r="E17" t="s">
        <v>215</v>
      </c>
      <c r="F17">
        <v>3285.69385376129</v>
      </c>
      <c r="H17" s="17" t="s">
        <v>213</v>
      </c>
      <c r="I17">
        <v>68</v>
      </c>
      <c r="J17" t="s">
        <v>214</v>
      </c>
      <c r="K17">
        <v>11</v>
      </c>
      <c r="L17" t="s">
        <v>215</v>
      </c>
      <c r="M17">
        <v>17</v>
      </c>
      <c r="O17" s="17" t="s">
        <v>208</v>
      </c>
      <c r="P17">
        <v>472.99645597482402</v>
      </c>
      <c r="Q17" t="s">
        <v>206</v>
      </c>
      <c r="R17">
        <v>2766.0800490888701</v>
      </c>
      <c r="S17" t="s">
        <v>203</v>
      </c>
      <c r="T17">
        <v>4120.4814286794599</v>
      </c>
      <c r="V17" s="17" t="s">
        <v>208</v>
      </c>
      <c r="W17">
        <v>124.669778687342</v>
      </c>
      <c r="X17" t="s">
        <v>206</v>
      </c>
      <c r="Y17">
        <v>1551.4502668851601</v>
      </c>
      <c r="Z17" t="s">
        <v>203</v>
      </c>
      <c r="AA17">
        <v>1420.8740167881001</v>
      </c>
      <c r="AC17">
        <v>562.51705349340705</v>
      </c>
      <c r="AD17">
        <v>0.391099254029244</v>
      </c>
      <c r="AE17">
        <v>369.01179757476098</v>
      </c>
      <c r="AF17">
        <v>0.74523362615333599</v>
      </c>
      <c r="AG17">
        <v>388.81921188843103</v>
      </c>
      <c r="AH17">
        <v>1.2473663470599501</v>
      </c>
      <c r="AJ17">
        <v>401.30121931712699</v>
      </c>
      <c r="AK17">
        <v>0.42362193737980602</v>
      </c>
      <c r="AL17">
        <v>226.48539529375699</v>
      </c>
      <c r="AM17">
        <v>0.93604269593203104</v>
      </c>
      <c r="AN17">
        <v>217.46067811925599</v>
      </c>
      <c r="AO17">
        <v>0.65759015025961798</v>
      </c>
      <c r="AQ17" t="s">
        <v>187</v>
      </c>
      <c r="AR17">
        <v>2.09</v>
      </c>
      <c r="AS17">
        <v>1.88</v>
      </c>
      <c r="AT17">
        <v>1.78</v>
      </c>
      <c r="AU17">
        <v>602242</v>
      </c>
      <c r="AV17" t="s">
        <v>187</v>
      </c>
      <c r="AW17">
        <v>2.25</v>
      </c>
      <c r="AX17">
        <v>1.49</v>
      </c>
      <c r="AY17">
        <v>1.91</v>
      </c>
      <c r="AZ17">
        <v>280224</v>
      </c>
      <c r="BA17" t="s">
        <v>171</v>
      </c>
      <c r="BB17">
        <v>2.88</v>
      </c>
      <c r="BC17">
        <v>3.05</v>
      </c>
      <c r="BD17">
        <v>2.71</v>
      </c>
      <c r="BE17">
        <v>1106242</v>
      </c>
    </row>
    <row r="18" spans="1:57" x14ac:dyDescent="0.35">
      <c r="A18" s="17" t="s">
        <v>216</v>
      </c>
      <c r="B18">
        <v>8422.0385915417792</v>
      </c>
      <c r="C18" s="17" t="s">
        <v>217</v>
      </c>
      <c r="D18">
        <v>9545.7803874677702</v>
      </c>
      <c r="E18" t="s">
        <v>218</v>
      </c>
      <c r="F18">
        <v>2219.0217711627201</v>
      </c>
      <c r="H18" s="17" t="s">
        <v>216</v>
      </c>
      <c r="I18">
        <v>87</v>
      </c>
      <c r="J18" s="17" t="s">
        <v>217</v>
      </c>
      <c r="K18">
        <v>56</v>
      </c>
      <c r="L18" t="s">
        <v>218</v>
      </c>
      <c r="M18">
        <v>20</v>
      </c>
      <c r="O18" s="17" t="s">
        <v>213</v>
      </c>
      <c r="P18">
        <v>1049.33475191556</v>
      </c>
      <c r="Q18" t="s">
        <v>209</v>
      </c>
      <c r="R18">
        <v>2624.52095033468</v>
      </c>
      <c r="S18" t="s">
        <v>207</v>
      </c>
      <c r="T18">
        <v>2738.4212524449899</v>
      </c>
      <c r="V18" s="17" t="s">
        <v>213</v>
      </c>
      <c r="W18">
        <v>1252.2330579384</v>
      </c>
      <c r="X18" t="s">
        <v>209</v>
      </c>
      <c r="Y18">
        <v>2348.4366902471602</v>
      </c>
      <c r="Z18" t="s">
        <v>207</v>
      </c>
      <c r="AA18" s="8">
        <v>921.56024783724399</v>
      </c>
      <c r="AC18">
        <v>614.51600286017697</v>
      </c>
      <c r="AD18">
        <v>0.48981637353468199</v>
      </c>
      <c r="AE18">
        <v>494.403990778251</v>
      </c>
      <c r="AF18">
        <v>0.81638114671978201</v>
      </c>
      <c r="AG18">
        <v>510.10954987397702</v>
      </c>
      <c r="AH18">
        <v>0.452843903936063</v>
      </c>
      <c r="AJ18">
        <v>242.783275538916</v>
      </c>
      <c r="AK18">
        <v>0.164755994461358</v>
      </c>
      <c r="AL18">
        <v>314.05937160896502</v>
      </c>
      <c r="AM18">
        <v>0.80558016372461705</v>
      </c>
      <c r="AN18">
        <v>277.84731573282301</v>
      </c>
      <c r="AO18">
        <v>0.64423872344379896</v>
      </c>
      <c r="AQ18" t="s">
        <v>192</v>
      </c>
      <c r="AR18">
        <v>2.14</v>
      </c>
      <c r="AS18">
        <v>1.69</v>
      </c>
      <c r="AT18">
        <v>2.0299999999999998</v>
      </c>
      <c r="AU18">
        <v>602242</v>
      </c>
      <c r="AV18" t="s">
        <v>192</v>
      </c>
      <c r="AW18">
        <v>2.48</v>
      </c>
      <c r="AX18">
        <v>2.37</v>
      </c>
      <c r="AY18">
        <v>2.35</v>
      </c>
      <c r="AZ18">
        <v>280224</v>
      </c>
      <c r="BA18" t="s">
        <v>176</v>
      </c>
      <c r="BB18">
        <v>2.82</v>
      </c>
      <c r="BC18">
        <v>2.75</v>
      </c>
      <c r="BD18">
        <v>2.21</v>
      </c>
      <c r="BE18">
        <v>1106242</v>
      </c>
    </row>
    <row r="19" spans="1:57" x14ac:dyDescent="0.35">
      <c r="A19" s="17" t="s">
        <v>219</v>
      </c>
      <c r="B19">
        <v>11897.901386101799</v>
      </c>
      <c r="C19" t="s">
        <v>220</v>
      </c>
      <c r="D19">
        <v>5755.9330554185999</v>
      </c>
      <c r="E19" t="s">
        <v>221</v>
      </c>
      <c r="F19">
        <v>8601.2888521166205</v>
      </c>
      <c r="H19" s="17" t="s">
        <v>219</v>
      </c>
      <c r="I19">
        <v>127</v>
      </c>
      <c r="J19" t="s">
        <v>220</v>
      </c>
      <c r="K19">
        <v>38</v>
      </c>
      <c r="L19" t="s">
        <v>221</v>
      </c>
      <c r="M19">
        <v>46</v>
      </c>
      <c r="O19" s="17" t="s">
        <v>216</v>
      </c>
      <c r="P19">
        <v>927.40333828283701</v>
      </c>
      <c r="Q19" t="s">
        <v>222</v>
      </c>
      <c r="R19">
        <v>3771.18683561424</v>
      </c>
      <c r="S19" t="s">
        <v>210</v>
      </c>
      <c r="T19">
        <v>5293.61590537342</v>
      </c>
      <c r="V19" s="17" t="s">
        <v>216</v>
      </c>
      <c r="W19">
        <v>2186.1591777459398</v>
      </c>
      <c r="X19" t="s">
        <v>222</v>
      </c>
      <c r="Y19">
        <v>2740.3561538372701</v>
      </c>
      <c r="Z19" t="s">
        <v>210</v>
      </c>
      <c r="AA19" s="8">
        <v>320.78089504428601</v>
      </c>
      <c r="AC19">
        <v>556.25582069861503</v>
      </c>
      <c r="AD19">
        <v>0.27685103556595198</v>
      </c>
      <c r="AE19">
        <v>450.76984136469002</v>
      </c>
      <c r="AF19">
        <v>0.978956499194365</v>
      </c>
      <c r="AG19">
        <v>377.90144593801602</v>
      </c>
      <c r="AH19">
        <v>0.918228823228466</v>
      </c>
      <c r="AJ19">
        <v>334.763238401161</v>
      </c>
      <c r="AK19">
        <v>0.28378265323792101</v>
      </c>
      <c r="AL19">
        <v>332.606724475953</v>
      </c>
      <c r="AM19">
        <v>0.69451391989731504</v>
      </c>
      <c r="AN19">
        <v>378.41033840387502</v>
      </c>
      <c r="AO19">
        <v>0.90113817037433097</v>
      </c>
      <c r="AQ19" t="s">
        <v>171</v>
      </c>
      <c r="AR19">
        <v>1.55</v>
      </c>
      <c r="AS19">
        <v>1.77</v>
      </c>
      <c r="AT19">
        <v>1.7</v>
      </c>
      <c r="AU19">
        <v>202242</v>
      </c>
      <c r="AV19" t="s">
        <v>196</v>
      </c>
      <c r="AW19">
        <v>1.98</v>
      </c>
      <c r="AX19">
        <v>2.34</v>
      </c>
      <c r="AY19">
        <v>2.1</v>
      </c>
      <c r="AZ19">
        <v>280224</v>
      </c>
      <c r="BA19" t="s">
        <v>180</v>
      </c>
      <c r="BB19">
        <v>4.38</v>
      </c>
      <c r="BC19">
        <v>2.57</v>
      </c>
      <c r="BD19">
        <v>2.71</v>
      </c>
      <c r="BE19">
        <v>1106242</v>
      </c>
    </row>
    <row r="20" spans="1:57" x14ac:dyDescent="0.35">
      <c r="A20" t="s">
        <v>223</v>
      </c>
      <c r="B20">
        <v>7703.6002790433704</v>
      </c>
      <c r="C20" t="s">
        <v>224</v>
      </c>
      <c r="D20">
        <v>4540.1268103237098</v>
      </c>
      <c r="E20" t="s">
        <v>225</v>
      </c>
      <c r="F20">
        <v>4345.8349015123304</v>
      </c>
      <c r="H20" t="s">
        <v>223</v>
      </c>
      <c r="I20">
        <v>76</v>
      </c>
      <c r="J20" t="s">
        <v>224</v>
      </c>
      <c r="K20">
        <v>27</v>
      </c>
      <c r="L20" t="s">
        <v>226</v>
      </c>
      <c r="M20">
        <v>28</v>
      </c>
      <c r="O20" s="17" t="s">
        <v>219</v>
      </c>
      <c r="P20">
        <v>788.46999512578395</v>
      </c>
      <c r="Q20" t="s">
        <v>214</v>
      </c>
      <c r="R20">
        <v>5980.7515594982997</v>
      </c>
      <c r="S20" t="s">
        <v>215</v>
      </c>
      <c r="T20">
        <v>4690.7799744030499</v>
      </c>
      <c r="V20" s="17" t="s">
        <v>219</v>
      </c>
      <c r="W20" s="18">
        <v>846.65629405527704</v>
      </c>
      <c r="X20" t="s">
        <v>214</v>
      </c>
      <c r="Y20">
        <v>2354.43407697976</v>
      </c>
      <c r="Z20" t="s">
        <v>215</v>
      </c>
      <c r="AA20">
        <v>2517.9202442003798</v>
      </c>
      <c r="AC20">
        <v>440.26374793743599</v>
      </c>
      <c r="AD20">
        <v>0.408845835804721</v>
      </c>
      <c r="AE20">
        <v>437.02410676161799</v>
      </c>
      <c r="AF20">
        <v>0.94731616310086797</v>
      </c>
      <c r="AG20">
        <v>483.27075508887901</v>
      </c>
      <c r="AH20">
        <v>0.490408321845201</v>
      </c>
      <c r="AJ20">
        <v>305.51168245765598</v>
      </c>
      <c r="AK20">
        <v>0.13747428465627101</v>
      </c>
      <c r="AL20">
        <v>323.95917592902498</v>
      </c>
      <c r="AM20">
        <v>0.44758726029037499</v>
      </c>
      <c r="AN20">
        <v>359.076657901396</v>
      </c>
      <c r="AO20">
        <v>0.36482460532417399</v>
      </c>
      <c r="AQ20" t="s">
        <v>176</v>
      </c>
      <c r="AR20">
        <v>1.67</v>
      </c>
      <c r="AS20">
        <v>1.48</v>
      </c>
      <c r="AT20">
        <v>1.83</v>
      </c>
      <c r="AU20">
        <v>202242</v>
      </c>
      <c r="AV20" t="s">
        <v>171</v>
      </c>
      <c r="AW20">
        <v>1.96</v>
      </c>
      <c r="AX20">
        <v>1.85</v>
      </c>
      <c r="AY20">
        <v>1.59</v>
      </c>
      <c r="AZ20">
        <v>270224</v>
      </c>
      <c r="BA20" t="s">
        <v>187</v>
      </c>
      <c r="BB20">
        <v>2.91</v>
      </c>
      <c r="BC20">
        <v>2.52</v>
      </c>
      <c r="BD20">
        <v>2.35</v>
      </c>
      <c r="BE20">
        <v>1106242</v>
      </c>
    </row>
    <row r="21" spans="1:57" x14ac:dyDescent="0.35">
      <c r="A21" s="18" t="s">
        <v>227</v>
      </c>
      <c r="B21">
        <v>11528.6936213605</v>
      </c>
      <c r="C21" t="s">
        <v>228</v>
      </c>
      <c r="D21">
        <v>6027.6830753837003</v>
      </c>
      <c r="E21" t="s">
        <v>229</v>
      </c>
      <c r="F21">
        <v>2652.01348624192</v>
      </c>
      <c r="H21" s="18" t="s">
        <v>227</v>
      </c>
      <c r="I21">
        <v>129</v>
      </c>
      <c r="J21" t="s">
        <v>228</v>
      </c>
      <c r="K21">
        <v>38</v>
      </c>
      <c r="L21" t="s">
        <v>229</v>
      </c>
      <c r="M21">
        <v>18</v>
      </c>
      <c r="O21" t="s">
        <v>223</v>
      </c>
      <c r="P21">
        <v>830.74103797922805</v>
      </c>
      <c r="Q21" s="17" t="s">
        <v>217</v>
      </c>
      <c r="R21">
        <v>5581.4569531393399</v>
      </c>
      <c r="S21" t="s">
        <v>218</v>
      </c>
      <c r="T21">
        <v>4136.1736474178597</v>
      </c>
      <c r="V21" t="s">
        <v>223</v>
      </c>
      <c r="W21">
        <v>2123.4350891811</v>
      </c>
      <c r="X21" s="17" t="s">
        <v>217</v>
      </c>
      <c r="Y21">
        <v>1792.10914592668</v>
      </c>
      <c r="Z21" t="s">
        <v>218</v>
      </c>
      <c r="AA21">
        <v>499.57896656231401</v>
      </c>
      <c r="AC21">
        <v>475.93492807637301</v>
      </c>
      <c r="AD21">
        <v>0.31937139098899803</v>
      </c>
      <c r="AE21">
        <v>500.16607973172802</v>
      </c>
      <c r="AF21">
        <v>0.57580873967797497</v>
      </c>
      <c r="AG21">
        <v>328.942425646777</v>
      </c>
      <c r="AH21">
        <v>0.78737183107574504</v>
      </c>
      <c r="AJ21">
        <v>423.11668574674098</v>
      </c>
      <c r="AK21">
        <v>0.28360970872187902</v>
      </c>
      <c r="AL21">
        <v>189.85063640278301</v>
      </c>
      <c r="AM21">
        <v>0.72688721309957904</v>
      </c>
      <c r="AN21">
        <v>386.10898440031599</v>
      </c>
      <c r="AO21">
        <v>0.74072350438620205</v>
      </c>
      <c r="AQ21" t="s">
        <v>180</v>
      </c>
      <c r="AR21">
        <v>2.0299999999999998</v>
      </c>
      <c r="AS21">
        <v>1.64</v>
      </c>
      <c r="AT21">
        <v>1.98</v>
      </c>
      <c r="AU21">
        <v>202242</v>
      </c>
      <c r="AV21" t="s">
        <v>176</v>
      </c>
      <c r="AW21">
        <v>2.21</v>
      </c>
      <c r="AX21">
        <v>1.92</v>
      </c>
      <c r="AY21">
        <v>2.3199999999999998</v>
      </c>
      <c r="AZ21">
        <v>270224</v>
      </c>
      <c r="BA21" t="s">
        <v>192</v>
      </c>
      <c r="BB21">
        <v>2.99</v>
      </c>
      <c r="BC21">
        <v>2.78</v>
      </c>
      <c r="BD21">
        <v>3.24</v>
      </c>
      <c r="BE21">
        <v>1106242</v>
      </c>
    </row>
    <row r="22" spans="1:57" x14ac:dyDescent="0.35">
      <c r="A22" s="18" t="s">
        <v>232</v>
      </c>
      <c r="B22">
        <v>3590.9426813300702</v>
      </c>
      <c r="C22" t="s">
        <v>233</v>
      </c>
      <c r="D22">
        <v>3847.5614721851598</v>
      </c>
      <c r="E22" t="s">
        <v>234</v>
      </c>
      <c r="F22">
        <v>2419.1680603464802</v>
      </c>
      <c r="H22" s="18" t="s">
        <v>232</v>
      </c>
      <c r="I22">
        <v>46</v>
      </c>
      <c r="J22" t="s">
        <v>233</v>
      </c>
      <c r="K22">
        <v>29</v>
      </c>
      <c r="L22" t="s">
        <v>234</v>
      </c>
      <c r="M22">
        <v>16</v>
      </c>
      <c r="O22" s="18" t="s">
        <v>227</v>
      </c>
      <c r="P22">
        <v>959.88908814806598</v>
      </c>
      <c r="Q22" s="17" t="s">
        <v>235</v>
      </c>
      <c r="R22">
        <v>5877.6428490628996</v>
      </c>
      <c r="S22" t="s">
        <v>221</v>
      </c>
      <c r="T22">
        <v>5078.8178343096697</v>
      </c>
      <c r="V22" s="18" t="s">
        <v>227</v>
      </c>
      <c r="W22">
        <v>1859.2805067325601</v>
      </c>
      <c r="X22" s="17" t="s">
        <v>235</v>
      </c>
      <c r="Y22">
        <v>2835.2614357132002</v>
      </c>
      <c r="Z22" t="s">
        <v>221</v>
      </c>
      <c r="AA22">
        <v>1445.42017336546</v>
      </c>
      <c r="AC22">
        <v>754.93032651207</v>
      </c>
      <c r="AD22">
        <v>0.23313409704065699</v>
      </c>
      <c r="AE22">
        <v>419.40453154753999</v>
      </c>
      <c r="AF22">
        <v>1.0252631234416201</v>
      </c>
      <c r="AG22">
        <v>347.706705446</v>
      </c>
      <c r="AH22">
        <v>1.09287509860524</v>
      </c>
      <c r="AJ22">
        <v>388.94144941310702</v>
      </c>
      <c r="AK22">
        <v>0.182546756348894</v>
      </c>
      <c r="AL22">
        <v>336.27594113728702</v>
      </c>
      <c r="AM22">
        <v>0.72559457918633996</v>
      </c>
      <c r="AN22">
        <v>324.76020864415898</v>
      </c>
      <c r="AO22">
        <v>1.10543099322047</v>
      </c>
      <c r="AQ22" t="s">
        <v>187</v>
      </c>
      <c r="AR22">
        <v>2.57</v>
      </c>
      <c r="AS22">
        <v>2.2400000000000002</v>
      </c>
      <c r="AT22">
        <v>2.52</v>
      </c>
      <c r="AU22">
        <v>202242</v>
      </c>
      <c r="AV22" t="s">
        <v>180</v>
      </c>
      <c r="AW22">
        <v>2.2200000000000002</v>
      </c>
      <c r="AX22">
        <v>2.1</v>
      </c>
      <c r="AY22">
        <v>2.4300000000000002</v>
      </c>
      <c r="AZ22">
        <v>270224</v>
      </c>
      <c r="BA22" t="s">
        <v>196</v>
      </c>
      <c r="BB22">
        <v>2.37</v>
      </c>
      <c r="BC22">
        <v>2.3199999999999998</v>
      </c>
      <c r="BD22">
        <v>2.92</v>
      </c>
      <c r="BE22">
        <v>1106242</v>
      </c>
    </row>
    <row r="23" spans="1:57" x14ac:dyDescent="0.35">
      <c r="A23" t="s">
        <v>236</v>
      </c>
      <c r="B23">
        <v>8394.5683108622707</v>
      </c>
      <c r="C23" t="s">
        <v>237</v>
      </c>
      <c r="D23">
        <v>5755.7683645016996</v>
      </c>
      <c r="E23" t="s">
        <v>238</v>
      </c>
      <c r="F23">
        <v>5663.4423573310396</v>
      </c>
      <c r="H23" t="s">
        <v>236</v>
      </c>
      <c r="I23">
        <v>88</v>
      </c>
      <c r="J23" t="s">
        <v>237</v>
      </c>
      <c r="K23">
        <v>43</v>
      </c>
      <c r="L23" t="s">
        <v>238</v>
      </c>
      <c r="M23">
        <v>43</v>
      </c>
      <c r="O23" s="18" t="s">
        <v>232</v>
      </c>
      <c r="P23">
        <v>1509.52503005536</v>
      </c>
      <c r="Q23" s="17" t="s">
        <v>239</v>
      </c>
      <c r="R23">
        <v>4439.7210028497902</v>
      </c>
      <c r="S23" t="s">
        <v>225</v>
      </c>
      <c r="T23">
        <v>4362.5055782918998</v>
      </c>
      <c r="V23" s="18" t="s">
        <v>232</v>
      </c>
      <c r="W23">
        <v>693.54018147960903</v>
      </c>
      <c r="X23" s="17" t="s">
        <v>239</v>
      </c>
      <c r="Y23">
        <v>3010.60319655687</v>
      </c>
      <c r="Z23" t="s">
        <v>225</v>
      </c>
      <c r="AA23">
        <v>691.34420808911295</v>
      </c>
      <c r="AC23">
        <v>560.57463700032895</v>
      </c>
      <c r="AD23">
        <v>0.21941770440807101</v>
      </c>
      <c r="AE23">
        <v>448.96039911190201</v>
      </c>
      <c r="AF23">
        <v>0.89317454455499101</v>
      </c>
      <c r="AG23">
        <v>290.38429039893998</v>
      </c>
      <c r="AH23">
        <v>1.04688858885015</v>
      </c>
      <c r="AJ23">
        <v>395.97699328083701</v>
      </c>
      <c r="AK23">
        <v>0.25253992453313401</v>
      </c>
      <c r="AL23">
        <v>537.94793710656597</v>
      </c>
      <c r="AM23">
        <v>0.61158334720935204</v>
      </c>
      <c r="AN23">
        <v>274.58293342706298</v>
      </c>
      <c r="AO23">
        <v>0.92139739656180797</v>
      </c>
      <c r="AQ23" t="s">
        <v>192</v>
      </c>
      <c r="AR23">
        <v>2.2200000000000002</v>
      </c>
      <c r="AS23">
        <v>2.31</v>
      </c>
      <c r="AU23">
        <v>202242</v>
      </c>
      <c r="AV23" t="s">
        <v>187</v>
      </c>
      <c r="AW23">
        <v>2.4</v>
      </c>
      <c r="AX23">
        <v>2.56</v>
      </c>
      <c r="AY23">
        <v>1.57</v>
      </c>
      <c r="AZ23">
        <v>270224</v>
      </c>
      <c r="BA23" t="s">
        <v>200</v>
      </c>
      <c r="BB23">
        <v>2.08</v>
      </c>
      <c r="BC23">
        <v>2.2200000000000002</v>
      </c>
      <c r="BD23">
        <v>2.37</v>
      </c>
      <c r="BE23">
        <v>1106242</v>
      </c>
    </row>
    <row r="24" spans="1:57" x14ac:dyDescent="0.35">
      <c r="A24" t="s">
        <v>240</v>
      </c>
      <c r="B24">
        <v>5386.9793593702798</v>
      </c>
      <c r="C24" t="s">
        <v>241</v>
      </c>
      <c r="D24">
        <v>2257.1626551990998</v>
      </c>
      <c r="E24" t="s">
        <v>242</v>
      </c>
      <c r="F24" s="2">
        <v>730.49778243441006</v>
      </c>
      <c r="H24" t="s">
        <v>240</v>
      </c>
      <c r="I24">
        <v>51</v>
      </c>
      <c r="J24" t="s">
        <v>241</v>
      </c>
      <c r="K24">
        <v>11</v>
      </c>
      <c r="L24" t="s">
        <v>242</v>
      </c>
      <c r="M24">
        <v>3</v>
      </c>
      <c r="O24" s="18" t="s">
        <v>243</v>
      </c>
      <c r="P24">
        <v>1343.04850897244</v>
      </c>
      <c r="Q24" s="17" t="s">
        <v>244</v>
      </c>
      <c r="R24">
        <v>6043.28345699083</v>
      </c>
      <c r="S24" t="s">
        <v>245</v>
      </c>
      <c r="T24">
        <v>2997.6976887005098</v>
      </c>
      <c r="V24" s="18" t="s">
        <v>243</v>
      </c>
      <c r="W24">
        <v>1767.17188491617</v>
      </c>
      <c r="X24" s="17" t="s">
        <v>244</v>
      </c>
      <c r="Y24">
        <v>2880.2297423559398</v>
      </c>
      <c r="Z24" t="s">
        <v>245</v>
      </c>
      <c r="AA24">
        <v>675.13610473743199</v>
      </c>
      <c r="AC24">
        <v>527.77670539612495</v>
      </c>
      <c r="AD24">
        <v>0.27473740033897398</v>
      </c>
      <c r="AE24">
        <v>386.09021766906898</v>
      </c>
      <c r="AF24">
        <v>0.82364169162288503</v>
      </c>
      <c r="AG24">
        <v>361.94617920064599</v>
      </c>
      <c r="AH24">
        <v>0.93936618076998502</v>
      </c>
      <c r="AJ24">
        <v>251.98552000480601</v>
      </c>
      <c r="AK24">
        <v>0.36906882585247802</v>
      </c>
      <c r="AL24">
        <v>395.32990635665402</v>
      </c>
      <c r="AM24">
        <v>0.53120190661858202</v>
      </c>
      <c r="AN24">
        <v>464.73995658286901</v>
      </c>
      <c r="AO24">
        <v>0.82842026932829504</v>
      </c>
      <c r="AQ24" t="s">
        <v>196</v>
      </c>
      <c r="AR24">
        <v>1.95</v>
      </c>
      <c r="AS24">
        <v>1.98</v>
      </c>
      <c r="AT24">
        <v>1.88</v>
      </c>
      <c r="AU24">
        <v>202242</v>
      </c>
      <c r="AV24" t="s">
        <v>192</v>
      </c>
      <c r="AW24">
        <v>2.87</v>
      </c>
      <c r="AX24">
        <v>2.37</v>
      </c>
      <c r="AY24">
        <v>2.21</v>
      </c>
      <c r="AZ24">
        <v>270224</v>
      </c>
      <c r="BA24" t="s">
        <v>171</v>
      </c>
      <c r="BB24">
        <v>2.88</v>
      </c>
      <c r="BC24">
        <v>2.7</v>
      </c>
      <c r="BD24">
        <v>2.4900000000000002</v>
      </c>
      <c r="BE24">
        <v>280324</v>
      </c>
    </row>
    <row r="25" spans="1:57" x14ac:dyDescent="0.35">
      <c r="A25" t="s">
        <v>246</v>
      </c>
      <c r="B25">
        <v>9538.2023468377702</v>
      </c>
      <c r="C25" t="s">
        <v>247</v>
      </c>
      <c r="D25" s="2">
        <v>1015.72274718069</v>
      </c>
      <c r="E25" t="s">
        <v>248</v>
      </c>
      <c r="F25">
        <v>7342.5156308338701</v>
      </c>
      <c r="H25" t="s">
        <v>246</v>
      </c>
      <c r="I25">
        <v>88</v>
      </c>
      <c r="J25" t="s">
        <v>247</v>
      </c>
      <c r="K25">
        <v>11</v>
      </c>
      <c r="L25" t="s">
        <v>248</v>
      </c>
      <c r="M25">
        <v>45</v>
      </c>
      <c r="O25" t="s">
        <v>236</v>
      </c>
      <c r="P25">
        <v>911.73218278239494</v>
      </c>
      <c r="Q25" t="s">
        <v>220</v>
      </c>
      <c r="R25">
        <v>2406.3106311665401</v>
      </c>
      <c r="S25" t="s">
        <v>249</v>
      </c>
      <c r="T25">
        <v>2847.4362036417201</v>
      </c>
      <c r="V25" t="s">
        <v>236</v>
      </c>
      <c r="W25">
        <v>799.26321679314503</v>
      </c>
      <c r="X25" t="s">
        <v>220</v>
      </c>
      <c r="Y25">
        <v>1600.0468088253201</v>
      </c>
      <c r="Z25" t="s">
        <v>249</v>
      </c>
      <c r="AA25">
        <v>2172.0312343587402</v>
      </c>
      <c r="AC25">
        <v>358.27022352715198</v>
      </c>
      <c r="AD25">
        <v>0.57777617676985704</v>
      </c>
      <c r="AE25">
        <v>345.29209330562003</v>
      </c>
      <c r="AF25">
        <v>0.78773886015180505</v>
      </c>
      <c r="AG25">
        <v>461.58080415801402</v>
      </c>
      <c r="AH25">
        <v>1.1438950563881101</v>
      </c>
      <c r="AJ25">
        <v>503.14211004978898</v>
      </c>
      <c r="AK25">
        <v>0.292163977261719</v>
      </c>
      <c r="AL25">
        <v>249.39155759501901</v>
      </c>
      <c r="AM25">
        <v>0.66962972448003799</v>
      </c>
      <c r="AN25">
        <v>423.25476686628201</v>
      </c>
      <c r="AO25">
        <v>1.11044230754875</v>
      </c>
      <c r="AQ25" t="s">
        <v>171</v>
      </c>
      <c r="AR25">
        <v>1.05</v>
      </c>
      <c r="AS25">
        <v>1.54</v>
      </c>
      <c r="AT25">
        <v>1.67</v>
      </c>
      <c r="AU25">
        <v>3101242</v>
      </c>
      <c r="AV25" t="s">
        <v>196</v>
      </c>
      <c r="AW25">
        <v>2.37</v>
      </c>
      <c r="AX25">
        <v>1.7</v>
      </c>
      <c r="AY25">
        <v>1.44</v>
      </c>
      <c r="AZ25">
        <v>270224</v>
      </c>
      <c r="BA25" t="s">
        <v>176</v>
      </c>
      <c r="BB25">
        <v>1.85</v>
      </c>
      <c r="BC25">
        <v>1.64</v>
      </c>
      <c r="BD25">
        <v>1.92</v>
      </c>
      <c r="BE25">
        <v>280324</v>
      </c>
    </row>
    <row r="26" spans="1:57" x14ac:dyDescent="0.35">
      <c r="A26" t="s">
        <v>250</v>
      </c>
      <c r="B26">
        <v>6682.5845588842903</v>
      </c>
      <c r="C26" t="s">
        <v>251</v>
      </c>
      <c r="D26">
        <v>3885.1180928182698</v>
      </c>
      <c r="E26" t="s">
        <v>252</v>
      </c>
      <c r="F26">
        <v>6165.8753449563201</v>
      </c>
      <c r="H26" t="s">
        <v>250</v>
      </c>
      <c r="I26">
        <v>79</v>
      </c>
      <c r="J26" t="s">
        <v>251</v>
      </c>
      <c r="K26">
        <v>25</v>
      </c>
      <c r="L26" t="s">
        <v>252</v>
      </c>
      <c r="M26">
        <v>32</v>
      </c>
      <c r="O26" t="s">
        <v>240</v>
      </c>
      <c r="P26">
        <v>1047.3922684214499</v>
      </c>
      <c r="Q26" t="s">
        <v>224</v>
      </c>
      <c r="R26">
        <v>1614.0029494216401</v>
      </c>
      <c r="S26" t="s">
        <v>253</v>
      </c>
      <c r="T26">
        <v>5884.1820308389897</v>
      </c>
      <c r="V26" t="s">
        <v>240</v>
      </c>
      <c r="W26">
        <v>454.537992720614</v>
      </c>
      <c r="X26" t="s">
        <v>224</v>
      </c>
      <c r="Y26">
        <v>240.114449109194</v>
      </c>
      <c r="Z26" t="s">
        <v>253</v>
      </c>
      <c r="AA26">
        <v>1189.2126007398899</v>
      </c>
      <c r="AC26">
        <v>549.33324171611503</v>
      </c>
      <c r="AD26">
        <v>0.68810691087823095</v>
      </c>
      <c r="AE26">
        <v>335.22283502210502</v>
      </c>
      <c r="AF26">
        <v>0.70699240994239598</v>
      </c>
      <c r="AG26">
        <v>535.458354774952</v>
      </c>
      <c r="AH26">
        <v>0.978600847903908</v>
      </c>
      <c r="AJ26">
        <v>349.97433279864299</v>
      </c>
      <c r="AK26">
        <v>8.2863219619837294E-2</v>
      </c>
      <c r="AL26">
        <v>277.91628913712998</v>
      </c>
      <c r="AM26">
        <v>0.55052548547993296</v>
      </c>
      <c r="AN26">
        <v>357.36199606885799</v>
      </c>
      <c r="AO26">
        <v>0.94302137246587803</v>
      </c>
      <c r="AQ26" t="s">
        <v>176</v>
      </c>
      <c r="AR26">
        <v>1.27</v>
      </c>
      <c r="AS26">
        <v>1.87</v>
      </c>
      <c r="AT26">
        <v>1.05</v>
      </c>
      <c r="AU26">
        <v>3101242</v>
      </c>
      <c r="AV26" t="s">
        <v>171</v>
      </c>
      <c r="AW26">
        <v>1.55</v>
      </c>
      <c r="AX26">
        <v>1.96</v>
      </c>
      <c r="AY26">
        <v>1.44</v>
      </c>
      <c r="AZ26">
        <v>290224</v>
      </c>
      <c r="BA26" t="s">
        <v>180</v>
      </c>
      <c r="BB26">
        <v>3.11</v>
      </c>
      <c r="BC26">
        <v>3.62</v>
      </c>
      <c r="BD26">
        <v>2.52</v>
      </c>
      <c r="BE26">
        <v>280324</v>
      </c>
    </row>
    <row r="27" spans="1:57" ht="13.15" x14ac:dyDescent="0.4">
      <c r="A27" t="s">
        <v>255</v>
      </c>
      <c r="B27">
        <v>5961.1192749335696</v>
      </c>
      <c r="C27" s="1" t="s">
        <v>256</v>
      </c>
      <c r="D27" s="1">
        <f>AVERAGE(D6:D26)</f>
        <v>3681.0180957868206</v>
      </c>
      <c r="E27" t="s">
        <v>257</v>
      </c>
      <c r="F27">
        <v>2577.11784249333</v>
      </c>
      <c r="H27" t="s">
        <v>255</v>
      </c>
      <c r="I27">
        <v>52</v>
      </c>
      <c r="J27" s="1" t="s">
        <v>256</v>
      </c>
      <c r="K27" s="1">
        <f>AVERAGE(K6:K26)</f>
        <v>24.142857142857142</v>
      </c>
      <c r="L27" t="s">
        <v>257</v>
      </c>
      <c r="M27">
        <v>19</v>
      </c>
      <c r="O27" t="s">
        <v>246</v>
      </c>
      <c r="P27">
        <v>1167.8445006315901</v>
      </c>
      <c r="Q27" t="s">
        <v>228</v>
      </c>
      <c r="R27">
        <v>2805.49643239232</v>
      </c>
      <c r="S27" t="s">
        <v>229</v>
      </c>
      <c r="T27">
        <v>3089.3526240967099</v>
      </c>
      <c r="V27" t="s">
        <v>246</v>
      </c>
      <c r="W27">
        <v>1649.4930664179001</v>
      </c>
      <c r="X27" t="s">
        <v>228</v>
      </c>
      <c r="Y27">
        <v>2143.5700376190698</v>
      </c>
      <c r="Z27" t="s">
        <v>229</v>
      </c>
      <c r="AA27">
        <v>1830.1274980627099</v>
      </c>
      <c r="AC27">
        <v>492.457468870404</v>
      </c>
      <c r="AD27">
        <v>0.15229741600230901</v>
      </c>
      <c r="AE27">
        <v>505.624822772166</v>
      </c>
      <c r="AF27">
        <v>0.94140947707087697</v>
      </c>
      <c r="AG27">
        <v>528.90740731062499</v>
      </c>
      <c r="AH27">
        <v>0.86026399651608598</v>
      </c>
      <c r="AJ27">
        <v>252.674681550325</v>
      </c>
      <c r="AK27">
        <v>0.24537480217483301</v>
      </c>
      <c r="AL27">
        <v>497.55859403512602</v>
      </c>
      <c r="AM27">
        <v>0.53059077496581797</v>
      </c>
      <c r="AN27">
        <v>332.25058214827197</v>
      </c>
      <c r="AO27">
        <v>1.02332401587266</v>
      </c>
      <c r="AQ27" t="s">
        <v>180</v>
      </c>
      <c r="AR27">
        <v>1.27</v>
      </c>
      <c r="AS27">
        <v>1.68</v>
      </c>
      <c r="AT27">
        <v>1.27</v>
      </c>
      <c r="AU27">
        <v>3101242</v>
      </c>
      <c r="AV27" t="s">
        <v>176</v>
      </c>
      <c r="AW27">
        <v>1.65</v>
      </c>
      <c r="AX27">
        <v>2.04</v>
      </c>
      <c r="AY27">
        <v>1.32</v>
      </c>
      <c r="AZ27">
        <v>290224</v>
      </c>
      <c r="BA27" t="s">
        <v>187</v>
      </c>
      <c r="BB27">
        <v>2.0699999999999998</v>
      </c>
      <c r="BC27">
        <v>1.92</v>
      </c>
      <c r="BD27">
        <v>2.0699999999999998</v>
      </c>
      <c r="BE27">
        <v>280324</v>
      </c>
    </row>
    <row r="28" spans="1:57" ht="13.15" x14ac:dyDescent="0.4">
      <c r="A28" t="s">
        <v>258</v>
      </c>
      <c r="B28">
        <v>7718.8235189057896</v>
      </c>
      <c r="C28" s="1" t="s">
        <v>259</v>
      </c>
      <c r="D28" s="1">
        <f>STDEV(D6:D26)</f>
        <v>2234.7554198388716</v>
      </c>
      <c r="E28" t="s">
        <v>260</v>
      </c>
      <c r="F28">
        <v>2311.0779136399701</v>
      </c>
      <c r="H28" t="s">
        <v>258</v>
      </c>
      <c r="I28">
        <v>80</v>
      </c>
      <c r="J28" s="1" t="s">
        <v>259</v>
      </c>
      <c r="K28" s="1">
        <f>STDEV(K6:K26)</f>
        <v>13.661206807181109</v>
      </c>
      <c r="L28" t="s">
        <v>260</v>
      </c>
      <c r="M28">
        <v>12</v>
      </c>
      <c r="O28" t="s">
        <v>250</v>
      </c>
      <c r="P28">
        <v>1412.68854304193</v>
      </c>
      <c r="Q28" t="s">
        <v>233</v>
      </c>
      <c r="R28">
        <v>2418.90291516262</v>
      </c>
      <c r="S28" t="s">
        <v>234</v>
      </c>
      <c r="T28">
        <v>2249.6337091975502</v>
      </c>
      <c r="V28" t="s">
        <v>250</v>
      </c>
      <c r="W28">
        <v>1093.9953866108499</v>
      </c>
      <c r="X28" t="s">
        <v>233</v>
      </c>
      <c r="Y28">
        <v>872.37651168283605</v>
      </c>
      <c r="Z28" t="s">
        <v>234</v>
      </c>
      <c r="AA28">
        <v>1306.7803684918199</v>
      </c>
      <c r="AC28">
        <v>339.02262147636901</v>
      </c>
      <c r="AD28">
        <v>0.16518071790057001</v>
      </c>
      <c r="AE28">
        <v>469.16013265463903</v>
      </c>
      <c r="AF28">
        <v>0.89308526201742999</v>
      </c>
      <c r="AG28">
        <v>323.79943007662303</v>
      </c>
      <c r="AH28">
        <v>1.0901810417531199</v>
      </c>
      <c r="AJ28">
        <v>444.26101751572003</v>
      </c>
      <c r="AK28">
        <v>0.32863563140521102</v>
      </c>
      <c r="AL28">
        <v>463.579869675537</v>
      </c>
      <c r="AM28">
        <v>0.52418151842977401</v>
      </c>
      <c r="AN28">
        <v>423.57883498670498</v>
      </c>
      <c r="AO28">
        <v>1.06473686300723</v>
      </c>
      <c r="AQ28" t="s">
        <v>171</v>
      </c>
      <c r="AR28">
        <v>1.29</v>
      </c>
      <c r="AS28">
        <v>1.45</v>
      </c>
      <c r="AT28">
        <v>1.58</v>
      </c>
      <c r="AU28">
        <v>3001242</v>
      </c>
      <c r="AV28" t="s">
        <v>180</v>
      </c>
      <c r="AW28">
        <v>2.34</v>
      </c>
      <c r="AX28">
        <v>1.89</v>
      </c>
      <c r="AY28">
        <v>2.2599999999999998</v>
      </c>
      <c r="AZ28">
        <v>290224</v>
      </c>
      <c r="BA28" t="s">
        <v>192</v>
      </c>
      <c r="BB28">
        <v>2.59</v>
      </c>
      <c r="BC28">
        <v>2.97</v>
      </c>
      <c r="BD28">
        <v>3.05</v>
      </c>
      <c r="BE28">
        <v>280324</v>
      </c>
    </row>
    <row r="29" spans="1:57" ht="13.15" x14ac:dyDescent="0.4">
      <c r="A29" t="s">
        <v>262</v>
      </c>
      <c r="B29">
        <v>3973.1814580723199</v>
      </c>
      <c r="C29" s="1" t="s">
        <v>263</v>
      </c>
      <c r="D29" s="1">
        <f>D28/SQRT(21)</f>
        <v>487.66361291068796</v>
      </c>
      <c r="E29" t="s">
        <v>264</v>
      </c>
      <c r="F29">
        <v>3520.3110086724</v>
      </c>
      <c r="H29" t="s">
        <v>262</v>
      </c>
      <c r="I29">
        <v>48</v>
      </c>
      <c r="J29" s="1" t="s">
        <v>263</v>
      </c>
      <c r="K29" s="1">
        <f>K28/SQRT(21)</f>
        <v>2.9811197275406394</v>
      </c>
      <c r="L29" t="s">
        <v>264</v>
      </c>
      <c r="M29">
        <v>27</v>
      </c>
      <c r="O29" t="s">
        <v>255</v>
      </c>
      <c r="P29">
        <v>1368.2310735390799</v>
      </c>
      <c r="Q29" t="s">
        <v>237</v>
      </c>
      <c r="R29">
        <v>2419.62916973745</v>
      </c>
      <c r="S29" t="s">
        <v>238</v>
      </c>
      <c r="T29">
        <v>2815.23401799469</v>
      </c>
      <c r="V29" t="s">
        <v>255</v>
      </c>
      <c r="W29">
        <v>1014.83792809096</v>
      </c>
      <c r="X29" t="s">
        <v>237</v>
      </c>
      <c r="Y29">
        <v>1729.1732054229601</v>
      </c>
      <c r="Z29" t="s">
        <v>238</v>
      </c>
      <c r="AA29">
        <v>1852.4691867645699</v>
      </c>
      <c r="AC29">
        <v>476.27866061777399</v>
      </c>
      <c r="AD29">
        <v>0.346435844482263</v>
      </c>
      <c r="AE29">
        <v>456.473832529145</v>
      </c>
      <c r="AF29">
        <v>0.64187688125867004</v>
      </c>
      <c r="AG29">
        <v>448.08395648041801</v>
      </c>
      <c r="AH29">
        <v>0.82573811146074805</v>
      </c>
      <c r="AJ29" s="1">
        <f>AVERAGE(AJ6:AJ28)</f>
        <v>324.76334353029063</v>
      </c>
      <c r="AK29" s="1">
        <f>AVERAGE(AK6:AK28)</f>
        <v>0.21093727948489899</v>
      </c>
      <c r="AL29" s="1">
        <f>AVERAGE(AL6:AL28)</f>
        <v>351.92134472907782</v>
      </c>
      <c r="AM29" s="1">
        <f>AVERAGE(AM6:AM28)</f>
        <v>0.64348295298197589</v>
      </c>
      <c r="AN29">
        <v>598.46784997202701</v>
      </c>
      <c r="AO29">
        <v>0.67338621451233605</v>
      </c>
      <c r="AQ29" t="s">
        <v>176</v>
      </c>
      <c r="AR29">
        <v>1.64</v>
      </c>
      <c r="AS29">
        <v>1.81</v>
      </c>
      <c r="AT29">
        <v>2.27</v>
      </c>
      <c r="AU29">
        <v>3001242</v>
      </c>
      <c r="AV29" t="s">
        <v>171</v>
      </c>
      <c r="AW29">
        <v>1.6</v>
      </c>
      <c r="AX29">
        <v>1.73</v>
      </c>
      <c r="AZ29">
        <v>200224</v>
      </c>
      <c r="BA29" t="s">
        <v>171</v>
      </c>
      <c r="BB29">
        <v>2.66</v>
      </c>
      <c r="BC29">
        <v>2.7</v>
      </c>
      <c r="BE29">
        <v>270324</v>
      </c>
    </row>
    <row r="30" spans="1:57" ht="13.15" x14ac:dyDescent="0.4">
      <c r="A30" t="s">
        <v>265</v>
      </c>
      <c r="B30">
        <v>11399.823734969899</v>
      </c>
      <c r="E30" t="s">
        <v>266</v>
      </c>
      <c r="F30" s="2">
        <v>539.58287422698197</v>
      </c>
      <c r="H30" t="s">
        <v>265</v>
      </c>
      <c r="I30">
        <v>101</v>
      </c>
      <c r="L30" t="s">
        <v>266</v>
      </c>
      <c r="M30">
        <v>5</v>
      </c>
      <c r="O30" t="s">
        <v>258</v>
      </c>
      <c r="P30">
        <v>1746.46093450634</v>
      </c>
      <c r="Q30" t="s">
        <v>241</v>
      </c>
      <c r="R30">
        <v>4382.55257714463</v>
      </c>
      <c r="S30" t="s">
        <v>267</v>
      </c>
      <c r="T30">
        <v>2675.71214845233</v>
      </c>
      <c r="V30" t="s">
        <v>258</v>
      </c>
      <c r="W30">
        <v>204.47208513655201</v>
      </c>
      <c r="X30" t="s">
        <v>241</v>
      </c>
      <c r="Y30">
        <v>1365.9459164198499</v>
      </c>
      <c r="Z30" t="s">
        <v>267</v>
      </c>
      <c r="AA30">
        <v>2960.2119469199201</v>
      </c>
      <c r="AC30" s="1">
        <f>AVERAGE(Figure3!AD5:AD29)</f>
        <v>975.66492254111597</v>
      </c>
      <c r="AD30" s="1">
        <f>AVERAGE(AD6:AD29)</f>
        <v>0.30449896467623888</v>
      </c>
      <c r="AE30" s="1">
        <f>AVERAGE(AE6:AE29)</f>
        <v>423.45638664335564</v>
      </c>
      <c r="AF30" s="1">
        <f>AVERAGE(AF6:AF29)</f>
        <v>0.80586799554898025</v>
      </c>
      <c r="AG30">
        <v>465.16391788300302</v>
      </c>
      <c r="AH30">
        <v>1.35436128164708</v>
      </c>
      <c r="AJ30" s="1">
        <f>STDEV(AJ6:AJ29)</f>
        <v>95.911938311203144</v>
      </c>
      <c r="AK30" s="1">
        <f>STDEV(AK6:AK29)</f>
        <v>0.11040046013265122</v>
      </c>
      <c r="AL30" s="1">
        <f>STDEV(AL5:AL28)</f>
        <v>92.474190843218139</v>
      </c>
      <c r="AM30" s="1">
        <f>STDEV(AM5:AM28)</f>
        <v>0.12852733255726675</v>
      </c>
      <c r="AN30">
        <v>336.07194553742301</v>
      </c>
      <c r="AO30">
        <v>0.41657746758992797</v>
      </c>
      <c r="AQ30" t="s">
        <v>180</v>
      </c>
      <c r="AR30">
        <v>1.82</v>
      </c>
      <c r="AS30">
        <v>1.69</v>
      </c>
      <c r="AT30">
        <v>1.5</v>
      </c>
      <c r="AU30">
        <v>3001242</v>
      </c>
      <c r="AV30" t="s">
        <v>176</v>
      </c>
      <c r="AW30">
        <v>1.6</v>
      </c>
      <c r="AX30">
        <v>1.94</v>
      </c>
      <c r="AY30">
        <v>1.84</v>
      </c>
      <c r="AZ30">
        <v>200224</v>
      </c>
      <c r="BA30" t="s">
        <v>176</v>
      </c>
      <c r="BB30">
        <v>2.61</v>
      </c>
      <c r="BC30">
        <v>3.48</v>
      </c>
      <c r="BD30">
        <v>3.12</v>
      </c>
      <c r="BE30">
        <v>270324</v>
      </c>
    </row>
    <row r="31" spans="1:57" ht="13.15" x14ac:dyDescent="0.4">
      <c r="A31" t="s">
        <v>268</v>
      </c>
      <c r="B31">
        <v>8580.9727999579809</v>
      </c>
      <c r="E31" t="s">
        <v>269</v>
      </c>
      <c r="F31">
        <v>2947.6950977185102</v>
      </c>
      <c r="H31" t="s">
        <v>268</v>
      </c>
      <c r="I31">
        <v>89</v>
      </c>
      <c r="L31" t="s">
        <v>269</v>
      </c>
      <c r="M31">
        <v>9</v>
      </c>
      <c r="O31" t="s">
        <v>262</v>
      </c>
      <c r="P31">
        <v>959.74353327821802</v>
      </c>
      <c r="Q31" t="s">
        <v>270</v>
      </c>
      <c r="R31">
        <v>4031.8930923568701</v>
      </c>
      <c r="S31" t="s">
        <v>242</v>
      </c>
      <c r="T31">
        <v>1860.1280545461</v>
      </c>
      <c r="V31" t="s">
        <v>262</v>
      </c>
      <c r="W31">
        <v>1207.1218577106399</v>
      </c>
      <c r="X31" t="s">
        <v>270</v>
      </c>
      <c r="Y31">
        <v>1988.77504431016</v>
      </c>
      <c r="Z31" t="s">
        <v>242</v>
      </c>
      <c r="AA31">
        <v>3145.7231660048001</v>
      </c>
      <c r="AC31" s="1">
        <f>STDEV(AC6:AC29)</f>
        <v>153.94618167685539</v>
      </c>
      <c r="AD31" s="1">
        <f>STDEV(AD6:AD29)</f>
        <v>0.14416230096250196</v>
      </c>
      <c r="AE31" s="1">
        <f>STDEV(AE6:AE29)</f>
        <v>77.445965970550873</v>
      </c>
      <c r="AF31" s="1">
        <f>STDEV(AF6:AF29)</f>
        <v>0.19258845908871472</v>
      </c>
      <c r="AG31" s="1">
        <f>AVERAGE(Figure3!AG6:AG30)</f>
        <v>1919.5983089235133</v>
      </c>
      <c r="AH31" s="1">
        <f>AVERAGE(AH6:AH30)</f>
        <v>0.90770646906056496</v>
      </c>
      <c r="AJ31" s="1">
        <f>AJ30/SQRT(23)</f>
        <v>19.999021618038824</v>
      </c>
      <c r="AK31" s="1">
        <f>AK30/SQRT(23)</f>
        <v>2.3020087256191212E-2</v>
      </c>
      <c r="AL31" s="1">
        <f>AL30/SQRT(23)</f>
        <v>19.28220171907574</v>
      </c>
      <c r="AM31" s="1">
        <f>AM30/SQRT(23)</f>
        <v>2.6799801438497268E-2</v>
      </c>
      <c r="AN31" s="1">
        <f>AVERAGE(AN6:AN30)</f>
        <v>362.30576313001808</v>
      </c>
      <c r="AO31" s="1">
        <f>AVERAGE(AO6:AO30)</f>
        <v>0.80178491692363307</v>
      </c>
      <c r="AQ31" t="s">
        <v>187</v>
      </c>
      <c r="AR31">
        <v>1.38</v>
      </c>
      <c r="AS31">
        <v>2.12</v>
      </c>
      <c r="AT31">
        <v>1.91</v>
      </c>
      <c r="AU31">
        <v>3001242</v>
      </c>
      <c r="AV31" t="s">
        <v>180</v>
      </c>
      <c r="AW31">
        <v>2.4900000000000002</v>
      </c>
      <c r="AX31">
        <v>1.68</v>
      </c>
      <c r="AY31">
        <v>1.45</v>
      </c>
      <c r="AZ31">
        <v>200224</v>
      </c>
      <c r="BA31" t="s">
        <v>180</v>
      </c>
      <c r="BB31">
        <v>2.8</v>
      </c>
      <c r="BC31">
        <v>2.99</v>
      </c>
      <c r="BD31">
        <v>2.77</v>
      </c>
      <c r="BE31">
        <v>270324</v>
      </c>
    </row>
    <row r="32" spans="1:57" ht="13.15" x14ac:dyDescent="0.4">
      <c r="A32" t="s">
        <v>271</v>
      </c>
      <c r="B32">
        <v>9419.8041389847003</v>
      </c>
      <c r="E32" t="s">
        <v>272</v>
      </c>
      <c r="F32" s="2">
        <v>832.58763820944102</v>
      </c>
      <c r="H32" t="s">
        <v>271</v>
      </c>
      <c r="I32">
        <v>108</v>
      </c>
      <c r="L32" t="s">
        <v>272</v>
      </c>
      <c r="M32">
        <v>5</v>
      </c>
      <c r="O32" t="s">
        <v>265</v>
      </c>
      <c r="P32">
        <v>964.96397057940101</v>
      </c>
      <c r="Q32" t="s">
        <v>247</v>
      </c>
      <c r="R32">
        <v>3122.5108883268299</v>
      </c>
      <c r="S32" t="s">
        <v>248</v>
      </c>
      <c r="T32">
        <v>3819.2578350550998</v>
      </c>
      <c r="V32" t="s">
        <v>265</v>
      </c>
      <c r="W32">
        <v>443.00600101860698</v>
      </c>
      <c r="X32" t="s">
        <v>247</v>
      </c>
      <c r="Y32">
        <v>2353.5712358337501</v>
      </c>
      <c r="Z32" t="s">
        <v>248</v>
      </c>
      <c r="AA32">
        <v>1799.9511380926799</v>
      </c>
      <c r="AC32" s="1">
        <f>AC31/SQRT(24)</f>
        <v>31.424132746507745</v>
      </c>
      <c r="AD32" s="1">
        <f>AD31/SQRT(24)</f>
        <v>2.9427006458639174E-2</v>
      </c>
      <c r="AE32" s="1">
        <f>AE31/SQRT(24)</f>
        <v>15.808591605399954</v>
      </c>
      <c r="AF32" s="1">
        <f>AF31/SQRT(24)</f>
        <v>3.9311954593018707E-2</v>
      </c>
      <c r="AG32" s="1">
        <f>STDEV(AG6:AG30)</f>
        <v>72.577298794412542</v>
      </c>
      <c r="AH32" s="1">
        <f>STDEV(AH6:AH30)</f>
        <v>0.25308908845650052</v>
      </c>
      <c r="AN32" s="1">
        <f>STDEV(AN6:AN30)</f>
        <v>78.323382713453555</v>
      </c>
      <c r="AO32" s="1">
        <f>STDEV(AO6:AO30)</f>
        <v>0.21391971273542065</v>
      </c>
      <c r="AQ32" t="s">
        <v>192</v>
      </c>
      <c r="AR32">
        <v>2.1</v>
      </c>
      <c r="AS32">
        <v>1.84</v>
      </c>
      <c r="AT32">
        <v>1.68</v>
      </c>
      <c r="AU32">
        <v>3001242</v>
      </c>
      <c r="AV32" t="s">
        <v>187</v>
      </c>
      <c r="AW32">
        <v>2.35</v>
      </c>
      <c r="AX32">
        <v>2.81</v>
      </c>
      <c r="AY32">
        <v>2.85</v>
      </c>
      <c r="AZ32">
        <v>200224</v>
      </c>
      <c r="BA32" t="s">
        <v>187</v>
      </c>
      <c r="BB32">
        <v>2.97</v>
      </c>
      <c r="BC32">
        <v>2.96</v>
      </c>
      <c r="BD32">
        <v>3.23</v>
      </c>
      <c r="BE32">
        <v>270324</v>
      </c>
    </row>
    <row r="33" spans="1:57" ht="13.15" x14ac:dyDescent="0.4">
      <c r="A33" t="s">
        <v>273</v>
      </c>
      <c r="B33">
        <v>9139.4481901968502</v>
      </c>
      <c r="E33" t="s">
        <v>274</v>
      </c>
      <c r="F33">
        <v>3128.4651607965502</v>
      </c>
      <c r="H33" t="s">
        <v>273</v>
      </c>
      <c r="I33">
        <v>114</v>
      </c>
      <c r="L33" t="s">
        <v>274</v>
      </c>
      <c r="M33">
        <v>29</v>
      </c>
      <c r="O33" t="s">
        <v>268</v>
      </c>
      <c r="P33">
        <v>1723.7978000073699</v>
      </c>
      <c r="Q33" t="s">
        <v>251</v>
      </c>
      <c r="R33">
        <v>3764.60922736972</v>
      </c>
      <c r="S33" t="s">
        <v>252</v>
      </c>
      <c r="T33">
        <v>3702.4064179356701</v>
      </c>
      <c r="V33" t="s">
        <v>268</v>
      </c>
      <c r="W33">
        <v>1038.6761117992301</v>
      </c>
      <c r="X33" t="s">
        <v>251</v>
      </c>
      <c r="Y33">
        <v>3764.60922736972</v>
      </c>
      <c r="Z33" t="s">
        <v>252</v>
      </c>
      <c r="AA33">
        <v>1445.8382271865501</v>
      </c>
      <c r="AG33" s="1">
        <f>AG32/SQRT(25)</f>
        <v>14.515459758882509</v>
      </c>
      <c r="AH33" s="1">
        <f>AH32/SQRT(25)</f>
        <v>5.0617817691300103E-2</v>
      </c>
      <c r="AN33" s="1">
        <f>AN32/SQRT(25)</f>
        <v>15.66467654269071</v>
      </c>
      <c r="AO33" s="1">
        <f>STDEV(AO7:AO31)/SQRT(25)</f>
        <v>4.0021076499396707E-2</v>
      </c>
      <c r="AS33" t="s">
        <v>256</v>
      </c>
      <c r="AT33" s="1">
        <f>AVERAGE(AR7:AT32)</f>
        <v>1.8082894736842103</v>
      </c>
      <c r="AV33" t="s">
        <v>192</v>
      </c>
      <c r="AW33">
        <v>2.08</v>
      </c>
      <c r="AX33">
        <v>2.46</v>
      </c>
      <c r="AY33">
        <v>2.27</v>
      </c>
      <c r="AZ33">
        <v>200224</v>
      </c>
      <c r="BA33" t="s">
        <v>192</v>
      </c>
      <c r="BB33">
        <v>2.93</v>
      </c>
      <c r="BC33">
        <v>3.36</v>
      </c>
      <c r="BE33">
        <v>270324</v>
      </c>
    </row>
    <row r="34" spans="1:57" ht="13.15" x14ac:dyDescent="0.4">
      <c r="A34" t="s">
        <v>275</v>
      </c>
      <c r="B34">
        <v>11338.8476934106</v>
      </c>
      <c r="E34" t="s">
        <v>276</v>
      </c>
      <c r="F34">
        <v>2456.12485691231</v>
      </c>
      <c r="H34" t="s">
        <v>275</v>
      </c>
      <c r="I34">
        <v>122</v>
      </c>
      <c r="L34" t="s">
        <v>276</v>
      </c>
      <c r="M34">
        <v>11</v>
      </c>
      <c r="O34" t="s">
        <v>271</v>
      </c>
      <c r="P34">
        <v>1162.5576639823701</v>
      </c>
      <c r="Q34" s="1" t="s">
        <v>256</v>
      </c>
      <c r="R34" s="1">
        <f>AVERAGE(R6:R33)</f>
        <v>3607.7426457293323</v>
      </c>
      <c r="S34" t="s">
        <v>257</v>
      </c>
      <c r="T34">
        <v>5812.8471618043204</v>
      </c>
      <c r="V34" t="s">
        <v>271</v>
      </c>
      <c r="W34">
        <v>1032.0198217407799</v>
      </c>
      <c r="X34" s="1" t="s">
        <v>256</v>
      </c>
      <c r="Y34" s="1">
        <f>AVERAGE(Y6:Y33)</f>
        <v>1871.6755006154351</v>
      </c>
      <c r="Z34" t="s">
        <v>257</v>
      </c>
      <c r="AA34">
        <v>2367.7612429084002</v>
      </c>
      <c r="AS34" t="s">
        <v>281</v>
      </c>
      <c r="AT34" s="1">
        <f>STDEV(AR7:AT32)</f>
        <v>0.41055535772218077</v>
      </c>
      <c r="AX34" t="s">
        <v>256</v>
      </c>
      <c r="AY34" s="1">
        <f>AVERAGE(AW7:AY33)</f>
        <v>1.9892207792207794</v>
      </c>
      <c r="BC34" t="s">
        <v>256</v>
      </c>
      <c r="BD34" s="1">
        <f>AVERAGE(BB7:BD33)</f>
        <v>2.5189610389610384</v>
      </c>
    </row>
    <row r="35" spans="1:57" ht="13.15" x14ac:dyDescent="0.4">
      <c r="A35" t="s">
        <v>282</v>
      </c>
      <c r="B35">
        <v>8627.6111081372892</v>
      </c>
      <c r="E35" s="1" t="s">
        <v>256</v>
      </c>
      <c r="F35" s="1">
        <f>AVERAGE(F6:F34)</f>
        <v>3705.5662712413218</v>
      </c>
      <c r="H35" t="s">
        <v>282</v>
      </c>
      <c r="I35">
        <v>105</v>
      </c>
      <c r="L35" s="1" t="s">
        <v>256</v>
      </c>
      <c r="M35" s="1">
        <f>AVERAGE(M6:M34)</f>
        <v>24</v>
      </c>
      <c r="O35" t="s">
        <v>273</v>
      </c>
      <c r="P35">
        <v>909.41219035859899</v>
      </c>
      <c r="Q35" s="1" t="s">
        <v>259</v>
      </c>
      <c r="R35" s="1">
        <f>STDEV(R6:R33)</f>
        <v>1296.6651782288884</v>
      </c>
      <c r="S35" t="s">
        <v>283</v>
      </c>
      <c r="T35">
        <v>3008.7518472728102</v>
      </c>
      <c r="V35" t="s">
        <v>273</v>
      </c>
      <c r="W35">
        <v>1085.8066613213</v>
      </c>
      <c r="X35" s="1" t="s">
        <v>259</v>
      </c>
      <c r="Y35" s="1">
        <f>STDEV(Y6:Y33)</f>
        <v>746.8494041517813</v>
      </c>
      <c r="Z35" t="s">
        <v>283</v>
      </c>
      <c r="AA35">
        <v>2461.5618880748698</v>
      </c>
      <c r="AS35" t="s">
        <v>284</v>
      </c>
      <c r="AT35" s="1">
        <f>STDEV(AR8:AT33)/SQRT(76)</f>
        <v>4.6308435547337747E-2</v>
      </c>
      <c r="AX35" t="s">
        <v>281</v>
      </c>
      <c r="AY35" s="1">
        <f>STDEV(AW7:AY33)</f>
        <v>0.4352850434327194</v>
      </c>
      <c r="BC35" t="s">
        <v>281</v>
      </c>
      <c r="BD35" s="1">
        <f>STDEV(BB7:BD33)</f>
        <v>0.55144209128521793</v>
      </c>
    </row>
    <row r="36" spans="1:57" ht="13.15" x14ac:dyDescent="0.4">
      <c r="A36" t="s">
        <v>285</v>
      </c>
      <c r="B36">
        <v>13194.4080509123</v>
      </c>
      <c r="E36" s="1" t="s">
        <v>259</v>
      </c>
      <c r="F36" s="1">
        <f>STDEV(F6:F34)</f>
        <v>2404.4182023847575</v>
      </c>
      <c r="H36" t="s">
        <v>285</v>
      </c>
      <c r="I36">
        <v>124</v>
      </c>
      <c r="L36" s="1" t="s">
        <v>259</v>
      </c>
      <c r="M36" s="1">
        <f>STDEV(M6:M34)</f>
        <v>18.466185312619388</v>
      </c>
      <c r="O36" t="s">
        <v>275</v>
      </c>
      <c r="P36">
        <v>901.32225258146104</v>
      </c>
      <c r="Q36" s="1" t="s">
        <v>263</v>
      </c>
      <c r="R36" s="1">
        <f>R35/SQRT(28)</f>
        <v>245.04668537934873</v>
      </c>
      <c r="S36" t="s">
        <v>260</v>
      </c>
      <c r="T36">
        <v>2422.1199621855699</v>
      </c>
      <c r="V36" t="s">
        <v>275</v>
      </c>
      <c r="W36">
        <v>2484.1278702874201</v>
      </c>
      <c r="X36" s="1" t="s">
        <v>263</v>
      </c>
      <c r="Y36" s="1">
        <f>Y35/SQRT(28)</f>
        <v>141.14127072874169</v>
      </c>
      <c r="Z36" t="s">
        <v>260</v>
      </c>
      <c r="AA36">
        <v>3915.30005892185</v>
      </c>
      <c r="AX36" t="s">
        <v>284</v>
      </c>
      <c r="AY36" s="1">
        <f>STDEV(AW8:AY34)/SQRT(77)</f>
        <v>4.9610527242026137E-2</v>
      </c>
      <c r="BC36" t="s">
        <v>284</v>
      </c>
      <c r="BD36" s="1">
        <f>STDEV(BB8:BD34)/SQRT(75)</f>
        <v>6.3314149687584184E-2</v>
      </c>
    </row>
    <row r="37" spans="1:57" ht="13.15" x14ac:dyDescent="0.4">
      <c r="A37" t="s">
        <v>287</v>
      </c>
      <c r="B37">
        <v>9258.7821244070601</v>
      </c>
      <c r="E37" s="1" t="s">
        <v>263</v>
      </c>
      <c r="F37" s="1">
        <f>F36/SQRT(29)</f>
        <v>446.48925121089667</v>
      </c>
      <c r="H37" t="s">
        <v>287</v>
      </c>
      <c r="I37">
        <v>75</v>
      </c>
      <c r="L37" s="1" t="s">
        <v>263</v>
      </c>
      <c r="M37" s="1">
        <f>STDEV(M6:M34)/SQRT(29)</f>
        <v>3.4290845264669656</v>
      </c>
      <c r="O37" t="s">
        <v>282</v>
      </c>
      <c r="P37">
        <v>2451.4339916218501</v>
      </c>
      <c r="S37" t="s">
        <v>264</v>
      </c>
      <c r="T37">
        <v>2504.50841345141</v>
      </c>
      <c r="V37" t="s">
        <v>282</v>
      </c>
      <c r="W37">
        <v>547.90789369126901</v>
      </c>
      <c r="Z37" t="s">
        <v>264</v>
      </c>
      <c r="AA37">
        <v>1587.9988297672701</v>
      </c>
    </row>
    <row r="38" spans="1:57" x14ac:dyDescent="0.35">
      <c r="A38" t="s">
        <v>289</v>
      </c>
      <c r="B38">
        <v>1444.25840008963</v>
      </c>
      <c r="H38" t="s">
        <v>289</v>
      </c>
      <c r="I38">
        <v>13</v>
      </c>
      <c r="O38" t="s">
        <v>290</v>
      </c>
      <c r="P38">
        <v>1408.9389516270401</v>
      </c>
      <c r="S38" t="s">
        <v>266</v>
      </c>
      <c r="T38">
        <v>5237.7261036575601</v>
      </c>
      <c r="V38" t="s">
        <v>290</v>
      </c>
      <c r="W38">
        <v>1391.3812577966</v>
      </c>
      <c r="Z38" t="s">
        <v>266</v>
      </c>
      <c r="AA38">
        <v>2451.1455798392999</v>
      </c>
    </row>
    <row r="39" spans="1:57" x14ac:dyDescent="0.35">
      <c r="A39" t="s">
        <v>291</v>
      </c>
      <c r="B39">
        <v>1597.1495608232999</v>
      </c>
      <c r="H39" t="s">
        <v>291</v>
      </c>
      <c r="I39">
        <v>13</v>
      </c>
      <c r="O39" t="s">
        <v>285</v>
      </c>
      <c r="P39">
        <v>1568.5510322293801</v>
      </c>
      <c r="S39" t="s">
        <v>269</v>
      </c>
      <c r="T39">
        <v>2744.3360326859702</v>
      </c>
      <c r="V39" t="s">
        <v>285</v>
      </c>
      <c r="W39">
        <v>570.91477602773602</v>
      </c>
      <c r="Z39" t="s">
        <v>269</v>
      </c>
      <c r="AA39">
        <v>2384.50655882004</v>
      </c>
    </row>
    <row r="40" spans="1:57" x14ac:dyDescent="0.35">
      <c r="A40" t="s">
        <v>293</v>
      </c>
      <c r="B40">
        <v>10348.091658966599</v>
      </c>
      <c r="H40" t="s">
        <v>293</v>
      </c>
      <c r="I40">
        <v>97</v>
      </c>
      <c r="O40" t="s">
        <v>294</v>
      </c>
      <c r="P40">
        <v>2042.7453378570599</v>
      </c>
      <c r="S40" t="s">
        <v>272</v>
      </c>
      <c r="T40">
        <v>4734.62691557772</v>
      </c>
      <c r="V40" t="s">
        <v>294</v>
      </c>
      <c r="W40">
        <v>2099.9306950487098</v>
      </c>
      <c r="Z40" t="s">
        <v>272</v>
      </c>
      <c r="AA40">
        <v>2884.5345303416998</v>
      </c>
    </row>
    <row r="41" spans="1:57" ht="13.15" x14ac:dyDescent="0.4">
      <c r="A41" s="1" t="s">
        <v>256</v>
      </c>
      <c r="B41" s="1">
        <f>AVERAGE(B6:B40)</f>
        <v>8188.7160301102895</v>
      </c>
      <c r="H41" s="1" t="s">
        <v>256</v>
      </c>
      <c r="I41" s="1">
        <f>AVERAGE(I6:I40)</f>
        <v>83.742857142857147</v>
      </c>
      <c r="O41" t="s">
        <v>287</v>
      </c>
      <c r="P41">
        <v>1507.63016457452</v>
      </c>
      <c r="S41" t="s">
        <v>274</v>
      </c>
      <c r="T41">
        <v>4080.6447417681202</v>
      </c>
      <c r="V41" t="s">
        <v>287</v>
      </c>
      <c r="W41">
        <v>1460.02732091852</v>
      </c>
      <c r="Z41" t="s">
        <v>274</v>
      </c>
      <c r="AA41">
        <v>2967.4802665882999</v>
      </c>
    </row>
    <row r="42" spans="1:57" ht="13.15" x14ac:dyDescent="0.4">
      <c r="A42" s="1" t="s">
        <v>259</v>
      </c>
      <c r="B42" s="1">
        <f>STDEV(B6:B40)</f>
        <v>3771.0473928129754</v>
      </c>
      <c r="H42" s="1" t="s">
        <v>259</v>
      </c>
      <c r="I42" s="1">
        <f>STDEV(I6:I40)</f>
        <v>38.140871128228937</v>
      </c>
      <c r="O42" t="s">
        <v>289</v>
      </c>
      <c r="P42">
        <v>975.62714786835602</v>
      </c>
      <c r="S42" t="s">
        <v>296</v>
      </c>
      <c r="T42">
        <v>3038.59393268134</v>
      </c>
      <c r="V42" t="s">
        <v>289</v>
      </c>
      <c r="W42">
        <v>997.53915954149898</v>
      </c>
      <c r="Z42" t="s">
        <v>296</v>
      </c>
      <c r="AA42">
        <v>2168.7621193043401</v>
      </c>
    </row>
    <row r="43" spans="1:57" ht="13.15" x14ac:dyDescent="0.4">
      <c r="A43" s="1" t="s">
        <v>263</v>
      </c>
      <c r="B43" s="1">
        <f>B42/SQRT(35)</f>
        <v>637.42334976375309</v>
      </c>
      <c r="D43" s="23" t="s">
        <v>295</v>
      </c>
      <c r="H43" s="1" t="s">
        <v>263</v>
      </c>
      <c r="I43" s="1">
        <f>I42/SQRT(35)</f>
        <v>6.4469839026149449</v>
      </c>
      <c r="O43" t="s">
        <v>291</v>
      </c>
      <c r="P43">
        <v>1364.13490776357</v>
      </c>
      <c r="S43" t="s">
        <v>276</v>
      </c>
      <c r="T43">
        <v>5247.4257637588198</v>
      </c>
      <c r="V43" t="s">
        <v>291</v>
      </c>
      <c r="W43">
        <v>1144.5676568009901</v>
      </c>
      <c r="Z43" t="s">
        <v>276</v>
      </c>
      <c r="AA43">
        <v>2494.0574623790899</v>
      </c>
    </row>
    <row r="44" spans="1:57" ht="13.15" x14ac:dyDescent="0.4">
      <c r="O44" t="s">
        <v>293</v>
      </c>
      <c r="P44">
        <v>1820.7119814028299</v>
      </c>
      <c r="S44" s="1" t="s">
        <v>256</v>
      </c>
      <c r="T44" s="1">
        <f>AVERAGE(T6:T43)</f>
        <v>3702.0922267684159</v>
      </c>
      <c r="V44" t="s">
        <v>293</v>
      </c>
      <c r="W44">
        <v>540.42325665333703</v>
      </c>
      <c r="Z44" s="1" t="s">
        <v>256</v>
      </c>
      <c r="AA44" s="1">
        <f>AVERAGE(AA6:AA43)</f>
        <v>1807.5750057937134</v>
      </c>
    </row>
    <row r="45" spans="1:57" ht="13.15" x14ac:dyDescent="0.4">
      <c r="O45" s="1" t="s">
        <v>256</v>
      </c>
      <c r="P45" s="1">
        <f>AVERAGE(P6:P44)</f>
        <v>1222.9095015180737</v>
      </c>
      <c r="S45" s="1" t="s">
        <v>259</v>
      </c>
      <c r="T45" s="1">
        <f>STDEV(T6:T43)</f>
        <v>1511.1818271782083</v>
      </c>
      <c r="V45" s="1" t="s">
        <v>256</v>
      </c>
      <c r="W45" s="1">
        <f>AVERAGE(W6:W44)</f>
        <v>1066.5564045701894</v>
      </c>
      <c r="Z45" s="1" t="s">
        <v>259</v>
      </c>
      <c r="AA45" s="1">
        <f>STDEV(AA6:AA43)</f>
        <v>924.91967947312537</v>
      </c>
    </row>
    <row r="46" spans="1:57" ht="13.15" x14ac:dyDescent="0.4">
      <c r="O46" s="1" t="s">
        <v>259</v>
      </c>
      <c r="P46" s="1">
        <f>STDEV(P6:P44)</f>
        <v>568.71699539326255</v>
      </c>
      <c r="S46" s="1" t="s">
        <v>263</v>
      </c>
      <c r="T46" s="1">
        <f>STDEV(T6:T43)/SQRT(38)</f>
        <v>245.14606359183136</v>
      </c>
      <c r="V46" s="1" t="s">
        <v>259</v>
      </c>
      <c r="W46" s="1">
        <f>STDEV(W6:W44)</f>
        <v>593.45284718162623</v>
      </c>
      <c r="Z46" s="1" t="s">
        <v>263</v>
      </c>
      <c r="AA46" s="1">
        <f>STDEV(AA6:AA43)/SQRT(38)</f>
        <v>150.04178483593978</v>
      </c>
    </row>
    <row r="47" spans="1:57" ht="13.15" x14ac:dyDescent="0.4">
      <c r="O47" s="1" t="s">
        <v>263</v>
      </c>
      <c r="P47" s="1">
        <f>P46/SQRT(39)</f>
        <v>91.067602509899373</v>
      </c>
      <c r="V47" s="1" t="s">
        <v>263</v>
      </c>
      <c r="W47" s="1">
        <f>W46/SQRT(39)</f>
        <v>95.028508789566317</v>
      </c>
    </row>
  </sheetData>
  <mergeCells count="39">
    <mergeCell ref="BG10:BK10"/>
    <mergeCell ref="BL10:BP10"/>
    <mergeCell ref="BQ10:BU10"/>
    <mergeCell ref="BQ4:BU4"/>
    <mergeCell ref="AQ5:AU5"/>
    <mergeCell ref="AV5:AZ5"/>
    <mergeCell ref="BA5:BE5"/>
    <mergeCell ref="BG9:BU9"/>
    <mergeCell ref="AQ4:AU4"/>
    <mergeCell ref="AV4:AZ4"/>
    <mergeCell ref="BA4:BE4"/>
    <mergeCell ref="BG4:BK4"/>
    <mergeCell ref="BL4:BP4"/>
    <mergeCell ref="AE4:AF4"/>
    <mergeCell ref="AG4:AH4"/>
    <mergeCell ref="AJ4:AK4"/>
    <mergeCell ref="AL4:AM4"/>
    <mergeCell ref="AN4:AO4"/>
    <mergeCell ref="AJ3:AO3"/>
    <mergeCell ref="AQ3:BE3"/>
    <mergeCell ref="BG3:BU3"/>
    <mergeCell ref="A4:B4"/>
    <mergeCell ref="C4:D4"/>
    <mergeCell ref="E4:F4"/>
    <mergeCell ref="H4:I4"/>
    <mergeCell ref="J4:K4"/>
    <mergeCell ref="L4:M4"/>
    <mergeCell ref="O4:P4"/>
    <mergeCell ref="Q4:R4"/>
    <mergeCell ref="S4:T4"/>
    <mergeCell ref="V4:W4"/>
    <mergeCell ref="X4:Y4"/>
    <mergeCell ref="Z4:AA4"/>
    <mergeCell ref="AC4:AD4"/>
    <mergeCell ref="A3:F3"/>
    <mergeCell ref="H3:M3"/>
    <mergeCell ref="O3:T3"/>
    <mergeCell ref="V3:AA3"/>
    <mergeCell ref="AC3:AH3"/>
  </mergeCells>
  <pageMargins left="0.78749999999999998" right="0.78749999999999998" top="1.05277777777778" bottom="1.05277777777778" header="0.78749999999999998" footer="0.78749999999999998"/>
  <pageSetup firstPageNumber="0" orientation="portrait" horizontalDpi="1200" verticalDpi="1200" r:id="rId1"/>
  <headerFooter>
    <oddHeader>&amp;C&amp;"Times New Roman,Regular"&amp;12&amp;A</oddHeader>
    <oddFooter>&amp;C&amp;"Times New Roman,Regular"&amp;12Page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817A9-7A51-4623-B0B0-2161E5F13033}">
  <dimension ref="A1"/>
  <sheetViews>
    <sheetView workbookViewId="0"/>
  </sheetViews>
  <sheetFormatPr defaultRowHeight="12.75" x14ac:dyDescent="0.35"/>
  <sheetData>
    <row r="1" spans="1:1" ht="13.15" x14ac:dyDescent="0.4">
      <c r="A1" s="38" t="s">
        <v>1178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J108"/>
  <sheetViews>
    <sheetView zoomScale="120" zoomScaleNormal="120" workbookViewId="0">
      <selection sqref="A1:B1"/>
    </sheetView>
  </sheetViews>
  <sheetFormatPr defaultRowHeight="12.75" x14ac:dyDescent="0.35"/>
  <sheetData>
    <row r="1" spans="1:166" ht="13.15" x14ac:dyDescent="0.4">
      <c r="A1" s="44" t="s">
        <v>136</v>
      </c>
      <c r="B1" s="44"/>
      <c r="D1" s="45" t="s">
        <v>137</v>
      </c>
      <c r="E1" s="45"/>
      <c r="G1" s="46" t="s">
        <v>138</v>
      </c>
      <c r="H1" s="46"/>
      <c r="J1" s="39" t="s">
        <v>16</v>
      </c>
      <c r="K1" s="39"/>
      <c r="M1" s="40" t="s">
        <v>17</v>
      </c>
      <c r="N1" s="40"/>
      <c r="P1" s="41" t="s">
        <v>18</v>
      </c>
      <c r="Q1" s="41"/>
      <c r="T1" s="39" t="s">
        <v>16</v>
      </c>
      <c r="U1" s="39"/>
      <c r="W1" s="40" t="s">
        <v>17</v>
      </c>
      <c r="X1" s="40"/>
      <c r="Z1" s="41" t="s">
        <v>18</v>
      </c>
      <c r="AA1" s="41"/>
      <c r="AC1" s="39" t="s">
        <v>16</v>
      </c>
      <c r="AD1" s="39"/>
      <c r="AF1" s="40" t="s">
        <v>17</v>
      </c>
      <c r="AG1" s="40"/>
      <c r="AI1" s="41" t="s">
        <v>18</v>
      </c>
      <c r="AJ1" s="41"/>
      <c r="AO1" s="11" t="s">
        <v>16</v>
      </c>
      <c r="AP1" s="12" t="s">
        <v>17</v>
      </c>
      <c r="AQ1" s="13" t="s">
        <v>18</v>
      </c>
      <c r="AU1" s="14" t="s">
        <v>16</v>
      </c>
      <c r="AV1" s="47" t="s">
        <v>139</v>
      </c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L1" s="8"/>
      <c r="BM1" s="15" t="s">
        <v>17</v>
      </c>
      <c r="BN1" s="47" t="s">
        <v>140</v>
      </c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C1" s="16" t="s">
        <v>18</v>
      </c>
      <c r="CD1" s="47" t="s">
        <v>141</v>
      </c>
      <c r="CE1" s="47"/>
      <c r="CF1" s="47"/>
      <c r="CG1" s="47"/>
      <c r="CH1" s="47"/>
      <c r="CI1" s="47"/>
      <c r="CJ1" s="47"/>
      <c r="CK1" s="47"/>
      <c r="CL1" s="47"/>
      <c r="CM1" s="47"/>
      <c r="CU1" s="14" t="s">
        <v>16</v>
      </c>
      <c r="CV1" s="48" t="s">
        <v>142</v>
      </c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K1" s="15" t="s">
        <v>17</v>
      </c>
      <c r="DL1" s="48" t="s">
        <v>143</v>
      </c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EA1" s="16" t="s">
        <v>18</v>
      </c>
      <c r="EB1" s="48" t="s">
        <v>144</v>
      </c>
      <c r="EC1" s="48"/>
      <c r="ED1" s="48"/>
      <c r="EE1" s="48"/>
      <c r="EF1" s="48"/>
      <c r="EG1" s="48"/>
      <c r="EH1" s="48"/>
      <c r="EI1" s="48"/>
      <c r="EJ1" s="48"/>
      <c r="EK1" s="48"/>
      <c r="ET1" s="49" t="s">
        <v>1</v>
      </c>
      <c r="EU1" s="49"/>
      <c r="EV1" s="49"/>
      <c r="EW1" s="49"/>
      <c r="EX1" s="49"/>
      <c r="EZ1" s="50" t="s">
        <v>9</v>
      </c>
      <c r="FA1" s="50"/>
      <c r="FB1" s="50"/>
      <c r="FC1" s="50"/>
      <c r="FD1" s="50"/>
      <c r="FF1" s="51" t="s">
        <v>10</v>
      </c>
      <c r="FG1" s="51"/>
      <c r="FH1" s="51"/>
      <c r="FI1" s="51"/>
      <c r="FJ1" s="51"/>
    </row>
    <row r="2" spans="1:166" ht="13.15" x14ac:dyDescent="0.4">
      <c r="A2" t="s">
        <v>15</v>
      </c>
      <c r="B2" t="s">
        <v>145</v>
      </c>
      <c r="D2" t="s">
        <v>15</v>
      </c>
      <c r="E2" t="s">
        <v>145</v>
      </c>
      <c r="G2" t="s">
        <v>15</v>
      </c>
      <c r="H2" t="s">
        <v>145</v>
      </c>
      <c r="J2" t="s">
        <v>15</v>
      </c>
      <c r="K2" t="s">
        <v>146</v>
      </c>
      <c r="M2" t="s">
        <v>15</v>
      </c>
      <c r="N2" t="s">
        <v>146</v>
      </c>
      <c r="P2" t="s">
        <v>15</v>
      </c>
      <c r="Q2" t="s">
        <v>146</v>
      </c>
      <c r="T2" t="s">
        <v>15</v>
      </c>
      <c r="U2" t="s">
        <v>147</v>
      </c>
      <c r="W2" t="s">
        <v>15</v>
      </c>
      <c r="X2" t="s">
        <v>147</v>
      </c>
      <c r="Z2" t="s">
        <v>15</v>
      </c>
      <c r="AA2" t="s">
        <v>147</v>
      </c>
      <c r="AC2" t="s">
        <v>15</v>
      </c>
      <c r="AD2" s="17" t="s">
        <v>148</v>
      </c>
      <c r="AF2" t="s">
        <v>15</v>
      </c>
      <c r="AG2" s="17" t="s">
        <v>148</v>
      </c>
      <c r="AI2" t="s">
        <v>15</v>
      </c>
      <c r="AJ2" s="17" t="s">
        <v>148</v>
      </c>
      <c r="AO2" s="1" t="s">
        <v>149</v>
      </c>
      <c r="AP2" s="1" t="s">
        <v>149</v>
      </c>
      <c r="AQ2" s="1" t="s">
        <v>149</v>
      </c>
      <c r="AU2" s="8"/>
      <c r="AV2" s="42" t="s">
        <v>150</v>
      </c>
      <c r="AW2" s="42"/>
      <c r="AX2" s="42" t="s">
        <v>151</v>
      </c>
      <c r="AY2" s="42"/>
      <c r="AZ2" s="42" t="s">
        <v>152</v>
      </c>
      <c r="BA2" s="42"/>
      <c r="BB2" s="42" t="s">
        <v>153</v>
      </c>
      <c r="BC2" s="42"/>
      <c r="BD2" s="42" t="s">
        <v>154</v>
      </c>
      <c r="BE2" s="42"/>
      <c r="BF2" s="42" t="s">
        <v>155</v>
      </c>
      <c r="BG2" s="42"/>
      <c r="BH2" s="42" t="s">
        <v>156</v>
      </c>
      <c r="BI2" s="42"/>
      <c r="BM2" s="8"/>
      <c r="BN2" s="42" t="s">
        <v>150</v>
      </c>
      <c r="BO2" s="42"/>
      <c r="BP2" s="42" t="s">
        <v>151</v>
      </c>
      <c r="BQ2" s="42"/>
      <c r="BR2" s="42" t="s">
        <v>152</v>
      </c>
      <c r="BS2" s="42"/>
      <c r="BT2" s="42" t="s">
        <v>153</v>
      </c>
      <c r="BU2" s="42"/>
      <c r="BV2" s="42" t="s">
        <v>154</v>
      </c>
      <c r="BW2" s="42"/>
      <c r="BX2" s="42" t="s">
        <v>155</v>
      </c>
      <c r="BY2" s="42"/>
      <c r="BZ2" s="42" t="s">
        <v>156</v>
      </c>
      <c r="CA2" s="42"/>
      <c r="CD2" s="42" t="s">
        <v>150</v>
      </c>
      <c r="CE2" s="42"/>
      <c r="CF2" s="42" t="s">
        <v>151</v>
      </c>
      <c r="CG2" s="42"/>
      <c r="CH2" s="42" t="s">
        <v>152</v>
      </c>
      <c r="CI2" s="42"/>
      <c r="CJ2" s="42" t="s">
        <v>153</v>
      </c>
      <c r="CK2" s="42"/>
      <c r="CL2" s="42" t="s">
        <v>154</v>
      </c>
      <c r="CM2" s="42"/>
      <c r="CV2" s="42" t="s">
        <v>150</v>
      </c>
      <c r="CW2" s="42"/>
      <c r="CX2" s="42" t="s">
        <v>151</v>
      </c>
      <c r="CY2" s="42"/>
      <c r="CZ2" s="42" t="s">
        <v>152</v>
      </c>
      <c r="DA2" s="42"/>
      <c r="DB2" s="42" t="s">
        <v>153</v>
      </c>
      <c r="DC2" s="42"/>
      <c r="DD2" s="42" t="s">
        <v>154</v>
      </c>
      <c r="DE2" s="42"/>
      <c r="DF2" s="42" t="s">
        <v>155</v>
      </c>
      <c r="DG2" s="42"/>
      <c r="DH2" s="42" t="s">
        <v>156</v>
      </c>
      <c r="DI2" s="42"/>
      <c r="DL2" s="42" t="s">
        <v>150</v>
      </c>
      <c r="DM2" s="42"/>
      <c r="DN2" s="42" t="s">
        <v>151</v>
      </c>
      <c r="DO2" s="42"/>
      <c r="DP2" s="42" t="s">
        <v>152</v>
      </c>
      <c r="DQ2" s="42"/>
      <c r="DR2" s="42" t="s">
        <v>153</v>
      </c>
      <c r="DS2" s="42"/>
      <c r="DT2" s="42" t="s">
        <v>154</v>
      </c>
      <c r="DU2" s="42"/>
      <c r="DV2" s="42" t="s">
        <v>155</v>
      </c>
      <c r="DW2" s="42"/>
      <c r="DX2" s="42" t="s">
        <v>156</v>
      </c>
      <c r="DY2" s="42"/>
      <c r="EB2" s="42" t="s">
        <v>150</v>
      </c>
      <c r="EC2" s="42"/>
      <c r="ED2" s="42" t="s">
        <v>151</v>
      </c>
      <c r="EE2" s="42"/>
      <c r="EF2" s="42" t="s">
        <v>152</v>
      </c>
      <c r="EG2" s="42"/>
      <c r="EH2" s="42" t="s">
        <v>153</v>
      </c>
      <c r="EI2" s="42"/>
      <c r="EJ2" s="42" t="s">
        <v>154</v>
      </c>
      <c r="EK2" s="42"/>
      <c r="ET2" s="42" t="s">
        <v>157</v>
      </c>
      <c r="EU2" s="42"/>
      <c r="EV2" s="42"/>
      <c r="EW2" s="42"/>
      <c r="EX2" s="42"/>
      <c r="EZ2" s="42" t="s">
        <v>157</v>
      </c>
      <c r="FA2" s="42"/>
      <c r="FB2" s="42"/>
      <c r="FC2" s="42"/>
      <c r="FD2" s="42"/>
      <c r="FF2" s="42" t="s">
        <v>157</v>
      </c>
      <c r="FG2" s="42"/>
      <c r="FH2" s="42"/>
      <c r="FI2" s="42"/>
      <c r="FJ2" s="42"/>
    </row>
    <row r="3" spans="1:166" x14ac:dyDescent="0.35">
      <c r="A3" t="s">
        <v>158</v>
      </c>
      <c r="B3">
        <v>20315.625710043601</v>
      </c>
      <c r="D3" t="s">
        <v>159</v>
      </c>
      <c r="E3" s="2">
        <v>703.66485121276901</v>
      </c>
      <c r="G3" s="18" t="s">
        <v>160</v>
      </c>
      <c r="H3">
        <v>3424.3318205256201</v>
      </c>
      <c r="J3" t="s">
        <v>158</v>
      </c>
      <c r="K3">
        <v>200</v>
      </c>
      <c r="M3" t="s">
        <v>159</v>
      </c>
      <c r="N3">
        <v>5</v>
      </c>
      <c r="P3" s="18" t="s">
        <v>160</v>
      </c>
      <c r="Q3">
        <v>15</v>
      </c>
      <c r="T3" t="s">
        <v>161</v>
      </c>
      <c r="U3">
        <v>3408.6084981775598</v>
      </c>
      <c r="W3" s="8" t="s">
        <v>159</v>
      </c>
      <c r="X3" s="8">
        <v>3357.1783826608198</v>
      </c>
      <c r="Y3" s="8"/>
      <c r="Z3" s="18" t="s">
        <v>160</v>
      </c>
      <c r="AA3">
        <v>2344.0882402659499</v>
      </c>
      <c r="AC3" t="s">
        <v>161</v>
      </c>
      <c r="AD3">
        <v>1803.8844956129999</v>
      </c>
      <c r="AF3" s="8" t="s">
        <v>159</v>
      </c>
      <c r="AG3" s="8">
        <v>1154.4415006412601</v>
      </c>
      <c r="AH3" s="8"/>
      <c r="AI3" s="18" t="s">
        <v>160</v>
      </c>
      <c r="AJ3">
        <v>3359.9307667119601</v>
      </c>
      <c r="AO3">
        <v>968.41600000000005</v>
      </c>
      <c r="AP3">
        <v>1129.1559999999999</v>
      </c>
      <c r="AQ3">
        <v>1334.34</v>
      </c>
      <c r="AU3" s="8"/>
      <c r="AV3" s="8" t="s">
        <v>162</v>
      </c>
      <c r="AW3" s="8" t="s">
        <v>163</v>
      </c>
      <c r="AX3" s="8" t="s">
        <v>162</v>
      </c>
      <c r="AY3" s="8" t="s">
        <v>163</v>
      </c>
      <c r="AZ3" s="8" t="s">
        <v>162</v>
      </c>
      <c r="BA3" s="8" t="s">
        <v>163</v>
      </c>
      <c r="BB3" s="8" t="s">
        <v>162</v>
      </c>
      <c r="BC3" s="8" t="s">
        <v>163</v>
      </c>
      <c r="BD3" s="8" t="s">
        <v>162</v>
      </c>
      <c r="BE3" s="8" t="s">
        <v>163</v>
      </c>
      <c r="BF3" s="8" t="s">
        <v>162</v>
      </c>
      <c r="BG3" s="8" t="s">
        <v>163</v>
      </c>
      <c r="BH3" s="8" t="s">
        <v>162</v>
      </c>
      <c r="BI3" s="8" t="s">
        <v>163</v>
      </c>
      <c r="BN3" s="8" t="s">
        <v>162</v>
      </c>
      <c r="BO3" s="8" t="s">
        <v>163</v>
      </c>
      <c r="BP3" s="8" t="s">
        <v>162</v>
      </c>
      <c r="BQ3" s="8" t="s">
        <v>163</v>
      </c>
      <c r="BR3" s="8" t="s">
        <v>162</v>
      </c>
      <c r="BS3" s="8" t="s">
        <v>163</v>
      </c>
      <c r="BT3" s="8" t="s">
        <v>162</v>
      </c>
      <c r="BU3" s="8" t="s">
        <v>163</v>
      </c>
      <c r="BV3" s="8" t="s">
        <v>162</v>
      </c>
      <c r="BW3" s="8" t="s">
        <v>163</v>
      </c>
      <c r="BX3" s="8" t="s">
        <v>162</v>
      </c>
      <c r="BY3" s="8" t="s">
        <v>163</v>
      </c>
      <c r="BZ3" s="8" t="s">
        <v>162</v>
      </c>
      <c r="CA3" s="8" t="s">
        <v>163</v>
      </c>
      <c r="CD3" s="8" t="s">
        <v>162</v>
      </c>
      <c r="CE3" s="8" t="s">
        <v>163</v>
      </c>
      <c r="CF3" s="8" t="s">
        <v>162</v>
      </c>
      <c r="CG3" s="8" t="s">
        <v>163</v>
      </c>
      <c r="CH3" s="8" t="s">
        <v>162</v>
      </c>
      <c r="CI3" s="8" t="s">
        <v>163</v>
      </c>
      <c r="CJ3" s="8" t="s">
        <v>162</v>
      </c>
      <c r="CK3" s="8" t="s">
        <v>163</v>
      </c>
      <c r="CL3" s="8" t="s">
        <v>162</v>
      </c>
      <c r="CM3" s="8" t="s">
        <v>163</v>
      </c>
      <c r="CV3" t="s">
        <v>162</v>
      </c>
      <c r="CW3" t="s">
        <v>163</v>
      </c>
      <c r="CX3" t="s">
        <v>162</v>
      </c>
      <c r="CY3" t="s">
        <v>163</v>
      </c>
      <c r="CZ3" t="s">
        <v>162</v>
      </c>
      <c r="DA3" t="s">
        <v>163</v>
      </c>
      <c r="DB3" t="s">
        <v>162</v>
      </c>
      <c r="DC3" t="s">
        <v>163</v>
      </c>
      <c r="DD3" t="s">
        <v>162</v>
      </c>
      <c r="DE3" t="s">
        <v>163</v>
      </c>
      <c r="DF3" t="s">
        <v>162</v>
      </c>
      <c r="DG3" t="s">
        <v>163</v>
      </c>
      <c r="DH3" t="s">
        <v>162</v>
      </c>
      <c r="DI3" t="s">
        <v>163</v>
      </c>
      <c r="DL3" t="s">
        <v>162</v>
      </c>
      <c r="DM3" t="s">
        <v>163</v>
      </c>
      <c r="DN3" t="s">
        <v>162</v>
      </c>
      <c r="DO3" t="s">
        <v>163</v>
      </c>
      <c r="DP3" t="s">
        <v>162</v>
      </c>
      <c r="DQ3" t="s">
        <v>163</v>
      </c>
      <c r="DR3" t="s">
        <v>162</v>
      </c>
      <c r="DS3" t="s">
        <v>163</v>
      </c>
      <c r="DT3" t="s">
        <v>162</v>
      </c>
      <c r="DU3" t="s">
        <v>163</v>
      </c>
      <c r="DV3" t="s">
        <v>162</v>
      </c>
      <c r="DW3" t="s">
        <v>163</v>
      </c>
      <c r="DX3" t="s">
        <v>162</v>
      </c>
      <c r="DY3" t="s">
        <v>163</v>
      </c>
      <c r="EB3" s="8" t="s">
        <v>162</v>
      </c>
      <c r="EC3" s="8" t="s">
        <v>163</v>
      </c>
      <c r="ED3" s="8" t="s">
        <v>162</v>
      </c>
      <c r="EE3" s="8" t="s">
        <v>163</v>
      </c>
      <c r="EF3" s="8" t="s">
        <v>162</v>
      </c>
      <c r="EG3" s="8" t="s">
        <v>163</v>
      </c>
      <c r="EH3" s="8" t="s">
        <v>162</v>
      </c>
      <c r="EI3" s="8" t="s">
        <v>163</v>
      </c>
      <c r="EJ3" s="8" t="s">
        <v>162</v>
      </c>
      <c r="EK3" s="8" t="s">
        <v>163</v>
      </c>
      <c r="EU3" s="19" t="s">
        <v>164</v>
      </c>
      <c r="EV3" s="19" t="s">
        <v>165</v>
      </c>
      <c r="EW3" s="19" t="s">
        <v>166</v>
      </c>
      <c r="EX3" t="s">
        <v>167</v>
      </c>
      <c r="FA3" s="19" t="s">
        <v>164</v>
      </c>
      <c r="FB3" s="19" t="s">
        <v>165</v>
      </c>
      <c r="FC3" s="19" t="s">
        <v>166</v>
      </c>
      <c r="FG3" s="19" t="s">
        <v>164</v>
      </c>
      <c r="FH3" s="19" t="s">
        <v>165</v>
      </c>
      <c r="FI3" s="19" t="s">
        <v>166</v>
      </c>
      <c r="FJ3" t="s">
        <v>167</v>
      </c>
    </row>
    <row r="4" spans="1:166" x14ac:dyDescent="0.35">
      <c r="A4" t="s">
        <v>168</v>
      </c>
      <c r="B4">
        <v>9737.8393853669895</v>
      </c>
      <c r="D4" t="s">
        <v>169</v>
      </c>
      <c r="E4">
        <v>5651.2389127219203</v>
      </c>
      <c r="G4" t="s">
        <v>170</v>
      </c>
      <c r="H4" s="2">
        <v>1103.55927034874</v>
      </c>
      <c r="J4" t="s">
        <v>168</v>
      </c>
      <c r="K4">
        <v>104</v>
      </c>
      <c r="M4" t="s">
        <v>169</v>
      </c>
      <c r="N4">
        <v>37</v>
      </c>
      <c r="P4" t="s">
        <v>170</v>
      </c>
      <c r="Q4">
        <v>5</v>
      </c>
      <c r="T4" t="s">
        <v>158</v>
      </c>
      <c r="U4">
        <v>1205.3991971764401</v>
      </c>
      <c r="W4" s="8" t="s">
        <v>169</v>
      </c>
      <c r="X4" s="8">
        <v>3460.1234906893201</v>
      </c>
      <c r="Z4" t="s">
        <v>170</v>
      </c>
      <c r="AA4">
        <v>4242.4949717865902</v>
      </c>
      <c r="AC4" t="s">
        <v>158</v>
      </c>
      <c r="AD4">
        <v>1006.8697374691</v>
      </c>
      <c r="AF4" s="8" t="s">
        <v>169</v>
      </c>
      <c r="AG4" s="8">
        <v>1693.8659420495601</v>
      </c>
      <c r="AI4" t="s">
        <v>170</v>
      </c>
      <c r="AJ4">
        <v>624.40059322739501</v>
      </c>
      <c r="AO4">
        <v>981.03399999999999</v>
      </c>
      <c r="AP4">
        <v>1170.3779999999999</v>
      </c>
      <c r="AQ4">
        <v>1521.047</v>
      </c>
      <c r="AU4" s="8"/>
      <c r="AV4" s="18">
        <v>225.271016134007</v>
      </c>
      <c r="AW4" s="8">
        <v>81</v>
      </c>
      <c r="AX4" s="18">
        <v>82.065470948843597</v>
      </c>
      <c r="AY4" s="8">
        <v>60</v>
      </c>
      <c r="AZ4" s="18">
        <v>110.085688575308</v>
      </c>
      <c r="BA4" s="8">
        <v>22</v>
      </c>
      <c r="BB4" s="18">
        <v>143.92417726963399</v>
      </c>
      <c r="BC4" s="8">
        <v>80</v>
      </c>
      <c r="BD4" s="18">
        <v>149.248568559962</v>
      </c>
      <c r="BE4" s="8">
        <v>43</v>
      </c>
      <c r="BF4" s="18">
        <v>177.228772320177</v>
      </c>
      <c r="BG4" s="8">
        <v>97</v>
      </c>
      <c r="BH4" s="18">
        <v>143.51021382105699</v>
      </c>
      <c r="BI4">
        <v>57</v>
      </c>
      <c r="BN4" s="18">
        <v>69.2750650322712</v>
      </c>
      <c r="BO4">
        <v>164</v>
      </c>
      <c r="BP4" s="18">
        <v>160.46126726963001</v>
      </c>
      <c r="BQ4">
        <v>285</v>
      </c>
      <c r="BR4" s="18">
        <v>119.37235193961401</v>
      </c>
      <c r="BS4">
        <v>260</v>
      </c>
      <c r="BT4" s="18">
        <v>152.92592880187399</v>
      </c>
      <c r="BU4">
        <v>337</v>
      </c>
      <c r="BV4" s="18">
        <v>121.675137639662</v>
      </c>
      <c r="BW4">
        <v>301</v>
      </c>
      <c r="BX4" s="18">
        <v>186.200570291644</v>
      </c>
      <c r="BY4">
        <v>377</v>
      </c>
      <c r="CD4" s="18">
        <v>44.948818434232798</v>
      </c>
      <c r="CE4">
        <v>271</v>
      </c>
      <c r="CF4" s="18">
        <v>131.082367187975</v>
      </c>
      <c r="CG4">
        <v>284</v>
      </c>
      <c r="CH4" s="18">
        <v>70.130913776275406</v>
      </c>
      <c r="CI4">
        <v>245</v>
      </c>
      <c r="CJ4" s="18">
        <v>243.06519017483899</v>
      </c>
      <c r="CK4">
        <v>225</v>
      </c>
      <c r="CL4" s="18">
        <v>224.781030406209</v>
      </c>
      <c r="CM4">
        <v>389</v>
      </c>
      <c r="CV4" s="18">
        <v>114.912294030852</v>
      </c>
      <c r="CW4" s="8"/>
      <c r="CX4" s="18">
        <v>105.201918788716</v>
      </c>
      <c r="CY4" s="8">
        <v>34</v>
      </c>
      <c r="CZ4" s="18">
        <v>116.45278090700801</v>
      </c>
      <c r="DA4">
        <v>15</v>
      </c>
      <c r="DB4" s="18">
        <v>113.906017964824</v>
      </c>
      <c r="DC4">
        <v>30</v>
      </c>
      <c r="DF4" s="18">
        <v>119.452144263752</v>
      </c>
      <c r="DG4">
        <v>61</v>
      </c>
      <c r="DH4" s="18">
        <v>170.819664239227</v>
      </c>
      <c r="DI4">
        <v>26</v>
      </c>
      <c r="DN4" s="18">
        <v>198.07557994485001</v>
      </c>
      <c r="DO4">
        <f>550-285</f>
        <v>265</v>
      </c>
      <c r="DP4" s="18">
        <v>100.708780324069</v>
      </c>
      <c r="DQ4">
        <v>193</v>
      </c>
      <c r="DR4" s="18">
        <v>173.46917153382401</v>
      </c>
      <c r="DS4">
        <v>177</v>
      </c>
      <c r="DT4" s="18">
        <v>21.0115363155804</v>
      </c>
      <c r="DU4">
        <v>266</v>
      </c>
      <c r="DV4" s="18">
        <v>123.577231634531</v>
      </c>
      <c r="DW4">
        <v>155</v>
      </c>
      <c r="EB4" s="18">
        <v>114.881678796972</v>
      </c>
      <c r="EC4">
        <v>190</v>
      </c>
      <c r="ED4" s="18">
        <v>146.49534096630401</v>
      </c>
      <c r="EE4">
        <v>238</v>
      </c>
      <c r="EF4" s="18">
        <v>158.00744456071499</v>
      </c>
      <c r="EG4">
        <v>265</v>
      </c>
      <c r="EH4" s="18">
        <v>110.258841019031</v>
      </c>
      <c r="EI4">
        <v>246</v>
      </c>
      <c r="EJ4" s="18">
        <v>92.3453263997514</v>
      </c>
      <c r="EK4">
        <v>120</v>
      </c>
      <c r="ET4" t="s">
        <v>171</v>
      </c>
      <c r="EU4">
        <v>1.61</v>
      </c>
      <c r="EV4">
        <v>1.08</v>
      </c>
      <c r="EX4">
        <v>80224</v>
      </c>
      <c r="EZ4" t="s">
        <v>171</v>
      </c>
      <c r="FA4">
        <v>2.27</v>
      </c>
      <c r="FB4">
        <v>2.31</v>
      </c>
      <c r="FD4">
        <v>140624</v>
      </c>
      <c r="FF4" t="s">
        <v>171</v>
      </c>
      <c r="FG4">
        <v>2.7</v>
      </c>
      <c r="FH4">
        <v>2.08</v>
      </c>
      <c r="FI4">
        <v>1.73</v>
      </c>
      <c r="FJ4">
        <v>130624</v>
      </c>
    </row>
    <row r="5" spans="1:166" x14ac:dyDescent="0.35">
      <c r="A5" t="s">
        <v>172</v>
      </c>
      <c r="B5">
        <v>7005.0260094551704</v>
      </c>
      <c r="D5" t="s">
        <v>173</v>
      </c>
      <c r="E5" s="2">
        <v>551.83924514427702</v>
      </c>
      <c r="G5" t="s">
        <v>174</v>
      </c>
      <c r="H5" s="2">
        <v>1311.7195707354999</v>
      </c>
      <c r="J5" t="s">
        <v>172</v>
      </c>
      <c r="K5">
        <v>68</v>
      </c>
      <c r="M5" t="s">
        <v>173</v>
      </c>
      <c r="N5">
        <v>6</v>
      </c>
      <c r="P5" t="s">
        <v>174</v>
      </c>
      <c r="Q5">
        <v>9</v>
      </c>
      <c r="T5" t="s">
        <v>168</v>
      </c>
      <c r="U5">
        <v>758.36153619729896</v>
      </c>
      <c r="W5" s="8" t="s">
        <v>175</v>
      </c>
      <c r="X5" s="8">
        <v>3668.1771161841698</v>
      </c>
      <c r="Z5" t="s">
        <v>174</v>
      </c>
      <c r="AA5">
        <v>1728.7276051133799</v>
      </c>
      <c r="AC5" t="s">
        <v>168</v>
      </c>
      <c r="AD5">
        <v>795.71455053200896</v>
      </c>
      <c r="AF5" s="8" t="s">
        <v>175</v>
      </c>
      <c r="AG5" s="8">
        <v>1568.6488514535299</v>
      </c>
      <c r="AI5" t="s">
        <v>174</v>
      </c>
      <c r="AJ5">
        <v>761.08206535895795</v>
      </c>
      <c r="AO5">
        <v>1000.3339999999999</v>
      </c>
      <c r="AP5">
        <v>1302.511</v>
      </c>
      <c r="AQ5">
        <v>1394.0509999999999</v>
      </c>
      <c r="AU5" s="8"/>
      <c r="AV5" s="18">
        <v>36.131345046852402</v>
      </c>
      <c r="AW5" s="8"/>
      <c r="AX5" s="18">
        <v>70.546984309065394</v>
      </c>
      <c r="AY5" s="8"/>
      <c r="AZ5" s="18">
        <v>96.328852906208894</v>
      </c>
      <c r="BA5" s="8"/>
      <c r="BB5" s="18">
        <v>128.54238334674801</v>
      </c>
      <c r="BC5" s="8"/>
      <c r="BD5" s="18">
        <v>117.834830412744</v>
      </c>
      <c r="BE5" s="8"/>
      <c r="BF5" s="18">
        <v>86.568118618146599</v>
      </c>
      <c r="BG5" s="8"/>
      <c r="BH5" s="18">
        <v>10.158893406953201</v>
      </c>
      <c r="BN5" s="18">
        <v>101.204067723791</v>
      </c>
      <c r="BP5" s="18">
        <v>6.5039176420099301</v>
      </c>
      <c r="BR5" s="18">
        <v>19.575736376635302</v>
      </c>
      <c r="BT5" s="18">
        <v>137.953499217489</v>
      </c>
      <c r="BV5" s="18">
        <v>133.785832306922</v>
      </c>
      <c r="BX5" s="18">
        <v>166.52548020333401</v>
      </c>
      <c r="CD5" s="18">
        <v>105.91342646898499</v>
      </c>
      <c r="CF5" s="18">
        <v>204.27427724052399</v>
      </c>
      <c r="CH5" s="18">
        <v>40.7823304082156</v>
      </c>
      <c r="CJ5" s="18">
        <v>102.02820728355201</v>
      </c>
      <c r="CL5" s="18">
        <v>67.093060378634306</v>
      </c>
      <c r="CV5" s="18">
        <v>80.793298111677601</v>
      </c>
      <c r="CW5" s="8"/>
      <c r="CX5" s="18">
        <v>37.054569404328397</v>
      </c>
      <c r="CY5" s="8"/>
      <c r="CZ5" s="18">
        <v>124.149465792086</v>
      </c>
      <c r="DB5" s="18">
        <v>97.090939595914804</v>
      </c>
      <c r="DF5" s="18">
        <v>92.617453465595105</v>
      </c>
      <c r="DN5" s="18">
        <v>216.771905992201</v>
      </c>
      <c r="DP5" s="18">
        <v>119.13573409191</v>
      </c>
      <c r="DR5" s="18">
        <v>199.72538482708799</v>
      </c>
      <c r="DT5" s="18">
        <v>182.69752062200999</v>
      </c>
      <c r="DV5" s="18">
        <v>116.57186451198</v>
      </c>
      <c r="EB5" s="18">
        <v>188.84468668581999</v>
      </c>
      <c r="ED5" s="18">
        <v>116.167760233653</v>
      </c>
      <c r="EF5" s="18">
        <v>114.473964892664</v>
      </c>
      <c r="EH5" s="18">
        <v>110.43762097482301</v>
      </c>
      <c r="EJ5" s="18">
        <v>19.026051151213899</v>
      </c>
      <c r="ET5" t="s">
        <v>176</v>
      </c>
      <c r="EU5">
        <v>1.47</v>
      </c>
      <c r="EV5">
        <v>1.34</v>
      </c>
      <c r="EW5">
        <v>1.75</v>
      </c>
      <c r="EX5">
        <v>80224</v>
      </c>
      <c r="EZ5" t="s">
        <v>176</v>
      </c>
      <c r="FA5">
        <v>2.41</v>
      </c>
      <c r="FB5">
        <v>1.56</v>
      </c>
      <c r="FC5">
        <v>1.57</v>
      </c>
      <c r="FD5">
        <v>140624</v>
      </c>
      <c r="FF5" t="s">
        <v>176</v>
      </c>
      <c r="FG5">
        <v>2.66</v>
      </c>
      <c r="FH5">
        <v>2.62</v>
      </c>
      <c r="FI5">
        <v>2.15</v>
      </c>
      <c r="FJ5">
        <v>130624</v>
      </c>
    </row>
    <row r="6" spans="1:166" ht="13.15" x14ac:dyDescent="0.4">
      <c r="A6" t="s">
        <v>177</v>
      </c>
      <c r="B6">
        <v>5144.7528099921501</v>
      </c>
      <c r="D6" t="s">
        <v>178</v>
      </c>
      <c r="E6">
        <v>3266.8076619899598</v>
      </c>
      <c r="G6" t="s">
        <v>179</v>
      </c>
      <c r="H6" s="8">
        <v>8049.8546933340103</v>
      </c>
      <c r="J6" t="s">
        <v>177</v>
      </c>
      <c r="K6">
        <v>48</v>
      </c>
      <c r="M6" t="s">
        <v>178</v>
      </c>
      <c r="N6">
        <v>15</v>
      </c>
      <c r="P6" t="s">
        <v>179</v>
      </c>
      <c r="Q6">
        <v>41</v>
      </c>
      <c r="T6" t="s">
        <v>172</v>
      </c>
      <c r="U6">
        <v>1294.07542671175</v>
      </c>
      <c r="W6" s="8" t="s">
        <v>173</v>
      </c>
      <c r="X6" s="8">
        <v>3258.9785047795299</v>
      </c>
      <c r="Z6" t="s">
        <v>179</v>
      </c>
      <c r="AA6" s="8">
        <v>3548.2189835333802</v>
      </c>
      <c r="AC6" t="s">
        <v>172</v>
      </c>
      <c r="AD6">
        <v>1143.3843329459201</v>
      </c>
      <c r="AF6" s="8" t="s">
        <v>173</v>
      </c>
      <c r="AG6" s="8">
        <v>1711.40718207177</v>
      </c>
      <c r="AI6" t="s">
        <v>179</v>
      </c>
      <c r="AJ6" s="8">
        <v>1394.3177096506599</v>
      </c>
      <c r="AK6" s="8"/>
      <c r="AO6">
        <v>1013.2329999999999</v>
      </c>
      <c r="AP6">
        <v>1213.7560000000001</v>
      </c>
      <c r="AQ6">
        <v>1403.096</v>
      </c>
      <c r="AU6" s="8"/>
      <c r="AV6" s="18">
        <v>87.681055262053405</v>
      </c>
      <c r="AW6" s="8"/>
      <c r="AX6" s="1">
        <f>SUM(Figure3!AX4:AX5)</f>
        <v>152.61245525790901</v>
      </c>
      <c r="AY6" s="8"/>
      <c r="AZ6" s="1">
        <f>SUM(Figure3!AZ4:AZ5)</f>
        <v>206.41454148151689</v>
      </c>
      <c r="BA6" s="8"/>
      <c r="BB6" s="1">
        <f>SUM(Figure3!BB4:BB5)</f>
        <v>272.46656061638203</v>
      </c>
      <c r="BC6" s="8"/>
      <c r="BD6" s="1">
        <f>SUM(Figure3!BD4:BD5)</f>
        <v>267.08339897270599</v>
      </c>
      <c r="BE6" s="8"/>
      <c r="BF6" s="1">
        <f>SUM(Figure3!BF4:BF5)</f>
        <v>263.7968909383236</v>
      </c>
      <c r="BG6" s="8"/>
      <c r="BH6" s="18">
        <v>73.305209809518601</v>
      </c>
      <c r="BN6" s="18">
        <v>123.84921975107299</v>
      </c>
      <c r="BP6" s="18">
        <v>160.004554975497</v>
      </c>
      <c r="BR6" s="18">
        <v>150.81279312078101</v>
      </c>
      <c r="BT6" s="18">
        <v>121.524377751359</v>
      </c>
      <c r="BV6" s="18">
        <v>216.46564294721799</v>
      </c>
      <c r="BX6" s="18">
        <v>95.8020366260115</v>
      </c>
      <c r="CD6" s="18">
        <v>207.36740164015799</v>
      </c>
      <c r="CF6" s="18">
        <v>17.552559438410501</v>
      </c>
      <c r="CH6" s="18">
        <v>74.274787895526899</v>
      </c>
      <c r="CJ6" s="18">
        <v>167.832406665197</v>
      </c>
      <c r="CL6" s="18">
        <v>89.888477458506003</v>
      </c>
      <c r="CV6" s="18">
        <v>73.962029206622503</v>
      </c>
      <c r="CW6" s="8"/>
      <c r="CX6" s="1">
        <f>SUM(Figure3!CX4:CX5)</f>
        <v>142.25648819304439</v>
      </c>
      <c r="CY6" s="8"/>
      <c r="CZ6" s="1">
        <f>SUM(Figure3!CZ4:CZ5)</f>
        <v>240.602246699094</v>
      </c>
      <c r="DB6" s="1">
        <f>SUM(Figure3!DB4:DB5)</f>
        <v>210.99695756073879</v>
      </c>
      <c r="DF6" s="1">
        <f>SUM(Figure3!DF4:DF5)</f>
        <v>212.06959772934709</v>
      </c>
      <c r="DG6" s="1"/>
      <c r="DI6" s="1"/>
      <c r="DN6" s="1">
        <f>SUM(Figure3!DN4:DN5)</f>
        <v>414.84748593705103</v>
      </c>
      <c r="DP6" s="18">
        <v>87.575386861394804</v>
      </c>
      <c r="DR6" s="1">
        <f>SUM(Figure3!DR4:DR5)</f>
        <v>373.19455636091197</v>
      </c>
      <c r="DT6" s="18">
        <v>89.505017909881204</v>
      </c>
      <c r="DV6" s="18">
        <v>79.016564023150295</v>
      </c>
      <c r="EB6" s="18">
        <v>129.58535462404501</v>
      </c>
      <c r="ED6" s="18">
        <v>48.323903087153603</v>
      </c>
      <c r="EF6" s="18">
        <v>94.118675357920395</v>
      </c>
      <c r="EH6" s="18">
        <v>149.48809714945</v>
      </c>
      <c r="EJ6" s="18">
        <v>21.084318509810299</v>
      </c>
      <c r="ET6" t="s">
        <v>180</v>
      </c>
      <c r="EU6">
        <v>1.48</v>
      </c>
      <c r="EV6">
        <v>1.25</v>
      </c>
      <c r="EW6">
        <v>1.81</v>
      </c>
      <c r="EX6">
        <v>80224</v>
      </c>
      <c r="EZ6" t="s">
        <v>180</v>
      </c>
      <c r="FA6">
        <v>1.8</v>
      </c>
      <c r="FB6">
        <v>1.27</v>
      </c>
      <c r="FC6">
        <v>2</v>
      </c>
      <c r="FD6">
        <v>140624</v>
      </c>
      <c r="FF6" t="s">
        <v>180</v>
      </c>
      <c r="FG6">
        <v>2.5499999999999998</v>
      </c>
      <c r="FH6">
        <v>2.09</v>
      </c>
      <c r="FI6">
        <v>2.75</v>
      </c>
      <c r="FJ6">
        <v>130624</v>
      </c>
    </row>
    <row r="7" spans="1:166" ht="13.15" x14ac:dyDescent="0.4">
      <c r="A7" t="s">
        <v>181</v>
      </c>
      <c r="B7">
        <v>2311.8648927201498</v>
      </c>
      <c r="D7" t="s">
        <v>182</v>
      </c>
      <c r="E7">
        <v>4795.8305385478998</v>
      </c>
      <c r="G7" t="s">
        <v>183</v>
      </c>
      <c r="H7" s="8">
        <v>3136.9775007163098</v>
      </c>
      <c r="J7" t="s">
        <v>181</v>
      </c>
      <c r="K7">
        <v>23</v>
      </c>
      <c r="M7" t="s">
        <v>182</v>
      </c>
      <c r="N7">
        <v>32</v>
      </c>
      <c r="P7" t="s">
        <v>183</v>
      </c>
      <c r="Q7" s="8">
        <v>15</v>
      </c>
      <c r="T7" t="s">
        <v>177</v>
      </c>
      <c r="U7">
        <v>451.49885123987798</v>
      </c>
      <c r="W7" s="8" t="s">
        <v>184</v>
      </c>
      <c r="X7" s="8">
        <v>5563.4727571021403</v>
      </c>
      <c r="Z7" t="s">
        <v>185</v>
      </c>
      <c r="AA7" s="8">
        <v>1819.3524752134299</v>
      </c>
      <c r="AC7" t="s">
        <v>177</v>
      </c>
      <c r="AD7">
        <v>660.99191800218898</v>
      </c>
      <c r="AF7" s="8" t="s">
        <v>184</v>
      </c>
      <c r="AG7" s="8">
        <v>1751.86843339602</v>
      </c>
      <c r="AI7" t="s">
        <v>185</v>
      </c>
      <c r="AJ7" s="8">
        <v>1208.08474782181</v>
      </c>
      <c r="AK7" s="8"/>
      <c r="AO7">
        <v>1019.634</v>
      </c>
      <c r="AP7">
        <v>1279.3979999999999</v>
      </c>
      <c r="AQ7">
        <v>1376.646</v>
      </c>
      <c r="AU7" s="8"/>
      <c r="AV7" s="18">
        <v>191.69623131601901</v>
      </c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1">
        <f>SUM(Figure3!BH4:BH6)</f>
        <v>226.97431703752881</v>
      </c>
      <c r="BN7" s="18">
        <v>57.211450666896901</v>
      </c>
      <c r="BP7" s="18">
        <v>57.785202394062502</v>
      </c>
      <c r="BR7" s="18">
        <v>86.094180326413706</v>
      </c>
      <c r="BT7" s="18">
        <v>92.210092054197702</v>
      </c>
      <c r="BV7" s="1">
        <f>SUM(Figure3!BV4:BV6)</f>
        <v>471.92661289380197</v>
      </c>
      <c r="BX7" s="18">
        <v>101.281634322496</v>
      </c>
      <c r="CD7" s="18">
        <v>147.31170630590501</v>
      </c>
      <c r="CF7" s="1">
        <f>SUM(Figure3!CF4:CF6)</f>
        <v>352.90920386690948</v>
      </c>
      <c r="CG7" s="1">
        <f>Figure3!CG4/Figure3!CF7</f>
        <v>0.80473956725453721</v>
      </c>
      <c r="CH7" s="18">
        <v>61.498828709999998</v>
      </c>
      <c r="CJ7" s="1">
        <f>SUM(Figure3!CJ4:CJ6)</f>
        <v>512.92580412358802</v>
      </c>
      <c r="CK7" s="1">
        <f>Figure3!CK4/Figure3!CJ7</f>
        <v>0.4386599352014407</v>
      </c>
      <c r="CL7" s="18">
        <v>50.148467814228397</v>
      </c>
      <c r="CV7" s="18">
        <v>45.610050600535899</v>
      </c>
      <c r="DP7" s="1">
        <f>SUM(Figure3!DP4:DP6)</f>
        <v>307.41990127737381</v>
      </c>
      <c r="DT7" s="18">
        <v>179.19860918591999</v>
      </c>
      <c r="DV7" s="1">
        <f>SUM(Figure3!DV4:DV6)</f>
        <v>319.16566016966129</v>
      </c>
      <c r="EA7" s="18" t="s">
        <v>186</v>
      </c>
      <c r="EB7" s="1">
        <f>SUM(Figure3!EB4:EB6)</f>
        <v>433.31172010683702</v>
      </c>
      <c r="EC7" s="1">
        <f>Figure3!EC4/Figure3!EB7</f>
        <v>0.43848340855667078</v>
      </c>
      <c r="ED7" s="1">
        <f>SUM(Figure3!ED4:ED6)</f>
        <v>310.98700428711061</v>
      </c>
      <c r="EE7" s="1">
        <f>Figure3!EE4/Figure3!ED7</f>
        <v>0.76530529160077931</v>
      </c>
      <c r="EF7" s="1">
        <f>SUM(Figure3!EF4:EF6)</f>
        <v>366.60008481129938</v>
      </c>
      <c r="EG7" s="1">
        <f>Figure3!EG4/Figure3!EF7</f>
        <v>0.72285853435195968</v>
      </c>
      <c r="EH7" s="1">
        <f>SUM(Figure3!EH4:EH6)</f>
        <v>370.184559143304</v>
      </c>
      <c r="EI7" s="1">
        <f>Figure3!EI4/Figure3!EH7</f>
        <v>0.66453338996446287</v>
      </c>
      <c r="EJ7" s="18">
        <v>32.890118227825603</v>
      </c>
      <c r="ET7" t="s">
        <v>187</v>
      </c>
      <c r="EU7">
        <v>2.08</v>
      </c>
      <c r="EV7">
        <v>2.0699999999999998</v>
      </c>
      <c r="EW7">
        <v>1.39</v>
      </c>
      <c r="EX7">
        <v>80224</v>
      </c>
      <c r="EZ7" t="s">
        <v>187</v>
      </c>
      <c r="FA7">
        <v>1.78</v>
      </c>
      <c r="FB7">
        <v>1.92</v>
      </c>
      <c r="FD7">
        <v>140624</v>
      </c>
      <c r="FF7" t="s">
        <v>187</v>
      </c>
      <c r="FG7">
        <v>1.28</v>
      </c>
      <c r="FH7">
        <v>1.53</v>
      </c>
      <c r="FI7">
        <v>2.38</v>
      </c>
      <c r="FJ7">
        <v>130624</v>
      </c>
    </row>
    <row r="8" spans="1:166" ht="13.15" x14ac:dyDescent="0.4">
      <c r="A8" t="s">
        <v>188</v>
      </c>
      <c r="B8" s="8">
        <v>13242.233081316401</v>
      </c>
      <c r="D8" t="s">
        <v>189</v>
      </c>
      <c r="E8">
        <v>2436.2665935997102</v>
      </c>
      <c r="G8" t="s">
        <v>190</v>
      </c>
      <c r="H8" s="8">
        <v>2035.19943071783</v>
      </c>
      <c r="J8" t="s">
        <v>188</v>
      </c>
      <c r="K8">
        <v>133</v>
      </c>
      <c r="M8" t="s">
        <v>189</v>
      </c>
      <c r="N8">
        <v>13</v>
      </c>
      <c r="P8" t="s">
        <v>190</v>
      </c>
      <c r="Q8" s="8">
        <v>15</v>
      </c>
      <c r="T8" t="s">
        <v>181</v>
      </c>
      <c r="U8">
        <v>766.86388149866502</v>
      </c>
      <c r="W8" s="8" t="s">
        <v>178</v>
      </c>
      <c r="X8" s="8">
        <v>2489.9136607836899</v>
      </c>
      <c r="Y8" s="8"/>
      <c r="Z8" t="s">
        <v>191</v>
      </c>
      <c r="AA8" s="8">
        <v>8487.4201846784708</v>
      </c>
      <c r="AC8" t="s">
        <v>181</v>
      </c>
      <c r="AD8">
        <v>435.142518308251</v>
      </c>
      <c r="AF8" s="8" t="s">
        <v>178</v>
      </c>
      <c r="AG8" s="8">
        <v>860.93827401246699</v>
      </c>
      <c r="AH8" s="8"/>
      <c r="AI8" t="s">
        <v>191</v>
      </c>
      <c r="AJ8" s="8">
        <v>2373.7558751394699</v>
      </c>
      <c r="AK8" s="8"/>
      <c r="AO8">
        <v>1026.587</v>
      </c>
      <c r="AP8">
        <v>1230.011</v>
      </c>
      <c r="AQ8">
        <v>1313.6880000000001</v>
      </c>
      <c r="AU8" s="8"/>
      <c r="AV8" s="18">
        <v>189.294087287395</v>
      </c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N8" s="18">
        <v>15.270991130982001</v>
      </c>
      <c r="BP8" s="1">
        <f>SUM(Figure3!BP4:BP7)</f>
        <v>384.75494228119942</v>
      </c>
      <c r="BR8" s="1">
        <f>SUM(Figure3!BR4:BR7)</f>
        <v>375.85506176344404</v>
      </c>
      <c r="BT8" s="1">
        <f>SUM(Figure3!BT4:BT7)</f>
        <v>504.61389782491972</v>
      </c>
      <c r="BX8" s="1">
        <f>SUM(Figure3!BX4:BX7)</f>
        <v>549.8097214434855</v>
      </c>
      <c r="CD8" s="20">
        <f>SUM(Figure3!CD4:CD7)</f>
        <v>505.54135284928077</v>
      </c>
      <c r="CE8" s="20">
        <f>Figure3!CE4/Figure3!CD8</f>
        <v>0.53605901569202474</v>
      </c>
      <c r="CH8" s="18">
        <v>85.619712226534702</v>
      </c>
      <c r="CL8" s="20">
        <f>SUM(Figure3!CL4:CL7)</f>
        <v>431.91103605757769</v>
      </c>
      <c r="CM8" s="20">
        <f>Figure3!CM4/Figure3!CL8</f>
        <v>0.90064843804579875</v>
      </c>
      <c r="CV8" s="18">
        <v>13.0824271801447</v>
      </c>
      <c r="DT8" s="1">
        <f>SUM(Figure3!DT4:DT7)</f>
        <v>472.41268403339154</v>
      </c>
      <c r="EJ8" s="18">
        <v>56.7552141557711</v>
      </c>
      <c r="ET8" t="s">
        <v>192</v>
      </c>
      <c r="EU8">
        <v>2.29</v>
      </c>
      <c r="EV8">
        <v>1.56</v>
      </c>
      <c r="EW8">
        <v>2.3199999999999998</v>
      </c>
      <c r="EX8">
        <v>80224</v>
      </c>
      <c r="EZ8" t="s">
        <v>192</v>
      </c>
      <c r="FA8">
        <v>1.35</v>
      </c>
      <c r="FB8">
        <v>1.65</v>
      </c>
      <c r="FC8">
        <v>1.49</v>
      </c>
      <c r="FD8">
        <v>140624</v>
      </c>
      <c r="FF8" t="s">
        <v>192</v>
      </c>
      <c r="FG8">
        <v>3.17</v>
      </c>
      <c r="FH8">
        <v>2.75</v>
      </c>
      <c r="FI8">
        <v>2.1</v>
      </c>
      <c r="FJ8">
        <v>130624</v>
      </c>
    </row>
    <row r="9" spans="1:166" ht="13.15" x14ac:dyDescent="0.4">
      <c r="A9" t="s">
        <v>193</v>
      </c>
      <c r="B9">
        <v>12196.234189401301</v>
      </c>
      <c r="D9" t="s">
        <v>194</v>
      </c>
      <c r="E9">
        <v>1901.8981039954699</v>
      </c>
      <c r="G9" t="s">
        <v>195</v>
      </c>
      <c r="H9" s="8">
        <v>2852.4602716839499</v>
      </c>
      <c r="J9" t="s">
        <v>193</v>
      </c>
      <c r="K9">
        <v>118</v>
      </c>
      <c r="M9" t="s">
        <v>194</v>
      </c>
      <c r="N9">
        <v>14</v>
      </c>
      <c r="P9" t="s">
        <v>195</v>
      </c>
      <c r="Q9" s="8">
        <v>31</v>
      </c>
      <c r="T9" t="s">
        <v>188</v>
      </c>
      <c r="U9">
        <v>1051.8032567497</v>
      </c>
      <c r="W9" s="8" t="s">
        <v>182</v>
      </c>
      <c r="X9" s="8">
        <v>4863.42583307121</v>
      </c>
      <c r="Y9" s="8"/>
      <c r="Z9" t="s">
        <v>183</v>
      </c>
      <c r="AA9" s="8">
        <v>989.861121849646</v>
      </c>
      <c r="AC9" t="s">
        <v>188</v>
      </c>
      <c r="AD9">
        <v>674.28183407765403</v>
      </c>
      <c r="AF9" s="8" t="s">
        <v>182</v>
      </c>
      <c r="AG9" s="8">
        <v>1589.1065541322</v>
      </c>
      <c r="AH9" s="8"/>
      <c r="AI9" t="s">
        <v>183</v>
      </c>
      <c r="AJ9" s="8">
        <v>1065.34121564566</v>
      </c>
      <c r="AK9" s="8"/>
      <c r="AO9">
        <v>1026.845</v>
      </c>
      <c r="AP9">
        <v>1167.6880000000001</v>
      </c>
      <c r="AQ9">
        <v>1594.98</v>
      </c>
      <c r="AU9" s="8"/>
      <c r="AV9" s="18">
        <v>19.205517591704901</v>
      </c>
      <c r="AW9" s="8"/>
      <c r="AX9" s="8"/>
      <c r="AY9" s="8"/>
      <c r="AZ9" s="8"/>
      <c r="BA9" s="8"/>
      <c r="BB9" s="8"/>
      <c r="BC9" s="8"/>
      <c r="BD9" s="8"/>
      <c r="BE9" s="8"/>
      <c r="BF9" s="21"/>
      <c r="BG9" s="21"/>
      <c r="BH9" s="21"/>
      <c r="BN9" s="1">
        <f>SUM(Figure3!BN4:BN8)</f>
        <v>366.8107943050141</v>
      </c>
      <c r="BR9" s="1"/>
      <c r="CC9" s="18" t="s">
        <v>186</v>
      </c>
      <c r="CD9" s="18"/>
      <c r="CE9" s="18"/>
      <c r="CF9" s="18"/>
      <c r="CG9" s="18"/>
      <c r="CH9" s="1">
        <f>SUM(Figure3!CH4:CH8)</f>
        <v>332.30657301655259</v>
      </c>
      <c r="CI9" s="1">
        <f>Figure3!CI4/Figure3!CH9</f>
        <v>0.73727100182215255</v>
      </c>
      <c r="CV9" s="18">
        <v>79.442942649310396</v>
      </c>
      <c r="EJ9" s="1">
        <f>SUM(Figure3!EJ4:EJ8)</f>
        <v>222.10102844437228</v>
      </c>
      <c r="EK9" s="1">
        <f>Figure3!EK4/Figure3!EJ9</f>
        <v>0.54029466158035089</v>
      </c>
      <c r="ET9" t="s">
        <v>196</v>
      </c>
      <c r="EU9">
        <v>1.17</v>
      </c>
      <c r="EV9">
        <v>1.48</v>
      </c>
      <c r="EW9">
        <v>1.63</v>
      </c>
      <c r="EX9">
        <v>80224</v>
      </c>
      <c r="EZ9" t="s">
        <v>196</v>
      </c>
      <c r="FA9">
        <v>1.89</v>
      </c>
      <c r="FB9">
        <v>1.08</v>
      </c>
      <c r="FC9">
        <v>1.51</v>
      </c>
      <c r="FD9">
        <v>140624</v>
      </c>
      <c r="FF9" t="s">
        <v>196</v>
      </c>
      <c r="FG9">
        <v>2.0099999999999998</v>
      </c>
      <c r="FH9">
        <v>1.69</v>
      </c>
      <c r="FJ9">
        <v>130624</v>
      </c>
    </row>
    <row r="10" spans="1:166" ht="13.15" x14ac:dyDescent="0.4">
      <c r="A10" t="s">
        <v>197</v>
      </c>
      <c r="B10">
        <v>5776.6756421114796</v>
      </c>
      <c r="D10" t="s">
        <v>198</v>
      </c>
      <c r="E10">
        <v>1889.3525340344099</v>
      </c>
      <c r="G10" t="s">
        <v>199</v>
      </c>
      <c r="H10">
        <v>3802.3069059876798</v>
      </c>
      <c r="J10" t="s">
        <v>197</v>
      </c>
      <c r="K10">
        <v>54</v>
      </c>
      <c r="M10" t="s">
        <v>198</v>
      </c>
      <c r="N10">
        <v>20</v>
      </c>
      <c r="P10" t="s">
        <v>199</v>
      </c>
      <c r="Q10">
        <v>22</v>
      </c>
      <c r="T10" t="s">
        <v>193</v>
      </c>
      <c r="U10">
        <v>442.010703870898</v>
      </c>
      <c r="W10" t="s">
        <v>189</v>
      </c>
      <c r="X10">
        <v>3429.1587425743901</v>
      </c>
      <c r="Z10" t="s">
        <v>190</v>
      </c>
      <c r="AA10" s="8">
        <v>2790.1169127646999</v>
      </c>
      <c r="AC10" t="s">
        <v>193</v>
      </c>
      <c r="AD10">
        <v>936.62717106721595</v>
      </c>
      <c r="AF10" t="s">
        <v>189</v>
      </c>
      <c r="AG10">
        <v>1576.83364659534</v>
      </c>
      <c r="AI10" t="s">
        <v>190</v>
      </c>
      <c r="AJ10" s="8">
        <v>529.11755734277403</v>
      </c>
      <c r="AK10" s="8"/>
      <c r="AO10">
        <v>1028.2719999999999</v>
      </c>
      <c r="AP10">
        <v>1231.183</v>
      </c>
      <c r="AQ10">
        <v>1500.42</v>
      </c>
      <c r="AU10" s="8"/>
      <c r="AV10" s="18">
        <v>67.752202957969303</v>
      </c>
      <c r="AW10" s="8"/>
      <c r="AX10" s="8"/>
      <c r="AY10" s="8"/>
      <c r="AZ10" s="8"/>
      <c r="BA10" s="8"/>
      <c r="BB10" s="8"/>
      <c r="BC10" s="8"/>
      <c r="BD10" s="8"/>
      <c r="BE10" s="8"/>
      <c r="BF10" s="21"/>
      <c r="BG10" s="21"/>
      <c r="BH10" s="21"/>
      <c r="BL10" s="18" t="s">
        <v>186</v>
      </c>
      <c r="BO10" s="1">
        <f>Figure3!BO4/Figure3!BN9</f>
        <v>0.44709698445686719</v>
      </c>
      <c r="BQ10" s="1">
        <f>Figure3!BQ4/Figure3!BP8</f>
        <v>0.74073122572576811</v>
      </c>
      <c r="BS10" s="1">
        <f>Figure3!BS4/Figure3!BR8</f>
        <v>0.69175601568361744</v>
      </c>
      <c r="BU10" s="1">
        <f>Figure3!BU4/Figure3!BT8</f>
        <v>0.66783733355858765</v>
      </c>
      <c r="BW10" s="1">
        <f>Figure3!BW4/Figure3!BV7</f>
        <v>0.63781103200411005</v>
      </c>
      <c r="BY10" s="1">
        <f>Figure3!BY4/Figure3!BX8</f>
        <v>0.68569176807244125</v>
      </c>
      <c r="CV10" s="18">
        <v>41.782156875493101</v>
      </c>
      <c r="DC10" s="18"/>
      <c r="DD10" s="18"/>
      <c r="DE10" s="18"/>
      <c r="DF10" s="18"/>
      <c r="DK10" s="18" t="s">
        <v>186</v>
      </c>
      <c r="DO10" s="1">
        <f>Figure3!DO4/Figure3!DN6</f>
        <v>0.63878897422126624</v>
      </c>
      <c r="DQ10" s="1">
        <f>Figure3!DQ4/Figure3!DP7</f>
        <v>0.62780580957204557</v>
      </c>
      <c r="DS10" s="1">
        <f>Figure3!DS4/Figure3!DR6</f>
        <v>0.47428344541238543</v>
      </c>
      <c r="DU10" s="1">
        <f>Figure3!DU4/Figure3!DT8</f>
        <v>0.56306701532425052</v>
      </c>
      <c r="DW10" s="1">
        <f>Figure3!DW4/Figure3!DV7</f>
        <v>0.48564121816114392</v>
      </c>
      <c r="ET10" t="s">
        <v>200</v>
      </c>
      <c r="EU10">
        <v>1.97</v>
      </c>
      <c r="EV10">
        <v>1.19</v>
      </c>
      <c r="EW10">
        <v>1.36</v>
      </c>
      <c r="EX10">
        <v>80224</v>
      </c>
      <c r="EZ10" t="s">
        <v>200</v>
      </c>
      <c r="FA10">
        <v>1.83</v>
      </c>
      <c r="FB10">
        <v>1.83</v>
      </c>
      <c r="FD10">
        <v>140624</v>
      </c>
      <c r="FF10" t="s">
        <v>171</v>
      </c>
      <c r="FG10">
        <v>2.29</v>
      </c>
      <c r="FH10">
        <v>2.37</v>
      </c>
      <c r="FI10">
        <v>2.9</v>
      </c>
      <c r="FJ10">
        <v>120624</v>
      </c>
    </row>
    <row r="11" spans="1:166" x14ac:dyDescent="0.35">
      <c r="A11" t="s">
        <v>201</v>
      </c>
      <c r="B11">
        <v>4811.3352877717398</v>
      </c>
      <c r="D11" t="s">
        <v>202</v>
      </c>
      <c r="E11">
        <v>1557.63766922436</v>
      </c>
      <c r="G11" t="s">
        <v>203</v>
      </c>
      <c r="H11">
        <v>9165.3749462182604</v>
      </c>
      <c r="J11" t="s">
        <v>201</v>
      </c>
      <c r="K11">
        <v>53</v>
      </c>
      <c r="M11" t="s">
        <v>202</v>
      </c>
      <c r="N11">
        <v>21</v>
      </c>
      <c r="P11" t="s">
        <v>203</v>
      </c>
      <c r="Q11" s="8">
        <v>93</v>
      </c>
      <c r="T11" t="s">
        <v>197</v>
      </c>
      <c r="U11">
        <v>742.49026523183602</v>
      </c>
      <c r="W11" t="s">
        <v>194</v>
      </c>
      <c r="X11">
        <v>2576.56229667463</v>
      </c>
      <c r="Z11" t="s">
        <v>204</v>
      </c>
      <c r="AA11" s="8">
        <v>2595.3054048978402</v>
      </c>
      <c r="AC11" t="s">
        <v>197</v>
      </c>
      <c r="AD11">
        <v>511.12871493354498</v>
      </c>
      <c r="AF11" t="s">
        <v>194</v>
      </c>
      <c r="AG11">
        <v>2180.9411836552899</v>
      </c>
      <c r="AI11" t="s">
        <v>204</v>
      </c>
      <c r="AJ11" s="8">
        <v>538.82839095798295</v>
      </c>
      <c r="AK11" s="8"/>
      <c r="AO11">
        <v>1038.568</v>
      </c>
      <c r="AP11">
        <v>1200.3399999999999</v>
      </c>
      <c r="AQ11">
        <v>1480.819</v>
      </c>
      <c r="AU11" s="8"/>
      <c r="AV11" s="18">
        <v>36.224967634285598</v>
      </c>
      <c r="AW11" s="8"/>
      <c r="AX11" s="18"/>
      <c r="AY11" s="18"/>
      <c r="BA11" s="18"/>
      <c r="BB11" s="8"/>
      <c r="BC11" s="8"/>
      <c r="BD11" s="8"/>
      <c r="BE11" s="8"/>
      <c r="BF11" s="18"/>
      <c r="BG11" s="18"/>
      <c r="BH11" s="22"/>
      <c r="BL11" s="18"/>
      <c r="BM11" s="18"/>
      <c r="BN11" s="18"/>
      <c r="CV11" s="18">
        <v>99.2746892173936</v>
      </c>
      <c r="DC11" s="18"/>
      <c r="DD11" s="18"/>
      <c r="DE11" s="18"/>
      <c r="DF11" s="18"/>
      <c r="DH11" s="18"/>
      <c r="ET11" t="s">
        <v>171</v>
      </c>
      <c r="EU11">
        <v>2.09</v>
      </c>
      <c r="EV11">
        <v>2.41</v>
      </c>
      <c r="EW11">
        <v>2.75</v>
      </c>
      <c r="EX11">
        <v>602242</v>
      </c>
      <c r="EZ11" t="s">
        <v>171</v>
      </c>
      <c r="FA11">
        <v>1.59</v>
      </c>
      <c r="FB11">
        <v>1.6</v>
      </c>
      <c r="FC11">
        <v>1.41</v>
      </c>
      <c r="FD11">
        <v>280224</v>
      </c>
      <c r="FF11" t="s">
        <v>176</v>
      </c>
      <c r="FG11">
        <v>2.0099999999999998</v>
      </c>
      <c r="FH11">
        <v>1.67</v>
      </c>
      <c r="FI11">
        <v>1.89</v>
      </c>
      <c r="FJ11">
        <v>120624</v>
      </c>
    </row>
    <row r="12" spans="1:166" x14ac:dyDescent="0.35">
      <c r="A12" s="17" t="s">
        <v>205</v>
      </c>
      <c r="B12">
        <v>6503.5264434819901</v>
      </c>
      <c r="D12" t="s">
        <v>206</v>
      </c>
      <c r="E12">
        <v>2815.4537608052601</v>
      </c>
      <c r="G12" t="s">
        <v>207</v>
      </c>
      <c r="H12">
        <v>3779.59042662092</v>
      </c>
      <c r="J12" s="17" t="s">
        <v>205</v>
      </c>
      <c r="K12">
        <v>72</v>
      </c>
      <c r="M12" t="s">
        <v>206</v>
      </c>
      <c r="N12">
        <v>19</v>
      </c>
      <c r="P12" t="s">
        <v>207</v>
      </c>
      <c r="Q12">
        <v>23</v>
      </c>
      <c r="T12" t="s">
        <v>201</v>
      </c>
      <c r="U12">
        <v>1641.3267996058</v>
      </c>
      <c r="W12" t="s">
        <v>198</v>
      </c>
      <c r="X12">
        <v>1792.26878601627</v>
      </c>
      <c r="Z12" t="s">
        <v>195</v>
      </c>
      <c r="AA12" s="8">
        <v>5749.9469274021003</v>
      </c>
      <c r="AC12" t="s">
        <v>201</v>
      </c>
      <c r="AD12">
        <v>1405.52233792271</v>
      </c>
      <c r="AF12" t="s">
        <v>198</v>
      </c>
      <c r="AG12">
        <v>1126.3983518838099</v>
      </c>
      <c r="AI12" t="s">
        <v>195</v>
      </c>
      <c r="AJ12" s="8">
        <v>2676.8555315455801</v>
      </c>
      <c r="AK12" s="8"/>
      <c r="AO12">
        <v>1042.2349999999999</v>
      </c>
      <c r="AP12">
        <v>1068.951</v>
      </c>
      <c r="AQ12">
        <v>1390.2360000000001</v>
      </c>
      <c r="AU12" s="8"/>
      <c r="AV12" s="18">
        <v>0</v>
      </c>
      <c r="AW12" s="18"/>
      <c r="AX12" s="18"/>
      <c r="AY12" s="18"/>
      <c r="AZ12" s="18"/>
      <c r="BA12" s="18"/>
      <c r="BC12" s="18"/>
      <c r="BE12" s="18"/>
      <c r="BF12" s="18"/>
      <c r="BG12" s="18"/>
      <c r="BH12" s="22"/>
      <c r="BL12" s="18"/>
      <c r="BM12" s="18"/>
      <c r="BN12" s="18"/>
      <c r="CV12" s="18">
        <v>67.952353171868296</v>
      </c>
      <c r="DC12" s="18"/>
      <c r="DD12" s="18"/>
      <c r="DE12" s="18"/>
      <c r="DF12" s="18"/>
      <c r="DH12" s="18"/>
      <c r="ET12" t="s">
        <v>176</v>
      </c>
      <c r="EU12">
        <v>2.0499999999999998</v>
      </c>
      <c r="EV12">
        <v>2.46</v>
      </c>
      <c r="EW12">
        <v>2.16</v>
      </c>
      <c r="EX12">
        <v>602242</v>
      </c>
      <c r="EZ12" t="s">
        <v>176</v>
      </c>
      <c r="FA12">
        <v>2.0699999999999998</v>
      </c>
      <c r="FB12">
        <v>3.36</v>
      </c>
      <c r="FC12">
        <v>2.64</v>
      </c>
      <c r="FD12">
        <v>280224</v>
      </c>
      <c r="FF12" t="s">
        <v>180</v>
      </c>
      <c r="FG12">
        <v>2.21</v>
      </c>
      <c r="FH12">
        <v>1.41</v>
      </c>
      <c r="FI12">
        <v>1.76</v>
      </c>
      <c r="FJ12">
        <v>120624</v>
      </c>
    </row>
    <row r="13" spans="1:166" ht="13.15" x14ac:dyDescent="0.4">
      <c r="A13" s="17" t="s">
        <v>208</v>
      </c>
      <c r="B13">
        <v>6442.1182608815297</v>
      </c>
      <c r="D13" t="s">
        <v>209</v>
      </c>
      <c r="E13">
        <v>5730.4075887246199</v>
      </c>
      <c r="G13" t="s">
        <v>210</v>
      </c>
      <c r="H13">
        <v>7061.7325957430503</v>
      </c>
      <c r="J13" s="17" t="s">
        <v>208</v>
      </c>
      <c r="K13">
        <v>78</v>
      </c>
      <c r="M13" t="s">
        <v>209</v>
      </c>
      <c r="N13">
        <v>36</v>
      </c>
      <c r="P13" t="s">
        <v>210</v>
      </c>
      <c r="Q13">
        <v>42</v>
      </c>
      <c r="T13" s="17" t="s">
        <v>205</v>
      </c>
      <c r="U13">
        <v>633.703507636155</v>
      </c>
      <c r="W13" t="s">
        <v>202</v>
      </c>
      <c r="X13">
        <v>2506.9829702275601</v>
      </c>
      <c r="Z13" t="s">
        <v>199</v>
      </c>
      <c r="AA13">
        <v>5190.5545634709597</v>
      </c>
      <c r="AC13" s="17" t="s">
        <v>205</v>
      </c>
      <c r="AD13">
        <v>108.95618050273499</v>
      </c>
      <c r="AF13" t="s">
        <v>202</v>
      </c>
      <c r="AG13">
        <v>1621.4009522460401</v>
      </c>
      <c r="AI13" t="s">
        <v>199</v>
      </c>
      <c r="AJ13">
        <v>2278.06700656771</v>
      </c>
      <c r="AO13">
        <v>1042.29</v>
      </c>
      <c r="AP13">
        <v>1123.3589999999999</v>
      </c>
      <c r="AQ13">
        <v>1372.89</v>
      </c>
      <c r="AU13" s="8"/>
      <c r="AV13" s="18">
        <v>231.13303138619401</v>
      </c>
      <c r="AW13" s="18"/>
      <c r="AX13" s="18"/>
      <c r="AY13" s="18"/>
      <c r="AZ13" s="18"/>
      <c r="BA13" s="18"/>
      <c r="BB13" s="18"/>
      <c r="BD13" s="18"/>
      <c r="BE13" s="21"/>
      <c r="BG13" s="18"/>
      <c r="BL13" s="18"/>
      <c r="BM13" s="18"/>
      <c r="BN13" s="18"/>
      <c r="CD13" s="47" t="s">
        <v>211</v>
      </c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V13" s="18">
        <v>24.536533843019601</v>
      </c>
      <c r="DC13" s="18"/>
      <c r="DD13" s="18"/>
      <c r="DE13" s="18"/>
      <c r="DF13" s="18"/>
      <c r="DH13" s="18"/>
      <c r="EB13" s="48" t="s">
        <v>212</v>
      </c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T13" t="s">
        <v>180</v>
      </c>
      <c r="EU13">
        <v>2.71</v>
      </c>
      <c r="EV13">
        <v>2.12</v>
      </c>
      <c r="EW13">
        <v>2.7</v>
      </c>
      <c r="EX13">
        <v>602242</v>
      </c>
      <c r="EZ13" t="s">
        <v>180</v>
      </c>
      <c r="FA13">
        <v>1.7</v>
      </c>
      <c r="FB13">
        <v>1.85</v>
      </c>
      <c r="FC13">
        <v>2.4700000000000002</v>
      </c>
      <c r="FD13">
        <v>280224</v>
      </c>
      <c r="FF13" t="s">
        <v>187</v>
      </c>
      <c r="FG13">
        <v>2.13</v>
      </c>
      <c r="FH13">
        <v>1.95</v>
      </c>
      <c r="FJ13">
        <v>120624</v>
      </c>
    </row>
    <row r="14" spans="1:166" ht="13.15" x14ac:dyDescent="0.4">
      <c r="A14" s="17" t="s">
        <v>213</v>
      </c>
      <c r="B14">
        <v>7969.9964932175299</v>
      </c>
      <c r="D14" t="s">
        <v>214</v>
      </c>
      <c r="E14">
        <v>3370.1258910438701</v>
      </c>
      <c r="G14" t="s">
        <v>215</v>
      </c>
      <c r="H14">
        <v>3285.69385376129</v>
      </c>
      <c r="J14" s="17" t="s">
        <v>213</v>
      </c>
      <c r="K14">
        <v>68</v>
      </c>
      <c r="M14" t="s">
        <v>214</v>
      </c>
      <c r="N14">
        <v>11</v>
      </c>
      <c r="P14" t="s">
        <v>215</v>
      </c>
      <c r="Q14">
        <v>17</v>
      </c>
      <c r="T14" s="17" t="s">
        <v>208</v>
      </c>
      <c r="U14">
        <v>472.99645597482402</v>
      </c>
      <c r="W14" t="s">
        <v>206</v>
      </c>
      <c r="X14">
        <v>2766.0800490888701</v>
      </c>
      <c r="Z14" t="s">
        <v>203</v>
      </c>
      <c r="AA14">
        <v>4120.4814286794599</v>
      </c>
      <c r="AC14" s="17" t="s">
        <v>208</v>
      </c>
      <c r="AD14">
        <v>124.669778687342</v>
      </c>
      <c r="AF14" t="s">
        <v>206</v>
      </c>
      <c r="AG14">
        <v>1551.4502668851601</v>
      </c>
      <c r="AI14" t="s">
        <v>203</v>
      </c>
      <c r="AJ14">
        <v>1420.8740167881001</v>
      </c>
      <c r="AO14">
        <v>1045.1400000000001</v>
      </c>
      <c r="AP14">
        <v>1112.0429999999999</v>
      </c>
      <c r="AQ14">
        <v>1524.722</v>
      </c>
      <c r="AU14" s="8"/>
      <c r="AV14" s="18">
        <v>12.038122545996099</v>
      </c>
      <c r="AW14" s="18"/>
      <c r="AX14" s="18"/>
      <c r="AY14" s="18"/>
      <c r="AZ14" s="18"/>
      <c r="BA14" s="18"/>
      <c r="BB14" s="18"/>
      <c r="BD14" s="18"/>
      <c r="BE14" s="21"/>
      <c r="BG14" s="18"/>
      <c r="BL14" s="18"/>
      <c r="BM14" s="18"/>
      <c r="BN14" s="18"/>
      <c r="BO14" s="18"/>
      <c r="BP14" s="18"/>
      <c r="BQ14" s="18"/>
      <c r="BS14" s="18"/>
      <c r="CD14" s="42" t="s">
        <v>150</v>
      </c>
      <c r="CE14" s="42"/>
      <c r="CF14" s="42" t="s">
        <v>151</v>
      </c>
      <c r="CG14" s="42"/>
      <c r="CH14" s="42" t="s">
        <v>152</v>
      </c>
      <c r="CI14" s="42"/>
      <c r="CJ14" s="42" t="s">
        <v>153</v>
      </c>
      <c r="CK14" s="42"/>
      <c r="CL14" s="42" t="s">
        <v>154</v>
      </c>
      <c r="CM14" s="42"/>
      <c r="CN14" s="42" t="s">
        <v>155</v>
      </c>
      <c r="CO14" s="42"/>
      <c r="CV14" s="18">
        <v>66.135000206220397</v>
      </c>
      <c r="DC14" s="18"/>
      <c r="DD14" s="18"/>
      <c r="DE14" s="18"/>
      <c r="DF14" s="18"/>
      <c r="DH14" s="18"/>
      <c r="EB14" s="42" t="s">
        <v>150</v>
      </c>
      <c r="EC14" s="42"/>
      <c r="ED14" s="42" t="s">
        <v>151</v>
      </c>
      <c r="EE14" s="42"/>
      <c r="EF14" s="42" t="s">
        <v>152</v>
      </c>
      <c r="EG14" s="42"/>
      <c r="EH14" s="42" t="s">
        <v>153</v>
      </c>
      <c r="EI14" s="42"/>
      <c r="EJ14" s="42" t="s">
        <v>154</v>
      </c>
      <c r="EK14" s="42"/>
      <c r="EL14" s="42" t="s">
        <v>155</v>
      </c>
      <c r="EM14" s="42"/>
      <c r="ET14" t="s">
        <v>187</v>
      </c>
      <c r="EU14">
        <v>2.09</v>
      </c>
      <c r="EV14">
        <v>1.88</v>
      </c>
      <c r="EW14">
        <v>1.78</v>
      </c>
      <c r="EX14">
        <v>602242</v>
      </c>
      <c r="EZ14" t="s">
        <v>187</v>
      </c>
      <c r="FA14">
        <v>2.25</v>
      </c>
      <c r="FB14">
        <v>1.49</v>
      </c>
      <c r="FC14">
        <v>1.91</v>
      </c>
      <c r="FD14">
        <v>280224</v>
      </c>
      <c r="FF14" t="s">
        <v>171</v>
      </c>
      <c r="FG14">
        <v>2.88</v>
      </c>
      <c r="FH14">
        <v>3.05</v>
      </c>
      <c r="FI14">
        <v>2.71</v>
      </c>
      <c r="FJ14">
        <v>1106242</v>
      </c>
    </row>
    <row r="15" spans="1:166" x14ac:dyDescent="0.35">
      <c r="A15" s="17" t="s">
        <v>216</v>
      </c>
      <c r="B15">
        <v>8422.0385915417792</v>
      </c>
      <c r="D15" s="17" t="s">
        <v>217</v>
      </c>
      <c r="E15">
        <v>9545.7803874677702</v>
      </c>
      <c r="G15" t="s">
        <v>218</v>
      </c>
      <c r="H15">
        <v>2219.0217711627201</v>
      </c>
      <c r="J15" s="17" t="s">
        <v>216</v>
      </c>
      <c r="K15">
        <v>87</v>
      </c>
      <c r="M15" s="17" t="s">
        <v>217</v>
      </c>
      <c r="N15">
        <v>56</v>
      </c>
      <c r="P15" t="s">
        <v>218</v>
      </c>
      <c r="Q15">
        <v>20</v>
      </c>
      <c r="T15" s="17" t="s">
        <v>213</v>
      </c>
      <c r="U15">
        <v>1049.33475191556</v>
      </c>
      <c r="W15" t="s">
        <v>209</v>
      </c>
      <c r="X15">
        <v>2624.52095033468</v>
      </c>
      <c r="Z15" t="s">
        <v>207</v>
      </c>
      <c r="AA15">
        <v>2738.4212524449899</v>
      </c>
      <c r="AC15" s="17" t="s">
        <v>213</v>
      </c>
      <c r="AD15">
        <v>1252.2330579384</v>
      </c>
      <c r="AF15" t="s">
        <v>209</v>
      </c>
      <c r="AG15">
        <v>2348.4366902471602</v>
      </c>
      <c r="AI15" t="s">
        <v>207</v>
      </c>
      <c r="AJ15" s="8">
        <v>921.56024783724399</v>
      </c>
      <c r="AK15" s="8"/>
      <c r="AO15">
        <v>1054.0309999999999</v>
      </c>
      <c r="AP15">
        <v>1326.3820000000001</v>
      </c>
      <c r="AQ15">
        <v>1418</v>
      </c>
      <c r="AU15" s="8"/>
      <c r="AV15" s="18">
        <v>24.2668632780792</v>
      </c>
      <c r="AW15" s="18"/>
      <c r="AX15" s="18"/>
      <c r="AY15" s="18"/>
      <c r="AZ15" s="18"/>
      <c r="BA15" s="18"/>
      <c r="BB15" s="18"/>
      <c r="BD15" s="18"/>
      <c r="BE15" s="18"/>
      <c r="BF15" s="18"/>
      <c r="BG15" s="18"/>
      <c r="BL15" s="18"/>
      <c r="BM15" s="18"/>
      <c r="BN15" s="18"/>
      <c r="BO15" s="18"/>
      <c r="BP15" s="18"/>
      <c r="BQ15" s="18"/>
      <c r="BS15" s="18"/>
      <c r="BT15" s="22"/>
      <c r="CD15" s="8" t="s">
        <v>162</v>
      </c>
      <c r="CE15" s="8" t="s">
        <v>163</v>
      </c>
      <c r="CF15" s="8" t="s">
        <v>162</v>
      </c>
      <c r="CG15" s="8" t="s">
        <v>163</v>
      </c>
      <c r="CH15" s="8" t="s">
        <v>162</v>
      </c>
      <c r="CI15" s="8" t="s">
        <v>163</v>
      </c>
      <c r="CJ15" s="8" t="s">
        <v>162</v>
      </c>
      <c r="CK15" s="8" t="s">
        <v>163</v>
      </c>
      <c r="CL15" s="8" t="s">
        <v>162</v>
      </c>
      <c r="CM15" s="8" t="s">
        <v>163</v>
      </c>
      <c r="CN15" s="8" t="s">
        <v>162</v>
      </c>
      <c r="CO15" s="8" t="s">
        <v>163</v>
      </c>
      <c r="EB15" s="8" t="s">
        <v>162</v>
      </c>
      <c r="EC15" s="8" t="s">
        <v>163</v>
      </c>
      <c r="ED15" s="8" t="s">
        <v>162</v>
      </c>
      <c r="EE15" s="8" t="s">
        <v>163</v>
      </c>
      <c r="EF15" s="8" t="s">
        <v>162</v>
      </c>
      <c r="EG15" s="8" t="s">
        <v>163</v>
      </c>
      <c r="EH15" s="8" t="s">
        <v>162</v>
      </c>
      <c r="EI15" s="8" t="s">
        <v>163</v>
      </c>
      <c r="EJ15" s="8" t="s">
        <v>162</v>
      </c>
      <c r="EK15" s="8" t="s">
        <v>163</v>
      </c>
      <c r="EL15" s="8" t="s">
        <v>162</v>
      </c>
      <c r="EM15" s="8" t="s">
        <v>163</v>
      </c>
      <c r="ET15" t="s">
        <v>192</v>
      </c>
      <c r="EU15">
        <v>2.14</v>
      </c>
      <c r="EV15">
        <v>1.69</v>
      </c>
      <c r="EW15">
        <v>2.0299999999999998</v>
      </c>
      <c r="EX15">
        <v>602242</v>
      </c>
      <c r="EZ15" t="s">
        <v>192</v>
      </c>
      <c r="FA15">
        <v>2.48</v>
      </c>
      <c r="FB15">
        <v>2.37</v>
      </c>
      <c r="FC15">
        <v>2.35</v>
      </c>
      <c r="FD15">
        <v>280224</v>
      </c>
      <c r="FF15" t="s">
        <v>176</v>
      </c>
      <c r="FG15">
        <v>2.82</v>
      </c>
      <c r="FH15">
        <v>2.75</v>
      </c>
      <c r="FI15">
        <v>2.21</v>
      </c>
      <c r="FJ15">
        <v>1106242</v>
      </c>
    </row>
    <row r="16" spans="1:166" x14ac:dyDescent="0.35">
      <c r="A16" s="17" t="s">
        <v>219</v>
      </c>
      <c r="B16">
        <v>11897.901386101799</v>
      </c>
      <c r="D16" t="s">
        <v>220</v>
      </c>
      <c r="E16">
        <v>5755.9330554185999</v>
      </c>
      <c r="G16" t="s">
        <v>221</v>
      </c>
      <c r="H16">
        <v>8601.2888521166205</v>
      </c>
      <c r="J16" s="17" t="s">
        <v>219</v>
      </c>
      <c r="K16">
        <v>127</v>
      </c>
      <c r="M16" t="s">
        <v>220</v>
      </c>
      <c r="N16">
        <v>38</v>
      </c>
      <c r="P16" t="s">
        <v>221</v>
      </c>
      <c r="Q16">
        <v>46</v>
      </c>
      <c r="T16" s="17" t="s">
        <v>216</v>
      </c>
      <c r="U16">
        <v>927.40333828283701</v>
      </c>
      <c r="W16" t="s">
        <v>222</v>
      </c>
      <c r="X16">
        <v>3771.18683561424</v>
      </c>
      <c r="Z16" t="s">
        <v>210</v>
      </c>
      <c r="AA16">
        <v>5293.61590537342</v>
      </c>
      <c r="AC16" s="17" t="s">
        <v>216</v>
      </c>
      <c r="AD16">
        <v>2186.1591777459398</v>
      </c>
      <c r="AF16" t="s">
        <v>222</v>
      </c>
      <c r="AG16">
        <v>2740.3561538372701</v>
      </c>
      <c r="AI16" t="s">
        <v>210</v>
      </c>
      <c r="AJ16" s="8">
        <v>320.78089504428601</v>
      </c>
      <c r="AK16" s="8"/>
      <c r="AO16">
        <v>1057.31</v>
      </c>
      <c r="AP16">
        <v>1140.9739999999999</v>
      </c>
      <c r="AQ16">
        <v>1478.92</v>
      </c>
      <c r="AU16" s="18"/>
      <c r="AV16" s="18">
        <v>83.092921881879803</v>
      </c>
      <c r="AW16" s="8"/>
      <c r="AX16" s="18"/>
      <c r="AY16" s="18"/>
      <c r="AZ16" s="18"/>
      <c r="BA16" s="18"/>
      <c r="BB16" s="18"/>
      <c r="BD16" s="18"/>
      <c r="BE16" s="18"/>
      <c r="BF16" s="18"/>
      <c r="BG16" s="18"/>
      <c r="BN16" s="22"/>
      <c r="BO16" s="18"/>
      <c r="BP16" s="18"/>
      <c r="BQ16" s="18"/>
      <c r="BS16" s="18"/>
      <c r="BT16" s="22"/>
      <c r="CD16" s="18">
        <v>108.426499707589</v>
      </c>
      <c r="CE16" s="18">
        <v>587</v>
      </c>
      <c r="CF16" s="18">
        <v>130.435769341563</v>
      </c>
      <c r="CG16" s="18">
        <v>413</v>
      </c>
      <c r="CH16" s="18">
        <v>159.248878279157</v>
      </c>
      <c r="CI16" s="18">
        <v>487</v>
      </c>
      <c r="CJ16">
        <v>124.603318452423</v>
      </c>
      <c r="CK16">
        <v>494</v>
      </c>
      <c r="CL16">
        <v>216.62860971237399</v>
      </c>
      <c r="CM16">
        <v>346</v>
      </c>
      <c r="CN16">
        <v>103.756219665308</v>
      </c>
      <c r="CO16">
        <v>368</v>
      </c>
      <c r="EB16" s="18">
        <v>103.15631608641699</v>
      </c>
      <c r="EC16">
        <v>301</v>
      </c>
      <c r="ED16" s="18">
        <v>140.880391712961</v>
      </c>
      <c r="EE16">
        <v>330</v>
      </c>
      <c r="EF16" s="18">
        <v>128.633728929906</v>
      </c>
      <c r="EG16">
        <v>372</v>
      </c>
      <c r="EH16">
        <v>189.363271313659</v>
      </c>
      <c r="EI16">
        <v>343</v>
      </c>
      <c r="EJ16">
        <v>99.055994350685694</v>
      </c>
      <c r="EK16">
        <v>342</v>
      </c>
      <c r="EL16">
        <v>121.88833995722899</v>
      </c>
      <c r="EM16">
        <v>325</v>
      </c>
      <c r="ET16" t="s">
        <v>171</v>
      </c>
      <c r="EU16">
        <v>1.55</v>
      </c>
      <c r="EV16">
        <v>1.77</v>
      </c>
      <c r="EW16">
        <v>1.7</v>
      </c>
      <c r="EX16">
        <v>202242</v>
      </c>
      <c r="EZ16" t="s">
        <v>196</v>
      </c>
      <c r="FA16">
        <v>1.98</v>
      </c>
      <c r="FB16">
        <v>2.34</v>
      </c>
      <c r="FC16">
        <v>2.1</v>
      </c>
      <c r="FD16">
        <v>280224</v>
      </c>
      <c r="FF16" t="s">
        <v>180</v>
      </c>
      <c r="FG16">
        <v>4.38</v>
      </c>
      <c r="FH16">
        <v>2.57</v>
      </c>
      <c r="FI16">
        <v>2.71</v>
      </c>
      <c r="FJ16">
        <v>1106242</v>
      </c>
    </row>
    <row r="17" spans="1:166" x14ac:dyDescent="0.35">
      <c r="A17" t="s">
        <v>223</v>
      </c>
      <c r="B17">
        <v>7703.6002790433704</v>
      </c>
      <c r="D17" t="s">
        <v>224</v>
      </c>
      <c r="E17">
        <v>4540.1268103237098</v>
      </c>
      <c r="G17" t="s">
        <v>225</v>
      </c>
      <c r="H17">
        <v>4345.8349015123304</v>
      </c>
      <c r="J17" t="s">
        <v>223</v>
      </c>
      <c r="K17">
        <v>76</v>
      </c>
      <c r="M17" t="s">
        <v>224</v>
      </c>
      <c r="N17">
        <v>27</v>
      </c>
      <c r="P17" t="s">
        <v>226</v>
      </c>
      <c r="Q17">
        <v>28</v>
      </c>
      <c r="T17" s="17" t="s">
        <v>219</v>
      </c>
      <c r="U17">
        <v>788.46999512578395</v>
      </c>
      <c r="W17" t="s">
        <v>214</v>
      </c>
      <c r="X17">
        <v>5980.7515594982997</v>
      </c>
      <c r="Z17" t="s">
        <v>215</v>
      </c>
      <c r="AA17">
        <v>4690.7799744030499</v>
      </c>
      <c r="AC17" s="17" t="s">
        <v>219</v>
      </c>
      <c r="AD17" s="18">
        <v>846.65629405527704</v>
      </c>
      <c r="AF17" t="s">
        <v>214</v>
      </c>
      <c r="AG17">
        <v>2354.43407697976</v>
      </c>
      <c r="AI17" t="s">
        <v>215</v>
      </c>
      <c r="AJ17">
        <v>2517.9202442003798</v>
      </c>
      <c r="AO17">
        <v>1068.7619999999999</v>
      </c>
      <c r="AP17">
        <v>1250.123</v>
      </c>
      <c r="AQ17">
        <v>1313.7950000000001</v>
      </c>
      <c r="AU17" s="18"/>
      <c r="AV17" s="18">
        <v>147.684742301531</v>
      </c>
      <c r="AW17" s="8"/>
      <c r="AX17" s="18"/>
      <c r="AY17" s="18"/>
      <c r="AZ17" s="18"/>
      <c r="BA17" s="18"/>
      <c r="BB17" s="18"/>
      <c r="BC17" s="8"/>
      <c r="BD17" s="8"/>
      <c r="BE17" s="8"/>
      <c r="BF17" s="8"/>
      <c r="BG17" s="8"/>
      <c r="BN17" s="22"/>
      <c r="BO17" s="18"/>
      <c r="BP17" s="18"/>
      <c r="BQ17" s="18"/>
      <c r="BS17" s="18"/>
      <c r="BT17" s="18"/>
      <c r="BU17" s="18"/>
      <c r="BW17" s="18"/>
      <c r="CD17" s="18">
        <v>106.875274578164</v>
      </c>
      <c r="CE17" s="18"/>
      <c r="CF17" s="18">
        <v>70.265006182471495</v>
      </c>
      <c r="CG17" s="18"/>
      <c r="CH17" s="18">
        <v>118.052446818712</v>
      </c>
      <c r="CI17" s="18"/>
      <c r="CJ17">
        <v>114.143252888991</v>
      </c>
      <c r="CL17">
        <v>167.46228631579001</v>
      </c>
      <c r="CN17">
        <v>8.7210339219368702</v>
      </c>
      <c r="EB17" s="18">
        <v>82.799921196327503</v>
      </c>
      <c r="ED17" s="18">
        <v>86.696825918171598</v>
      </c>
      <c r="EF17" s="18">
        <v>59.388163988151</v>
      </c>
      <c r="EH17">
        <v>126.920283907528</v>
      </c>
      <c r="EJ17">
        <v>199.65275556573701</v>
      </c>
      <c r="EL17">
        <v>98.195123517813698</v>
      </c>
      <c r="ET17" t="s">
        <v>176</v>
      </c>
      <c r="EU17">
        <v>1.67</v>
      </c>
      <c r="EV17">
        <v>1.48</v>
      </c>
      <c r="EW17">
        <v>1.83</v>
      </c>
      <c r="EX17">
        <v>202242</v>
      </c>
      <c r="EZ17" t="s">
        <v>171</v>
      </c>
      <c r="FA17">
        <v>1.96</v>
      </c>
      <c r="FB17">
        <v>1.85</v>
      </c>
      <c r="FC17">
        <v>1.59</v>
      </c>
      <c r="FD17">
        <v>270224</v>
      </c>
      <c r="FF17" t="s">
        <v>187</v>
      </c>
      <c r="FG17">
        <v>2.91</v>
      </c>
      <c r="FH17">
        <v>2.52</v>
      </c>
      <c r="FI17">
        <v>2.35</v>
      </c>
      <c r="FJ17">
        <v>1106242</v>
      </c>
    </row>
    <row r="18" spans="1:166" ht="13.15" x14ac:dyDescent="0.4">
      <c r="A18" s="18" t="s">
        <v>227</v>
      </c>
      <c r="B18">
        <v>11528.6936213605</v>
      </c>
      <c r="D18" t="s">
        <v>228</v>
      </c>
      <c r="E18">
        <v>6027.6830753837003</v>
      </c>
      <c r="G18" t="s">
        <v>229</v>
      </c>
      <c r="H18">
        <v>2652.01348624192</v>
      </c>
      <c r="J18" s="18" t="s">
        <v>227</v>
      </c>
      <c r="K18">
        <v>129</v>
      </c>
      <c r="M18" t="s">
        <v>228</v>
      </c>
      <c r="N18">
        <v>38</v>
      </c>
      <c r="P18" t="s">
        <v>229</v>
      </c>
      <c r="Q18">
        <v>18</v>
      </c>
      <c r="T18" t="s">
        <v>223</v>
      </c>
      <c r="U18">
        <v>830.74103797922805</v>
      </c>
      <c r="W18" s="17" t="s">
        <v>217</v>
      </c>
      <c r="X18">
        <v>5581.4569531393399</v>
      </c>
      <c r="Z18" t="s">
        <v>218</v>
      </c>
      <c r="AA18">
        <v>4136.1736474178597</v>
      </c>
      <c r="AC18" t="s">
        <v>223</v>
      </c>
      <c r="AD18">
        <v>2123.4350891811</v>
      </c>
      <c r="AF18" s="17" t="s">
        <v>217</v>
      </c>
      <c r="AG18">
        <v>1792.10914592668</v>
      </c>
      <c r="AI18" t="s">
        <v>218</v>
      </c>
      <c r="AJ18">
        <v>499.57896656231401</v>
      </c>
      <c r="AO18">
        <v>1074.1780000000001</v>
      </c>
      <c r="AP18">
        <v>1430.3620000000001</v>
      </c>
      <c r="AQ18">
        <v>1266.345</v>
      </c>
      <c r="AU18" s="18"/>
      <c r="AV18" s="18">
        <v>85.8154972403361</v>
      </c>
      <c r="AW18" s="8"/>
      <c r="AX18" s="18"/>
      <c r="AY18" s="18"/>
      <c r="AZ18" s="18"/>
      <c r="BA18" s="18"/>
      <c r="BB18" s="18"/>
      <c r="BC18" s="8"/>
      <c r="BD18" s="8"/>
      <c r="BE18" s="8"/>
      <c r="BF18" s="8"/>
      <c r="BG18" s="8"/>
      <c r="BN18" s="47" t="s">
        <v>230</v>
      </c>
      <c r="BO18" s="47"/>
      <c r="BP18" s="47"/>
      <c r="BQ18" s="47"/>
      <c r="BR18" s="47"/>
      <c r="BS18" s="47"/>
      <c r="BT18" s="47"/>
      <c r="BU18" s="47"/>
      <c r="BV18" s="8"/>
      <c r="BW18" s="8"/>
      <c r="BX18" s="8"/>
      <c r="BY18" s="8"/>
      <c r="CD18" s="18">
        <v>174.30586851838899</v>
      </c>
      <c r="CE18" s="8"/>
      <c r="CF18" s="18">
        <v>70.129875216511493</v>
      </c>
      <c r="CG18" s="8"/>
      <c r="CH18" s="18">
        <v>159.34849222875701</v>
      </c>
      <c r="CJ18">
        <v>119.35776588797999</v>
      </c>
      <c r="CL18">
        <v>95.805949352142903</v>
      </c>
      <c r="CN18">
        <v>47.541789699359498</v>
      </c>
      <c r="DL18" s="48" t="s">
        <v>231</v>
      </c>
      <c r="DM18" s="48"/>
      <c r="DN18" s="48"/>
      <c r="DO18" s="48"/>
      <c r="DP18" s="48"/>
      <c r="DQ18" s="48"/>
      <c r="DR18" s="48"/>
      <c r="DS18" s="48"/>
      <c r="EB18" s="18">
        <v>116.014351758019</v>
      </c>
      <c r="ED18" s="18">
        <v>79.614616649621297</v>
      </c>
      <c r="EF18" s="18">
        <v>170.72132210455399</v>
      </c>
      <c r="EH18">
        <v>75.495763806671704</v>
      </c>
      <c r="EJ18" s="18">
        <v>83.022247181536599</v>
      </c>
      <c r="EL18">
        <v>145.098570901579</v>
      </c>
      <c r="ET18" t="s">
        <v>180</v>
      </c>
      <c r="EU18">
        <v>2.0299999999999998</v>
      </c>
      <c r="EV18">
        <v>1.64</v>
      </c>
      <c r="EW18">
        <v>1.98</v>
      </c>
      <c r="EX18">
        <v>202242</v>
      </c>
      <c r="EZ18" t="s">
        <v>176</v>
      </c>
      <c r="FA18">
        <v>2.21</v>
      </c>
      <c r="FB18">
        <v>1.92</v>
      </c>
      <c r="FC18">
        <v>2.3199999999999998</v>
      </c>
      <c r="FD18">
        <v>270224</v>
      </c>
      <c r="FF18" t="s">
        <v>192</v>
      </c>
      <c r="FG18">
        <v>2.99</v>
      </c>
      <c r="FH18">
        <v>2.78</v>
      </c>
      <c r="FI18">
        <v>3.24</v>
      </c>
      <c r="FJ18">
        <v>1106242</v>
      </c>
    </row>
    <row r="19" spans="1:166" ht="13.15" x14ac:dyDescent="0.4">
      <c r="A19" s="18" t="s">
        <v>232</v>
      </c>
      <c r="B19">
        <v>3590.9426813300702</v>
      </c>
      <c r="D19" t="s">
        <v>233</v>
      </c>
      <c r="E19">
        <v>3847.5614721851598</v>
      </c>
      <c r="G19" t="s">
        <v>234</v>
      </c>
      <c r="H19">
        <v>2419.1680603464802</v>
      </c>
      <c r="J19" s="18" t="s">
        <v>232</v>
      </c>
      <c r="K19">
        <v>46</v>
      </c>
      <c r="M19" t="s">
        <v>233</v>
      </c>
      <c r="N19">
        <v>29</v>
      </c>
      <c r="P19" t="s">
        <v>234</v>
      </c>
      <c r="Q19">
        <v>16</v>
      </c>
      <c r="T19" s="18" t="s">
        <v>227</v>
      </c>
      <c r="U19">
        <v>959.88908814806598</v>
      </c>
      <c r="W19" s="17" t="s">
        <v>235</v>
      </c>
      <c r="X19">
        <v>5877.6428490628996</v>
      </c>
      <c r="Z19" t="s">
        <v>221</v>
      </c>
      <c r="AA19">
        <v>5078.8178343096697</v>
      </c>
      <c r="AC19" s="18" t="s">
        <v>227</v>
      </c>
      <c r="AD19">
        <v>1859.2805067325601</v>
      </c>
      <c r="AF19" s="17" t="s">
        <v>235</v>
      </c>
      <c r="AG19">
        <v>2835.2614357132002</v>
      </c>
      <c r="AI19" t="s">
        <v>221</v>
      </c>
      <c r="AJ19">
        <v>1445.42017336546</v>
      </c>
      <c r="AO19">
        <v>1087.67</v>
      </c>
      <c r="AP19">
        <v>1313.739</v>
      </c>
      <c r="AQ19">
        <v>1255.08</v>
      </c>
      <c r="AU19" s="18"/>
      <c r="AV19" s="18">
        <v>79.241653062012205</v>
      </c>
      <c r="AW19" s="8"/>
      <c r="AX19" s="18"/>
      <c r="AY19" s="18"/>
      <c r="AZ19" s="18"/>
      <c r="BA19" s="18"/>
      <c r="BB19" s="18"/>
      <c r="BC19" s="8"/>
      <c r="BD19" s="8"/>
      <c r="BE19" s="8"/>
      <c r="BF19" s="8"/>
      <c r="BG19" s="8"/>
      <c r="BN19" s="42" t="s">
        <v>150</v>
      </c>
      <c r="BO19" s="42"/>
      <c r="BP19" s="42" t="s">
        <v>151</v>
      </c>
      <c r="BQ19" s="42"/>
      <c r="BR19" s="42" t="s">
        <v>152</v>
      </c>
      <c r="BS19" s="42"/>
      <c r="BT19" s="42" t="s">
        <v>153</v>
      </c>
      <c r="BU19" s="42"/>
      <c r="BV19" s="42"/>
      <c r="BW19" s="42"/>
      <c r="BX19" s="42"/>
      <c r="BY19" s="42"/>
      <c r="BZ19" s="42"/>
      <c r="CA19" s="42"/>
      <c r="CD19" s="18">
        <v>96.122608740358501</v>
      </c>
      <c r="CF19" s="18">
        <v>117.854471406879</v>
      </c>
      <c r="CH19" s="1">
        <f>SUM(Figure3!CH16:CH18)</f>
        <v>436.64981732662602</v>
      </c>
      <c r="CI19" s="1">
        <f>Figure3!CI16/Figure3!CH19</f>
        <v>1.1153102112389313</v>
      </c>
      <c r="CJ19">
        <v>68.366426800171894</v>
      </c>
      <c r="CL19" s="1">
        <f>SUM(Figure3!CL16:CL18)</f>
        <v>479.8968453803069</v>
      </c>
      <c r="CM19" s="1">
        <f>Figure3!CM16/Figure3!CL19</f>
        <v>0.72098827764913354</v>
      </c>
      <c r="CN19">
        <v>134.80554931574201</v>
      </c>
      <c r="DL19" s="42" t="s">
        <v>150</v>
      </c>
      <c r="DM19" s="42"/>
      <c r="DN19" s="42" t="s">
        <v>151</v>
      </c>
      <c r="DO19" s="42"/>
      <c r="DP19" s="42" t="s">
        <v>152</v>
      </c>
      <c r="DQ19" s="42"/>
      <c r="DR19" s="42" t="s">
        <v>153</v>
      </c>
      <c r="DS19" s="42"/>
      <c r="DT19" s="42"/>
      <c r="DU19" s="42"/>
      <c r="DV19" s="42"/>
      <c r="DW19" s="42"/>
      <c r="DX19" s="42"/>
      <c r="DY19" s="42"/>
      <c r="EB19" s="1">
        <f>SUM(Figure3!EB16:EB18)</f>
        <v>301.97058904076351</v>
      </c>
      <c r="EC19" s="1">
        <f>Figure3!EC16/Figure3!EB19</f>
        <v>0.99678581598344829</v>
      </c>
      <c r="ED19" s="18">
        <v>93.888643819636897</v>
      </c>
      <c r="EF19" s="1">
        <f>SUM(Figure3!EF16:EF18)</f>
        <v>358.74321502261103</v>
      </c>
      <c r="EG19" s="1">
        <f>Figure3!EG16/Figure3!EF19</f>
        <v>1.0369534096318822</v>
      </c>
      <c r="EH19" s="1">
        <f>SUM(Figure3!EH16:EH18)</f>
        <v>391.77931902785872</v>
      </c>
      <c r="EI19" s="1">
        <f>Figure3!EI16/Figure3!EH19</f>
        <v>0.87549286892198075</v>
      </c>
      <c r="EJ19" s="1">
        <f>SUM(Figure3!EJ16:EJ18)</f>
        <v>381.73099709795929</v>
      </c>
      <c r="EK19" s="1">
        <f>Figure3!EK16/Figure3!EJ19</f>
        <v>0.89591886066364279</v>
      </c>
      <c r="EL19" s="1">
        <f>SUM(Figure3!EL16:EL18)</f>
        <v>365.18203437662169</v>
      </c>
      <c r="EM19" s="1">
        <f>Figure3!EM16/Figure3!EL19</f>
        <v>0.88996711066245682</v>
      </c>
      <c r="ET19" t="s">
        <v>187</v>
      </c>
      <c r="EU19">
        <v>2.57</v>
      </c>
      <c r="EV19">
        <v>2.2400000000000002</v>
      </c>
      <c r="EW19">
        <v>2.52</v>
      </c>
      <c r="EX19">
        <v>202242</v>
      </c>
      <c r="EZ19" t="s">
        <v>180</v>
      </c>
      <c r="FA19">
        <v>2.2200000000000002</v>
      </c>
      <c r="FB19">
        <v>2.1</v>
      </c>
      <c r="FC19">
        <v>2.4300000000000002</v>
      </c>
      <c r="FD19">
        <v>270224</v>
      </c>
      <c r="FF19" t="s">
        <v>196</v>
      </c>
      <c r="FG19">
        <v>2.37</v>
      </c>
      <c r="FH19">
        <v>2.3199999999999998</v>
      </c>
      <c r="FI19">
        <v>2.92</v>
      </c>
      <c r="FJ19">
        <v>1106242</v>
      </c>
    </row>
    <row r="20" spans="1:166" ht="13.15" x14ac:dyDescent="0.4">
      <c r="A20" t="s">
        <v>236</v>
      </c>
      <c r="B20">
        <v>8394.5683108622707</v>
      </c>
      <c r="D20" t="s">
        <v>237</v>
      </c>
      <c r="E20">
        <v>5755.7683645016996</v>
      </c>
      <c r="G20" t="s">
        <v>238</v>
      </c>
      <c r="H20">
        <v>5663.4423573310396</v>
      </c>
      <c r="J20" t="s">
        <v>236</v>
      </c>
      <c r="K20">
        <v>88</v>
      </c>
      <c r="M20" t="s">
        <v>237</v>
      </c>
      <c r="N20">
        <v>43</v>
      </c>
      <c r="P20" t="s">
        <v>238</v>
      </c>
      <c r="Q20">
        <v>43</v>
      </c>
      <c r="T20" s="18" t="s">
        <v>232</v>
      </c>
      <c r="U20">
        <v>1509.52503005536</v>
      </c>
      <c r="W20" s="17" t="s">
        <v>239</v>
      </c>
      <c r="X20">
        <v>4439.7210028497902</v>
      </c>
      <c r="Z20" t="s">
        <v>225</v>
      </c>
      <c r="AA20">
        <v>4362.5055782918998</v>
      </c>
      <c r="AC20" s="18" t="s">
        <v>232</v>
      </c>
      <c r="AD20">
        <v>693.54018147960903</v>
      </c>
      <c r="AF20" s="17" t="s">
        <v>239</v>
      </c>
      <c r="AG20">
        <v>3010.60319655687</v>
      </c>
      <c r="AI20" t="s">
        <v>225</v>
      </c>
      <c r="AJ20">
        <v>691.34420808911295</v>
      </c>
      <c r="AO20">
        <v>1108.251</v>
      </c>
      <c r="AP20">
        <v>1543.1489999999999</v>
      </c>
      <c r="AQ20">
        <v>1259.8219999999999</v>
      </c>
      <c r="AU20" s="18"/>
      <c r="AV20" s="18">
        <v>81.969293235064995</v>
      </c>
      <c r="AW20" s="8"/>
      <c r="AX20" s="18"/>
      <c r="AY20" s="18"/>
      <c r="AZ20" s="18"/>
      <c r="BA20" s="18"/>
      <c r="BB20" s="18"/>
      <c r="BC20" s="8"/>
      <c r="BD20" s="8"/>
      <c r="BE20" s="8"/>
      <c r="BF20" s="8"/>
      <c r="BG20" s="8"/>
      <c r="BH20" s="21"/>
      <c r="BN20" s="8" t="s">
        <v>162</v>
      </c>
      <c r="BO20" s="8" t="s">
        <v>163</v>
      </c>
      <c r="BP20" s="8" t="s">
        <v>162</v>
      </c>
      <c r="BQ20" s="8" t="s">
        <v>163</v>
      </c>
      <c r="BR20" s="8" t="s">
        <v>162</v>
      </c>
      <c r="BS20" s="8" t="s">
        <v>163</v>
      </c>
      <c r="BT20" s="8" t="s">
        <v>162</v>
      </c>
      <c r="BU20" s="8" t="s">
        <v>163</v>
      </c>
      <c r="BV20" s="8"/>
      <c r="BW20" s="8"/>
      <c r="BX20" s="8"/>
      <c r="BY20" s="8"/>
      <c r="BZ20" s="8"/>
      <c r="CA20" s="8"/>
      <c r="CC20" s="18" t="s">
        <v>186</v>
      </c>
      <c r="CD20" s="1">
        <f>SUM(Figure3!CD16:CD19)</f>
        <v>485.73025154450045</v>
      </c>
      <c r="CE20" s="1">
        <f>Figure3!CE16/Figure3!CD20</f>
        <v>1.2084896877093554</v>
      </c>
      <c r="CF20" s="1">
        <f>SUM(Figure3!CF16:CF19)</f>
        <v>388.68512214742498</v>
      </c>
      <c r="CG20" s="1">
        <f>Figure3!CG16/Figure3!CF20</f>
        <v>1.0625567495823847</v>
      </c>
      <c r="CH20" s="18"/>
      <c r="CI20" s="18"/>
      <c r="CJ20" s="1">
        <f>SUM(Figure3!CJ16:CJ19)</f>
        <v>426.47076402956588</v>
      </c>
      <c r="CK20" s="1">
        <f>Figure3!CK16/Figure3!CJ20</f>
        <v>1.1583443501082586</v>
      </c>
      <c r="CN20">
        <v>36.573955381753102</v>
      </c>
      <c r="CV20" s="21"/>
      <c r="CW20" s="21"/>
      <c r="DL20" t="s">
        <v>162</v>
      </c>
      <c r="DM20" t="s">
        <v>163</v>
      </c>
      <c r="DN20" t="s">
        <v>162</v>
      </c>
      <c r="DO20" t="s">
        <v>163</v>
      </c>
      <c r="DP20" t="s">
        <v>162</v>
      </c>
      <c r="DQ20" t="s">
        <v>163</v>
      </c>
      <c r="DR20" t="s">
        <v>162</v>
      </c>
      <c r="DS20" t="s">
        <v>163</v>
      </c>
      <c r="EA20" s="18" t="s">
        <v>186</v>
      </c>
      <c r="ED20" s="1">
        <f>SUM(Figure3!ED16:ED19)</f>
        <v>401.08047810039085</v>
      </c>
      <c r="EE20" s="1">
        <f>Figure3!EE16/Figure3!ED20</f>
        <v>0.82277751727771864</v>
      </c>
      <c r="ET20" t="s">
        <v>192</v>
      </c>
      <c r="EU20">
        <v>2.2200000000000002</v>
      </c>
      <c r="EV20">
        <v>2.31</v>
      </c>
      <c r="EX20">
        <v>202242</v>
      </c>
      <c r="EZ20" t="s">
        <v>187</v>
      </c>
      <c r="FA20">
        <v>2.4</v>
      </c>
      <c r="FB20">
        <v>2.56</v>
      </c>
      <c r="FC20">
        <v>1.57</v>
      </c>
      <c r="FD20">
        <v>270224</v>
      </c>
      <c r="FF20" t="s">
        <v>200</v>
      </c>
      <c r="FG20">
        <v>2.08</v>
      </c>
      <c r="FH20">
        <v>2.2200000000000002</v>
      </c>
      <c r="FI20">
        <v>2.37</v>
      </c>
      <c r="FJ20">
        <v>1106242</v>
      </c>
    </row>
    <row r="21" spans="1:166" ht="13.15" x14ac:dyDescent="0.4">
      <c r="A21" t="s">
        <v>240</v>
      </c>
      <c r="B21">
        <v>5386.9793593702798</v>
      </c>
      <c r="D21" t="s">
        <v>241</v>
      </c>
      <c r="E21">
        <v>2257.1626551990998</v>
      </c>
      <c r="G21" t="s">
        <v>242</v>
      </c>
      <c r="H21" s="2">
        <v>730.49778243441006</v>
      </c>
      <c r="J21" t="s">
        <v>240</v>
      </c>
      <c r="K21">
        <v>51</v>
      </c>
      <c r="M21" t="s">
        <v>241</v>
      </c>
      <c r="N21">
        <v>11</v>
      </c>
      <c r="P21" t="s">
        <v>242</v>
      </c>
      <c r="Q21">
        <v>3</v>
      </c>
      <c r="T21" s="18" t="s">
        <v>243</v>
      </c>
      <c r="U21">
        <v>1343.04850897244</v>
      </c>
      <c r="W21" s="17" t="s">
        <v>244</v>
      </c>
      <c r="X21">
        <v>6043.28345699083</v>
      </c>
      <c r="Z21" t="s">
        <v>245</v>
      </c>
      <c r="AA21">
        <v>2997.6976887005098</v>
      </c>
      <c r="AC21" s="18" t="s">
        <v>243</v>
      </c>
      <c r="AD21">
        <v>1767.17188491617</v>
      </c>
      <c r="AF21" s="17" t="s">
        <v>244</v>
      </c>
      <c r="AG21">
        <v>2880.2297423559398</v>
      </c>
      <c r="AI21" t="s">
        <v>245</v>
      </c>
      <c r="AJ21">
        <v>675.13610473743199</v>
      </c>
      <c r="AO21">
        <v>1126.19</v>
      </c>
      <c r="AP21">
        <v>1435.7239999999999</v>
      </c>
      <c r="AQ21">
        <v>1271.481</v>
      </c>
      <c r="AU21" s="18"/>
      <c r="AV21" s="18">
        <v>23.076098013106101</v>
      </c>
      <c r="AW21" s="8"/>
      <c r="AX21" s="18"/>
      <c r="AY21" s="18"/>
      <c r="AZ21" s="18"/>
      <c r="BA21" s="18"/>
      <c r="BB21" s="18"/>
      <c r="BC21" s="8"/>
      <c r="BD21" s="8"/>
      <c r="BE21" s="8"/>
      <c r="BF21" s="8"/>
      <c r="BG21" s="8"/>
      <c r="BH21" s="21"/>
      <c r="BN21" s="18">
        <v>121.909204683787</v>
      </c>
      <c r="BO21" s="18">
        <v>385</v>
      </c>
      <c r="BP21" s="18">
        <v>151.357822144159</v>
      </c>
      <c r="BQ21">
        <v>707</v>
      </c>
      <c r="BR21" s="18">
        <v>33.701894806549397</v>
      </c>
      <c r="BS21">
        <v>247</v>
      </c>
      <c r="BT21" s="18">
        <v>97.775033584401498</v>
      </c>
      <c r="BU21" s="18">
        <v>221</v>
      </c>
      <c r="BW21" s="18"/>
      <c r="CH21" s="18"/>
      <c r="CI21" s="18"/>
      <c r="CJ21" s="18"/>
      <c r="CN21">
        <v>56.160195698877601</v>
      </c>
      <c r="CV21" s="21"/>
      <c r="CW21" s="21"/>
      <c r="DL21" s="18">
        <v>137.16471015115101</v>
      </c>
      <c r="DM21">
        <v>283</v>
      </c>
      <c r="DN21" s="18">
        <v>154.50243970478601</v>
      </c>
      <c r="DO21" s="18">
        <v>259</v>
      </c>
      <c r="DP21" s="18">
        <v>185.78814019228699</v>
      </c>
      <c r="DQ21" s="18">
        <v>222</v>
      </c>
      <c r="DR21" s="18">
        <v>139.48760617584199</v>
      </c>
      <c r="DS21">
        <v>220</v>
      </c>
      <c r="ET21" t="s">
        <v>196</v>
      </c>
      <c r="EU21">
        <v>1.95</v>
      </c>
      <c r="EV21">
        <v>1.98</v>
      </c>
      <c r="EW21">
        <v>1.88</v>
      </c>
      <c r="EX21">
        <v>202242</v>
      </c>
      <c r="EZ21" t="s">
        <v>192</v>
      </c>
      <c r="FA21">
        <v>2.87</v>
      </c>
      <c r="FB21">
        <v>2.37</v>
      </c>
      <c r="FC21">
        <v>2.21</v>
      </c>
      <c r="FD21">
        <v>270224</v>
      </c>
      <c r="FF21" t="s">
        <v>171</v>
      </c>
      <c r="FG21">
        <v>2.88</v>
      </c>
      <c r="FH21">
        <v>2.7</v>
      </c>
      <c r="FI21">
        <v>2.4900000000000002</v>
      </c>
      <c r="FJ21">
        <v>280324</v>
      </c>
    </row>
    <row r="22" spans="1:166" ht="13.15" x14ac:dyDescent="0.4">
      <c r="A22" t="s">
        <v>246</v>
      </c>
      <c r="B22">
        <v>9538.2023468377702</v>
      </c>
      <c r="D22" t="s">
        <v>247</v>
      </c>
      <c r="E22" s="2">
        <v>1015.72274718069</v>
      </c>
      <c r="G22" t="s">
        <v>248</v>
      </c>
      <c r="H22">
        <v>7342.5156308338701</v>
      </c>
      <c r="J22" t="s">
        <v>246</v>
      </c>
      <c r="K22">
        <v>88</v>
      </c>
      <c r="M22" t="s">
        <v>247</v>
      </c>
      <c r="N22">
        <v>11</v>
      </c>
      <c r="P22" t="s">
        <v>248</v>
      </c>
      <c r="Q22">
        <v>45</v>
      </c>
      <c r="T22" t="s">
        <v>236</v>
      </c>
      <c r="U22">
        <v>911.73218278239494</v>
      </c>
      <c r="W22" t="s">
        <v>220</v>
      </c>
      <c r="X22">
        <v>2406.3106311665401</v>
      </c>
      <c r="Z22" t="s">
        <v>249</v>
      </c>
      <c r="AA22">
        <v>2847.4362036417201</v>
      </c>
      <c r="AC22" t="s">
        <v>236</v>
      </c>
      <c r="AD22">
        <v>799.26321679314503</v>
      </c>
      <c r="AF22" t="s">
        <v>220</v>
      </c>
      <c r="AG22">
        <v>1600.0468088253201</v>
      </c>
      <c r="AI22" t="s">
        <v>249</v>
      </c>
      <c r="AJ22">
        <v>2172.0312343587402</v>
      </c>
      <c r="AO22">
        <v>1130.711</v>
      </c>
      <c r="AP22">
        <v>1193.934</v>
      </c>
      <c r="AQ22">
        <v>1370.88</v>
      </c>
      <c r="AU22" s="18"/>
      <c r="AV22" s="18">
        <v>331.42578825609701</v>
      </c>
      <c r="AW22" s="8"/>
      <c r="AX22" s="18"/>
      <c r="AY22" s="18"/>
      <c r="AZ22" s="18"/>
      <c r="BA22" s="18"/>
      <c r="BB22" s="18"/>
      <c r="BC22" s="8"/>
      <c r="BD22" s="8"/>
      <c r="BE22" s="8"/>
      <c r="BF22" s="8"/>
      <c r="BG22" s="8"/>
      <c r="BH22" s="21"/>
      <c r="BN22" s="18">
        <v>44.214486210938702</v>
      </c>
      <c r="BO22" s="18"/>
      <c r="BP22" s="18">
        <v>67.462687010512994</v>
      </c>
      <c r="BQ22" s="18"/>
      <c r="BR22" s="18">
        <v>252.342266578985</v>
      </c>
      <c r="BS22" s="18"/>
      <c r="BT22" s="18">
        <v>197.84666118624301</v>
      </c>
      <c r="BU22" s="18"/>
      <c r="BW22" s="18"/>
      <c r="CH22" s="18"/>
      <c r="CI22" s="18"/>
      <c r="CJ22" s="18"/>
      <c r="CN22">
        <v>83.508352898217098</v>
      </c>
      <c r="CV22" s="21"/>
      <c r="CW22" s="21"/>
      <c r="DL22" s="18">
        <v>50.446043861520998</v>
      </c>
      <c r="DN22" s="18">
        <v>60.081322626189298</v>
      </c>
      <c r="DP22" s="18">
        <v>153.435614173402</v>
      </c>
      <c r="DR22" s="18">
        <v>133.871593509067</v>
      </c>
      <c r="ET22" t="s">
        <v>171</v>
      </c>
      <c r="EU22">
        <v>1.05</v>
      </c>
      <c r="EV22">
        <v>1.54</v>
      </c>
      <c r="EW22">
        <v>1.67</v>
      </c>
      <c r="EX22">
        <v>3101242</v>
      </c>
      <c r="EZ22" t="s">
        <v>196</v>
      </c>
      <c r="FA22">
        <v>2.37</v>
      </c>
      <c r="FB22">
        <v>1.7</v>
      </c>
      <c r="FC22">
        <v>1.44</v>
      </c>
      <c r="FD22">
        <v>270224</v>
      </c>
      <c r="FF22" t="s">
        <v>176</v>
      </c>
      <c r="FG22">
        <v>1.85</v>
      </c>
      <c r="FH22">
        <v>1.64</v>
      </c>
      <c r="FI22">
        <v>1.92</v>
      </c>
      <c r="FJ22">
        <v>280324</v>
      </c>
    </row>
    <row r="23" spans="1:166" ht="13.15" x14ac:dyDescent="0.4">
      <c r="A23" t="s">
        <v>250</v>
      </c>
      <c r="B23">
        <v>6682.5845588842903</v>
      </c>
      <c r="D23" t="s">
        <v>251</v>
      </c>
      <c r="E23">
        <v>3885.1180928182698</v>
      </c>
      <c r="G23" t="s">
        <v>252</v>
      </c>
      <c r="H23">
        <v>6165.8753449563201</v>
      </c>
      <c r="J23" t="s">
        <v>250</v>
      </c>
      <c r="K23">
        <v>79</v>
      </c>
      <c r="M23" t="s">
        <v>251</v>
      </c>
      <c r="N23">
        <v>25</v>
      </c>
      <c r="P23" t="s">
        <v>252</v>
      </c>
      <c r="Q23">
        <v>32</v>
      </c>
      <c r="T23" t="s">
        <v>240</v>
      </c>
      <c r="U23">
        <v>1047.3922684214499</v>
      </c>
      <c r="W23" t="s">
        <v>224</v>
      </c>
      <c r="X23">
        <v>1614.0029494216401</v>
      </c>
      <c r="Z23" t="s">
        <v>253</v>
      </c>
      <c r="AA23">
        <v>5884.1820308389897</v>
      </c>
      <c r="AC23" t="s">
        <v>240</v>
      </c>
      <c r="AD23">
        <v>454.537992720614</v>
      </c>
      <c r="AF23" t="s">
        <v>224</v>
      </c>
      <c r="AG23">
        <v>240.114449109194</v>
      </c>
      <c r="AI23" t="s">
        <v>253</v>
      </c>
      <c r="AJ23">
        <v>1189.2126007398899</v>
      </c>
      <c r="AO23">
        <v>1152.3030000000001</v>
      </c>
      <c r="AP23">
        <v>1393.664</v>
      </c>
      <c r="AQ23">
        <v>1456.9380000000001</v>
      </c>
      <c r="AU23" s="18"/>
      <c r="AV23" s="18">
        <v>56.632954067227899</v>
      </c>
      <c r="AW23" s="8"/>
      <c r="AX23" s="18"/>
      <c r="AY23" s="18"/>
      <c r="AZ23" s="18"/>
      <c r="BA23" s="18"/>
      <c r="BB23" s="18"/>
      <c r="BC23" s="8"/>
      <c r="BD23" s="8"/>
      <c r="BE23" s="8"/>
      <c r="BF23" s="8"/>
      <c r="BG23" s="8"/>
      <c r="BH23" s="21"/>
      <c r="BN23" s="18">
        <v>126.747227907598</v>
      </c>
      <c r="BO23" s="18"/>
      <c r="BP23" s="18">
        <v>153.058288925835</v>
      </c>
      <c r="BQ23" s="18"/>
      <c r="BR23" s="18">
        <v>4.5792823857828404</v>
      </c>
      <c r="BS23" s="18"/>
      <c r="BU23" s="18"/>
      <c r="BW23" s="18"/>
      <c r="CH23" s="18"/>
      <c r="CI23" s="18"/>
      <c r="CJ23" s="18"/>
      <c r="CN23" s="1">
        <f>SUM(Figure3!CN16:CN22)</f>
        <v>471.06709658119411</v>
      </c>
      <c r="CO23" s="1">
        <f>Figure3!CO16/Figure3!CN23</f>
        <v>0.78120506117024191</v>
      </c>
      <c r="CV23" s="21"/>
      <c r="CW23" s="21"/>
      <c r="DL23" s="18">
        <v>115.714934115533</v>
      </c>
      <c r="DN23" s="18">
        <v>124.666228377366</v>
      </c>
      <c r="EB23" s="48" t="s">
        <v>254</v>
      </c>
      <c r="EC23" s="48"/>
      <c r="ED23" s="48"/>
      <c r="EE23" s="48"/>
      <c r="EF23" s="48"/>
      <c r="EG23" s="48"/>
      <c r="EH23" s="48"/>
      <c r="EI23" s="48"/>
      <c r="EJ23" s="48"/>
      <c r="EK23" s="48"/>
      <c r="ET23" t="s">
        <v>176</v>
      </c>
      <c r="EU23">
        <v>1.27</v>
      </c>
      <c r="EV23">
        <v>1.87</v>
      </c>
      <c r="EW23">
        <v>1.05</v>
      </c>
      <c r="EX23">
        <v>3101242</v>
      </c>
      <c r="EZ23" t="s">
        <v>171</v>
      </c>
      <c r="FA23">
        <v>1.55</v>
      </c>
      <c r="FB23">
        <v>1.96</v>
      </c>
      <c r="FC23">
        <v>1.44</v>
      </c>
      <c r="FD23">
        <v>290224</v>
      </c>
      <c r="FF23" t="s">
        <v>180</v>
      </c>
      <c r="FG23">
        <v>3.11</v>
      </c>
      <c r="FH23">
        <v>3.62</v>
      </c>
      <c r="FI23">
        <v>2.52</v>
      </c>
      <c r="FJ23">
        <v>280324</v>
      </c>
    </row>
    <row r="24" spans="1:166" ht="13.15" x14ac:dyDescent="0.4">
      <c r="A24" t="s">
        <v>255</v>
      </c>
      <c r="B24">
        <v>5961.1192749335696</v>
      </c>
      <c r="D24" s="1" t="s">
        <v>256</v>
      </c>
      <c r="E24" s="1">
        <f>AVERAGE(E3:E23)</f>
        <v>3681.0180957868206</v>
      </c>
      <c r="G24" t="s">
        <v>257</v>
      </c>
      <c r="H24">
        <v>2577.11784249333</v>
      </c>
      <c r="J24" t="s">
        <v>255</v>
      </c>
      <c r="K24">
        <v>52</v>
      </c>
      <c r="M24" s="1" t="s">
        <v>256</v>
      </c>
      <c r="N24" s="1">
        <f>AVERAGE(N3:N23)</f>
        <v>24.142857142857142</v>
      </c>
      <c r="P24" t="s">
        <v>257</v>
      </c>
      <c r="Q24">
        <v>19</v>
      </c>
      <c r="T24" t="s">
        <v>246</v>
      </c>
      <c r="U24">
        <v>1167.8445006315901</v>
      </c>
      <c r="W24" t="s">
        <v>228</v>
      </c>
      <c r="X24">
        <v>2805.49643239232</v>
      </c>
      <c r="Z24" t="s">
        <v>229</v>
      </c>
      <c r="AA24">
        <v>3089.3526240967099</v>
      </c>
      <c r="AC24" t="s">
        <v>246</v>
      </c>
      <c r="AD24">
        <v>1649.4930664179001</v>
      </c>
      <c r="AF24" t="s">
        <v>228</v>
      </c>
      <c r="AG24">
        <v>2143.5700376190698</v>
      </c>
      <c r="AI24" t="s">
        <v>229</v>
      </c>
      <c r="AJ24">
        <v>1830.1274980627099</v>
      </c>
      <c r="AO24">
        <v>1157.7449999999999</v>
      </c>
      <c r="AP24">
        <v>1302.7529999999999</v>
      </c>
      <c r="AQ24">
        <v>1520.117</v>
      </c>
      <c r="AU24" s="18"/>
      <c r="AV24" s="18">
        <v>53.2445538118941</v>
      </c>
      <c r="AW24" s="8"/>
      <c r="AX24" s="18"/>
      <c r="AY24" s="18"/>
      <c r="AZ24" s="18"/>
      <c r="BA24" s="18"/>
      <c r="BB24" s="18"/>
      <c r="BC24" s="8"/>
      <c r="BD24" s="8"/>
      <c r="BE24" s="8"/>
      <c r="BF24" s="8"/>
      <c r="BG24" s="8"/>
      <c r="BH24" s="22"/>
      <c r="BN24" s="18">
        <v>129.03646013741201</v>
      </c>
      <c r="BO24" s="18"/>
      <c r="BP24" s="18">
        <v>120.531011353907</v>
      </c>
      <c r="BQ24" s="18"/>
      <c r="BS24" s="18"/>
      <c r="CV24" s="22"/>
      <c r="CW24" s="22"/>
      <c r="CX24" s="22"/>
      <c r="DL24" s="18">
        <v>167.82506537237199</v>
      </c>
      <c r="DN24" s="18">
        <v>43.841991646518601</v>
      </c>
      <c r="EB24" s="42" t="s">
        <v>150</v>
      </c>
      <c r="EC24" s="42"/>
      <c r="ED24" s="42" t="s">
        <v>151</v>
      </c>
      <c r="EE24" s="42"/>
      <c r="EF24" s="42" t="s">
        <v>152</v>
      </c>
      <c r="EG24" s="42"/>
      <c r="EH24" s="42" t="s">
        <v>153</v>
      </c>
      <c r="EI24" s="42"/>
      <c r="EJ24" s="42" t="s">
        <v>154</v>
      </c>
      <c r="EK24" s="42"/>
      <c r="ET24" t="s">
        <v>180</v>
      </c>
      <c r="EU24">
        <v>1.27</v>
      </c>
      <c r="EV24">
        <v>1.68</v>
      </c>
      <c r="EW24">
        <v>1.27</v>
      </c>
      <c r="EX24">
        <v>3101242</v>
      </c>
      <c r="EZ24" t="s">
        <v>176</v>
      </c>
      <c r="FA24">
        <v>1.65</v>
      </c>
      <c r="FB24">
        <v>2.04</v>
      </c>
      <c r="FC24">
        <v>1.32</v>
      </c>
      <c r="FD24">
        <v>290224</v>
      </c>
      <c r="FF24" t="s">
        <v>187</v>
      </c>
      <c r="FG24">
        <v>2.0699999999999998</v>
      </c>
      <c r="FH24">
        <v>1.92</v>
      </c>
      <c r="FI24">
        <v>2.0699999999999998</v>
      </c>
      <c r="FJ24">
        <v>280324</v>
      </c>
    </row>
    <row r="25" spans="1:166" ht="13.15" x14ac:dyDescent="0.4">
      <c r="A25" t="s">
        <v>258</v>
      </c>
      <c r="B25">
        <v>7718.8235189057896</v>
      </c>
      <c r="D25" s="1" t="s">
        <v>259</v>
      </c>
      <c r="E25" s="1">
        <f>STDEV(E3:E23)</f>
        <v>2234.7554198388716</v>
      </c>
      <c r="G25" t="s">
        <v>260</v>
      </c>
      <c r="H25">
        <v>2311.0779136399701</v>
      </c>
      <c r="J25" t="s">
        <v>258</v>
      </c>
      <c r="K25">
        <v>80</v>
      </c>
      <c r="M25" s="1" t="s">
        <v>259</v>
      </c>
      <c r="N25" s="1">
        <f>STDEV(N3:N23)</f>
        <v>13.661206807181109</v>
      </c>
      <c r="P25" t="s">
        <v>260</v>
      </c>
      <c r="Q25">
        <v>12</v>
      </c>
      <c r="T25" t="s">
        <v>250</v>
      </c>
      <c r="U25">
        <v>1412.68854304193</v>
      </c>
      <c r="W25" t="s">
        <v>233</v>
      </c>
      <c r="X25">
        <v>2418.90291516262</v>
      </c>
      <c r="Z25" t="s">
        <v>234</v>
      </c>
      <c r="AA25">
        <v>2249.6337091975502</v>
      </c>
      <c r="AC25" t="s">
        <v>250</v>
      </c>
      <c r="AD25">
        <v>1093.9953866108499</v>
      </c>
      <c r="AF25" t="s">
        <v>233</v>
      </c>
      <c r="AG25">
        <v>872.37651168283605</v>
      </c>
      <c r="AI25" t="s">
        <v>234</v>
      </c>
      <c r="AJ25">
        <v>1306.7803684918199</v>
      </c>
      <c r="AO25">
        <v>1159.087</v>
      </c>
      <c r="AP25">
        <v>1270.47</v>
      </c>
      <c r="AQ25">
        <v>1230.1300000000001</v>
      </c>
      <c r="AU25" s="18"/>
      <c r="AV25" s="18">
        <v>159.136001137866</v>
      </c>
      <c r="AW25" s="8"/>
      <c r="AX25" s="18"/>
      <c r="AY25" s="18"/>
      <c r="AZ25" s="18"/>
      <c r="BA25" s="18"/>
      <c r="BB25" s="18"/>
      <c r="BC25" s="8"/>
      <c r="BD25" s="8"/>
      <c r="BE25" s="8"/>
      <c r="BF25" s="8"/>
      <c r="BG25" s="8"/>
      <c r="BM25" s="18"/>
      <c r="BN25" s="18">
        <v>98.699343518371407</v>
      </c>
      <c r="BO25" s="18"/>
      <c r="BQ25" s="18"/>
      <c r="CD25" s="47" t="s">
        <v>261</v>
      </c>
      <c r="CE25" s="47"/>
      <c r="CF25" s="47"/>
      <c r="CG25" s="47"/>
      <c r="CH25" s="47"/>
      <c r="CI25" s="47"/>
      <c r="CJ25" s="47"/>
      <c r="CK25" s="47"/>
      <c r="CL25" s="47"/>
      <c r="CM25" s="47"/>
      <c r="DK25" s="18" t="s">
        <v>186</v>
      </c>
      <c r="DL25" s="1">
        <f>SUM(Figure3!DL21:DL24)</f>
        <v>471.15075350057703</v>
      </c>
      <c r="DM25" s="1">
        <f>Figure3!DM21/Figure3!DL25</f>
        <v>0.60065700393632804</v>
      </c>
      <c r="DN25" s="1">
        <f>SUM(Figure3!DN21:DN24)</f>
        <v>383.09198235485991</v>
      </c>
      <c r="DO25" s="1">
        <f>Figure3!DO21/Figure3!DN25</f>
        <v>0.67607784012583971</v>
      </c>
      <c r="DP25" s="1">
        <f>SUM(Figure3!DP21:DP22)</f>
        <v>339.22375436568899</v>
      </c>
      <c r="DQ25" s="1">
        <f>Figure3!DQ21/Figure3!DP25</f>
        <v>0.65443530160532393</v>
      </c>
      <c r="DR25" s="1">
        <f>SUM(Figure3!DR21:DR22)</f>
        <v>273.35919968490896</v>
      </c>
      <c r="DS25" s="1">
        <f>Figure3!DS21/Figure3!DR25</f>
        <v>0.80480188796859908</v>
      </c>
      <c r="EB25" s="8" t="s">
        <v>162</v>
      </c>
      <c r="EC25" s="8" t="s">
        <v>163</v>
      </c>
      <c r="ED25" s="8" t="s">
        <v>162</v>
      </c>
      <c r="EE25" s="8" t="s">
        <v>163</v>
      </c>
      <c r="EF25" s="8" t="s">
        <v>162</v>
      </c>
      <c r="EG25" s="8" t="s">
        <v>163</v>
      </c>
      <c r="EH25" s="8" t="s">
        <v>162</v>
      </c>
      <c r="EI25" s="8" t="s">
        <v>163</v>
      </c>
      <c r="EJ25" s="8" t="s">
        <v>162</v>
      </c>
      <c r="EK25" s="8" t="s">
        <v>163</v>
      </c>
      <c r="ET25" t="s">
        <v>171</v>
      </c>
      <c r="EU25">
        <v>1.29</v>
      </c>
      <c r="EV25">
        <v>1.45</v>
      </c>
      <c r="EW25">
        <v>1.58</v>
      </c>
      <c r="EX25">
        <v>3001242</v>
      </c>
      <c r="EZ25" t="s">
        <v>180</v>
      </c>
      <c r="FA25">
        <v>2.34</v>
      </c>
      <c r="FB25">
        <v>1.89</v>
      </c>
      <c r="FC25">
        <v>2.2599999999999998</v>
      </c>
      <c r="FD25">
        <v>290224</v>
      </c>
      <c r="FF25" t="s">
        <v>192</v>
      </c>
      <c r="FG25">
        <v>2.59</v>
      </c>
      <c r="FH25">
        <v>2.97</v>
      </c>
      <c r="FI25">
        <v>3.05</v>
      </c>
      <c r="FJ25">
        <v>280324</v>
      </c>
    </row>
    <row r="26" spans="1:166" ht="13.15" x14ac:dyDescent="0.4">
      <c r="A26" t="s">
        <v>262</v>
      </c>
      <c r="B26">
        <v>3973.1814580723199</v>
      </c>
      <c r="D26" s="1" t="s">
        <v>263</v>
      </c>
      <c r="E26" s="1">
        <f>E25/SQRT(21)</f>
        <v>487.66361291068796</v>
      </c>
      <c r="G26" t="s">
        <v>264</v>
      </c>
      <c r="H26">
        <v>3520.3110086724</v>
      </c>
      <c r="J26" t="s">
        <v>262</v>
      </c>
      <c r="K26">
        <v>48</v>
      </c>
      <c r="M26" s="1" t="s">
        <v>263</v>
      </c>
      <c r="N26" s="1">
        <f>N25/SQRT(21)</f>
        <v>2.9811197275406394</v>
      </c>
      <c r="P26" t="s">
        <v>264</v>
      </c>
      <c r="Q26">
        <v>27</v>
      </c>
      <c r="T26" t="s">
        <v>255</v>
      </c>
      <c r="U26">
        <v>1368.2310735390799</v>
      </c>
      <c r="W26" t="s">
        <v>237</v>
      </c>
      <c r="X26">
        <v>2419.62916973745</v>
      </c>
      <c r="Z26" t="s">
        <v>238</v>
      </c>
      <c r="AA26">
        <v>2815.23401799469</v>
      </c>
      <c r="AC26" t="s">
        <v>255</v>
      </c>
      <c r="AD26">
        <v>1014.83792809096</v>
      </c>
      <c r="AF26" t="s">
        <v>237</v>
      </c>
      <c r="AG26">
        <v>1729.1732054229601</v>
      </c>
      <c r="AI26" t="s">
        <v>238</v>
      </c>
      <c r="AJ26">
        <v>1852.4691867645699</v>
      </c>
      <c r="AO26">
        <v>1167.9970000000001</v>
      </c>
      <c r="AP26">
        <v>1367.3630000000001</v>
      </c>
      <c r="AQ26">
        <v>1456.9469999999999</v>
      </c>
      <c r="AU26" s="18"/>
      <c r="AV26" s="18">
        <v>31.189892008370201</v>
      </c>
      <c r="AW26" s="8"/>
      <c r="AX26" s="18"/>
      <c r="AY26" s="18"/>
      <c r="AZ26" s="18"/>
      <c r="BA26" s="18"/>
      <c r="BB26" s="18"/>
      <c r="BC26" s="8"/>
      <c r="BD26" s="8"/>
      <c r="BE26" s="8"/>
      <c r="BF26" s="8"/>
      <c r="BG26" s="8"/>
      <c r="BL26" s="18" t="s">
        <v>186</v>
      </c>
      <c r="BM26" s="18"/>
      <c r="BN26" s="20">
        <f>SUM(Figure3!BN21:BN25)</f>
        <v>520.60672245810713</v>
      </c>
      <c r="BO26" s="20">
        <f>Figure3!BO21/Figure3!BN26</f>
        <v>0.73952176065298636</v>
      </c>
      <c r="BP26" s="1">
        <f>SUM(Figure3!BP21:BP24)</f>
        <v>492.40980943441394</v>
      </c>
      <c r="BQ26" s="20">
        <f>Figure3!BQ21/Figure3!BP26</f>
        <v>1.435795929435415</v>
      </c>
      <c r="BR26" s="1">
        <f>SUM(Figure3!BR21:BR25)</f>
        <v>290.62344377131723</v>
      </c>
      <c r="BS26" s="1">
        <f>Figure3!BS21/Figure3!BR26</f>
        <v>0.84989702411742396</v>
      </c>
      <c r="BT26" s="20">
        <f>SUM(Figure3!BT21:BT22)</f>
        <v>295.62169477064452</v>
      </c>
      <c r="BU26" s="1">
        <f>Figure3!BU21/Figure3!BT26</f>
        <v>0.7475770686297597</v>
      </c>
      <c r="CD26" s="42" t="s">
        <v>150</v>
      </c>
      <c r="CE26" s="42"/>
      <c r="CF26" s="42" t="s">
        <v>151</v>
      </c>
      <c r="CG26" s="42"/>
      <c r="CH26" s="42" t="s">
        <v>152</v>
      </c>
      <c r="CI26" s="42"/>
      <c r="CJ26" s="42" t="s">
        <v>153</v>
      </c>
      <c r="CK26" s="42"/>
      <c r="CL26" s="42" t="s">
        <v>154</v>
      </c>
      <c r="CM26" s="42"/>
      <c r="EB26" s="18">
        <v>130.122495582478</v>
      </c>
      <c r="EC26">
        <v>143</v>
      </c>
      <c r="ED26" s="18">
        <v>103.957473100114</v>
      </c>
      <c r="EE26">
        <v>179</v>
      </c>
      <c r="EF26" s="18">
        <v>143.300839845116</v>
      </c>
      <c r="EG26">
        <v>341</v>
      </c>
      <c r="EH26">
        <v>111.090860354189</v>
      </c>
      <c r="EI26">
        <v>131</v>
      </c>
      <c r="EJ26">
        <v>100.25007264324501</v>
      </c>
      <c r="EK26">
        <v>286</v>
      </c>
      <c r="ET26" t="s">
        <v>176</v>
      </c>
      <c r="EU26">
        <v>1.64</v>
      </c>
      <c r="EV26">
        <v>1.81</v>
      </c>
      <c r="EW26">
        <v>2.27</v>
      </c>
      <c r="EX26">
        <v>3001242</v>
      </c>
      <c r="EZ26" t="s">
        <v>171</v>
      </c>
      <c r="FA26">
        <v>1.6</v>
      </c>
      <c r="FB26">
        <v>1.73</v>
      </c>
      <c r="FD26">
        <v>200224</v>
      </c>
      <c r="FF26" t="s">
        <v>171</v>
      </c>
      <c r="FG26">
        <v>2.66</v>
      </c>
      <c r="FH26">
        <v>2.7</v>
      </c>
      <c r="FJ26">
        <v>270324</v>
      </c>
    </row>
    <row r="27" spans="1:166" ht="13.15" x14ac:dyDescent="0.4">
      <c r="A27" t="s">
        <v>265</v>
      </c>
      <c r="B27">
        <v>11399.823734969899</v>
      </c>
      <c r="G27" t="s">
        <v>266</v>
      </c>
      <c r="H27" s="2">
        <v>539.58287422698197</v>
      </c>
      <c r="J27" t="s">
        <v>265</v>
      </c>
      <c r="K27">
        <v>101</v>
      </c>
      <c r="P27" t="s">
        <v>266</v>
      </c>
      <c r="Q27">
        <v>5</v>
      </c>
      <c r="T27" t="s">
        <v>258</v>
      </c>
      <c r="U27">
        <v>1746.46093450634</v>
      </c>
      <c r="W27" t="s">
        <v>241</v>
      </c>
      <c r="X27">
        <v>4382.55257714463</v>
      </c>
      <c r="Z27" t="s">
        <v>267</v>
      </c>
      <c r="AA27">
        <v>2675.71214845233</v>
      </c>
      <c r="AC27" t="s">
        <v>258</v>
      </c>
      <c r="AD27">
        <v>204.47208513655201</v>
      </c>
      <c r="AF27" t="s">
        <v>241</v>
      </c>
      <c r="AG27">
        <v>1365.9459164198499</v>
      </c>
      <c r="AI27" t="s">
        <v>267</v>
      </c>
      <c r="AJ27">
        <v>2960.2119469199201</v>
      </c>
      <c r="AO27" s="8">
        <v>1182.81</v>
      </c>
      <c r="AP27">
        <v>1287.6300000000001</v>
      </c>
      <c r="AQ27">
        <v>1373.4949999999999</v>
      </c>
      <c r="AU27" s="18"/>
      <c r="AV27" s="20">
        <f>SUM(Figure3!AV4:AV26)</f>
        <v>2253.2038354559418</v>
      </c>
      <c r="AW27" s="8"/>
      <c r="AX27" s="18"/>
      <c r="AY27" s="18"/>
      <c r="AZ27" s="18"/>
      <c r="BA27" s="18"/>
      <c r="BB27" s="18"/>
      <c r="BC27" s="8"/>
      <c r="BD27" s="8"/>
      <c r="BE27" s="8"/>
      <c r="BF27" s="8"/>
      <c r="BG27" s="8"/>
      <c r="BM27" s="18"/>
      <c r="BN27" s="18"/>
      <c r="BO27" s="18"/>
      <c r="BQ27" s="18"/>
      <c r="CD27" s="8" t="s">
        <v>162</v>
      </c>
      <c r="CE27" s="8" t="s">
        <v>163</v>
      </c>
      <c r="CF27" s="8" t="s">
        <v>162</v>
      </c>
      <c r="CG27" s="8" t="s">
        <v>163</v>
      </c>
      <c r="CH27" s="8" t="s">
        <v>162</v>
      </c>
      <c r="CI27" s="8" t="s">
        <v>163</v>
      </c>
      <c r="CJ27" s="8" t="s">
        <v>162</v>
      </c>
      <c r="CK27" s="8" t="s">
        <v>163</v>
      </c>
      <c r="CL27" s="8" t="s">
        <v>162</v>
      </c>
      <c r="CM27" s="8" t="s">
        <v>163</v>
      </c>
      <c r="EB27" s="18">
        <v>48.941289646645203</v>
      </c>
      <c r="ED27">
        <v>45.883193157125497</v>
      </c>
      <c r="EF27" s="18">
        <v>129.275438748299</v>
      </c>
      <c r="EH27">
        <v>84.839040054761497</v>
      </c>
      <c r="EJ27">
        <v>67.849249206439694</v>
      </c>
      <c r="ET27" t="s">
        <v>180</v>
      </c>
      <c r="EU27">
        <v>1.82</v>
      </c>
      <c r="EV27">
        <v>1.69</v>
      </c>
      <c r="EW27">
        <v>1.5</v>
      </c>
      <c r="EX27">
        <v>3001242</v>
      </c>
      <c r="EZ27" t="s">
        <v>176</v>
      </c>
      <c r="FA27">
        <v>1.6</v>
      </c>
      <c r="FB27">
        <v>1.94</v>
      </c>
      <c r="FC27">
        <v>1.84</v>
      </c>
      <c r="FD27">
        <v>200224</v>
      </c>
      <c r="FF27" t="s">
        <v>176</v>
      </c>
      <c r="FG27">
        <v>2.61</v>
      </c>
      <c r="FH27">
        <v>3.48</v>
      </c>
      <c r="FI27">
        <v>3.12</v>
      </c>
      <c r="FJ27">
        <v>270324</v>
      </c>
    </row>
    <row r="28" spans="1:166" ht="13.15" x14ac:dyDescent="0.4">
      <c r="A28" t="s">
        <v>268</v>
      </c>
      <c r="B28">
        <v>8580.9727999579809</v>
      </c>
      <c r="G28" t="s">
        <v>269</v>
      </c>
      <c r="H28">
        <v>2947.6950977185102</v>
      </c>
      <c r="J28" t="s">
        <v>268</v>
      </c>
      <c r="K28">
        <v>89</v>
      </c>
      <c r="P28" t="s">
        <v>269</v>
      </c>
      <c r="Q28">
        <v>9</v>
      </c>
      <c r="T28" t="s">
        <v>262</v>
      </c>
      <c r="U28">
        <v>959.74353327821802</v>
      </c>
      <c r="W28" t="s">
        <v>270</v>
      </c>
      <c r="X28">
        <v>4031.8930923568701</v>
      </c>
      <c r="Z28" t="s">
        <v>242</v>
      </c>
      <c r="AA28">
        <v>1860.1280545461</v>
      </c>
      <c r="AC28" t="s">
        <v>262</v>
      </c>
      <c r="AD28">
        <v>1207.1218577106399</v>
      </c>
      <c r="AF28" t="s">
        <v>270</v>
      </c>
      <c r="AG28">
        <v>1988.77504431016</v>
      </c>
      <c r="AI28" t="s">
        <v>242</v>
      </c>
      <c r="AJ28">
        <v>3145.7231660048001</v>
      </c>
      <c r="AO28">
        <v>1184.9829999999999</v>
      </c>
      <c r="AP28">
        <v>1513.816</v>
      </c>
      <c r="AQ28">
        <v>1464.59</v>
      </c>
      <c r="AU28" s="18" t="s">
        <v>186</v>
      </c>
      <c r="AV28" s="18"/>
      <c r="AW28" s="1">
        <f>Figure3!AW4/Figure3!AV27</f>
        <v>3.5948811521355074E-2</v>
      </c>
      <c r="AX28" s="18"/>
      <c r="AY28" s="20">
        <f>Figure3!AY4/Figure3!AX6</f>
        <v>0.39315270761224813</v>
      </c>
      <c r="AZ28" s="18"/>
      <c r="BA28" s="20">
        <f>Figure3!BA4/Figure3!AZ6</f>
        <v>0.10658163829978984</v>
      </c>
      <c r="BB28" s="18"/>
      <c r="BC28" s="1">
        <f>Figure3!BC4/Figure3!BB6</f>
        <v>0.29361401200580944</v>
      </c>
      <c r="BD28" s="8"/>
      <c r="BE28" s="1">
        <f>Figure3!BE4/Figure3!BD6</f>
        <v>0.16099840037004431</v>
      </c>
      <c r="BF28" s="8"/>
      <c r="BG28" s="1">
        <f>Figure3!BG4/Figure3!BF6</f>
        <v>0.36770713883310646</v>
      </c>
      <c r="BI28" s="1">
        <f>Figure3!BI4/Figure3!BH7</f>
        <v>0.25112973460594401</v>
      </c>
      <c r="BM28" s="18"/>
      <c r="BN28" s="18"/>
      <c r="BO28" s="18"/>
      <c r="BQ28" s="18"/>
      <c r="CD28" s="18">
        <v>195.272139375102</v>
      </c>
      <c r="CE28">
        <v>485</v>
      </c>
      <c r="CF28" s="18">
        <v>214.58663795050899</v>
      </c>
      <c r="CG28" s="18">
        <v>231</v>
      </c>
      <c r="CH28" s="18">
        <v>172.711816609398</v>
      </c>
      <c r="CI28">
        <v>347</v>
      </c>
      <c r="CJ28">
        <v>124.112374327697</v>
      </c>
      <c r="CK28">
        <v>237</v>
      </c>
      <c r="CL28">
        <v>37.023192711634898</v>
      </c>
      <c r="CM28">
        <v>259</v>
      </c>
      <c r="CU28" s="18" t="s">
        <v>186</v>
      </c>
      <c r="CY28" s="1">
        <f>Figure3!CY4/Figure3!CX6</f>
        <v>0.23900491592243892</v>
      </c>
      <c r="DA28" s="1">
        <f>Figure3!DA4/Figure3!CZ6</f>
        <v>6.2343557492875581E-2</v>
      </c>
      <c r="DC28" s="1">
        <f>Figure3!DC4/Figure3!DB6</f>
        <v>0.14218214493146911</v>
      </c>
      <c r="DG28" s="1">
        <f>Figure3!DG4/Figure3!DF6</f>
        <v>0.28764141891687361</v>
      </c>
      <c r="DI28" s="1">
        <f>Figure3!DI4/Figure3!DH4</f>
        <v>0.15220730069805022</v>
      </c>
      <c r="EB28" s="18">
        <v>34.718110220659902</v>
      </c>
      <c r="ED28">
        <v>67.465061161866402</v>
      </c>
      <c r="EF28" s="18">
        <v>105.83405981046</v>
      </c>
      <c r="EH28">
        <v>163.146757492446</v>
      </c>
      <c r="EJ28">
        <v>91.266969739852499</v>
      </c>
      <c r="ET28" t="s">
        <v>187</v>
      </c>
      <c r="EU28">
        <v>1.38</v>
      </c>
      <c r="EV28">
        <v>2.12</v>
      </c>
      <c r="EW28">
        <v>1.91</v>
      </c>
      <c r="EX28">
        <v>3001242</v>
      </c>
      <c r="EZ28" t="s">
        <v>180</v>
      </c>
      <c r="FA28">
        <v>2.4900000000000002</v>
      </c>
      <c r="FB28">
        <v>1.68</v>
      </c>
      <c r="FC28">
        <v>1.45</v>
      </c>
      <c r="FD28">
        <v>200224</v>
      </c>
      <c r="FF28" t="s">
        <v>180</v>
      </c>
      <c r="FG28">
        <v>2.8</v>
      </c>
      <c r="FH28">
        <v>2.99</v>
      </c>
      <c r="FI28">
        <v>2.77</v>
      </c>
      <c r="FJ28">
        <v>270324</v>
      </c>
    </row>
    <row r="29" spans="1:166" x14ac:dyDescent="0.35">
      <c r="A29" t="s">
        <v>271</v>
      </c>
      <c r="B29">
        <v>9419.8041389847003</v>
      </c>
      <c r="G29" t="s">
        <v>272</v>
      </c>
      <c r="H29" s="2">
        <v>832.58763820944102</v>
      </c>
      <c r="J29" t="s">
        <v>271</v>
      </c>
      <c r="K29">
        <v>108</v>
      </c>
      <c r="P29" t="s">
        <v>272</v>
      </c>
      <c r="Q29">
        <v>5</v>
      </c>
      <c r="T29" t="s">
        <v>265</v>
      </c>
      <c r="U29">
        <v>964.96397057940101</v>
      </c>
      <c r="W29" t="s">
        <v>247</v>
      </c>
      <c r="X29">
        <v>3122.5108883268299</v>
      </c>
      <c r="Z29" t="s">
        <v>248</v>
      </c>
      <c r="AA29">
        <v>3819.2578350550998</v>
      </c>
      <c r="AC29" t="s">
        <v>265</v>
      </c>
      <c r="AD29">
        <v>443.00600101860698</v>
      </c>
      <c r="AF29" t="s">
        <v>247</v>
      </c>
      <c r="AG29">
        <v>2353.5712358337501</v>
      </c>
      <c r="AI29" t="s">
        <v>248</v>
      </c>
      <c r="AJ29">
        <v>1799.9511380926799</v>
      </c>
      <c r="AO29">
        <v>1192.471</v>
      </c>
      <c r="AP29">
        <v>1354.9929999999999</v>
      </c>
      <c r="AQ29">
        <v>1494.229</v>
      </c>
      <c r="AU29" s="18"/>
      <c r="AV29" s="18"/>
      <c r="AW29" s="8"/>
      <c r="AX29" s="18"/>
      <c r="AY29" s="18"/>
      <c r="AZ29" s="18"/>
      <c r="BA29" s="18"/>
      <c r="BB29" s="18"/>
      <c r="BC29" s="8"/>
      <c r="BD29" s="8"/>
      <c r="BE29" s="8"/>
      <c r="BF29" s="8"/>
      <c r="BG29" s="8"/>
      <c r="BM29" s="18"/>
      <c r="CD29" s="18">
        <v>61.358420916032102</v>
      </c>
      <c r="CF29" s="18">
        <v>109.538685037153</v>
      </c>
      <c r="CG29" s="18"/>
      <c r="CH29" s="18">
        <v>67.682447140346795</v>
      </c>
      <c r="CJ29">
        <v>46.652836396356797</v>
      </c>
      <c r="CL29">
        <v>117.81659828661</v>
      </c>
      <c r="EB29" s="18">
        <v>3.6787826694730099</v>
      </c>
      <c r="ED29">
        <v>60.541588313717</v>
      </c>
      <c r="EJ29">
        <v>126.742692810779</v>
      </c>
      <c r="ET29" t="s">
        <v>192</v>
      </c>
      <c r="EU29">
        <v>2.1</v>
      </c>
      <c r="EV29">
        <v>1.84</v>
      </c>
      <c r="EW29">
        <v>1.68</v>
      </c>
      <c r="EX29">
        <v>3001242</v>
      </c>
      <c r="EZ29" t="s">
        <v>187</v>
      </c>
      <c r="FA29">
        <v>2.35</v>
      </c>
      <c r="FB29">
        <v>2.81</v>
      </c>
      <c r="FC29">
        <v>2.85</v>
      </c>
      <c r="FD29">
        <v>200224</v>
      </c>
      <c r="FF29" t="s">
        <v>187</v>
      </c>
      <c r="FG29">
        <v>2.97</v>
      </c>
      <c r="FH29">
        <v>2.96</v>
      </c>
      <c r="FI29">
        <v>3.23</v>
      </c>
      <c r="FJ29">
        <v>270324</v>
      </c>
    </row>
    <row r="30" spans="1:166" ht="13.15" x14ac:dyDescent="0.4">
      <c r="A30" t="s">
        <v>273</v>
      </c>
      <c r="B30">
        <v>9139.4481901968502</v>
      </c>
      <c r="G30" t="s">
        <v>274</v>
      </c>
      <c r="H30">
        <v>3128.4651607965502</v>
      </c>
      <c r="J30" t="s">
        <v>273</v>
      </c>
      <c r="K30">
        <v>114</v>
      </c>
      <c r="P30" t="s">
        <v>274</v>
      </c>
      <c r="Q30">
        <v>29</v>
      </c>
      <c r="T30" t="s">
        <v>268</v>
      </c>
      <c r="U30">
        <v>1723.7978000073699</v>
      </c>
      <c r="W30" t="s">
        <v>251</v>
      </c>
      <c r="X30">
        <v>3764.60922736972</v>
      </c>
      <c r="Z30" t="s">
        <v>252</v>
      </c>
      <c r="AA30">
        <v>3702.4064179356701</v>
      </c>
      <c r="AC30" t="s">
        <v>268</v>
      </c>
      <c r="AD30">
        <v>1038.6761117992301</v>
      </c>
      <c r="AF30" t="s">
        <v>251</v>
      </c>
      <c r="AG30">
        <v>3764.60922736972</v>
      </c>
      <c r="AI30" t="s">
        <v>252</v>
      </c>
      <c r="AJ30">
        <v>1445.8382271865501</v>
      </c>
      <c r="AO30">
        <v>1226.961</v>
      </c>
      <c r="AP30">
        <v>1262.1199999999999</v>
      </c>
      <c r="AQ30">
        <v>1345.8489999999999</v>
      </c>
      <c r="AU30" s="18"/>
      <c r="AV30" s="18"/>
      <c r="AX30" s="18"/>
      <c r="AY30" s="18"/>
      <c r="AZ30" s="18"/>
      <c r="BA30" s="18"/>
      <c r="BB30" s="18"/>
      <c r="BC30" s="8"/>
      <c r="BD30" s="8"/>
      <c r="BE30" s="8"/>
      <c r="BF30" s="8"/>
      <c r="BG30" s="8"/>
      <c r="BM30" s="18"/>
      <c r="CD30" s="18">
        <v>92.050693847929494</v>
      </c>
      <c r="CF30" s="18">
        <v>185.98422688631601</v>
      </c>
      <c r="CH30" s="18">
        <v>137.507182188271</v>
      </c>
      <c r="CJ30">
        <v>127.72938389786501</v>
      </c>
      <c r="CL30">
        <v>28.3920854975424</v>
      </c>
      <c r="EA30" s="18" t="s">
        <v>186</v>
      </c>
      <c r="EB30" s="1">
        <f>SUM(Figure3!EB26:EB29)</f>
        <v>217.4606781192561</v>
      </c>
      <c r="EC30" s="1">
        <f>Figure3!EC26/Figure3!EB30</f>
        <v>0.65759015025961776</v>
      </c>
      <c r="ED30" s="1">
        <f>SUM(Figure3!ED26:ED29)</f>
        <v>277.84731573282289</v>
      </c>
      <c r="EE30" s="1">
        <f>Figure3!EE26/Figure3!ED30</f>
        <v>0.64423872344379907</v>
      </c>
      <c r="EF30" s="1">
        <f>SUM(Figure3!EF26:EF29)</f>
        <v>378.41033840387502</v>
      </c>
      <c r="EG30" s="1">
        <f>Figure3!EG26/Figure3!EF30</f>
        <v>0.90113817037433264</v>
      </c>
      <c r="EH30" s="1">
        <f>SUM(Figure3!EH26:EH29)</f>
        <v>359.07665790139652</v>
      </c>
      <c r="EI30" s="1">
        <f>Figure3!EI26/Figure3!EH30</f>
        <v>0.36482460532417282</v>
      </c>
      <c r="EJ30" s="1">
        <f>SUM(Figure3!EJ26:EJ29)</f>
        <v>386.10898440031622</v>
      </c>
      <c r="EK30" s="1">
        <f>Figure3!EK26/Figure3!EJ30</f>
        <v>0.74072350438620294</v>
      </c>
      <c r="EV30" t="s">
        <v>256</v>
      </c>
      <c r="EW30" s="1">
        <f>AVERAGE(EU4:EW29)</f>
        <v>1.8082894736842103</v>
      </c>
      <c r="EZ30" t="s">
        <v>192</v>
      </c>
      <c r="FA30">
        <v>2.08</v>
      </c>
      <c r="FB30">
        <v>2.46</v>
      </c>
      <c r="FC30">
        <v>2.27</v>
      </c>
      <c r="FD30">
        <v>200224</v>
      </c>
      <c r="FF30" t="s">
        <v>192</v>
      </c>
      <c r="FG30">
        <v>2.93</v>
      </c>
      <c r="FH30">
        <v>3.36</v>
      </c>
      <c r="FJ30">
        <v>270324</v>
      </c>
    </row>
    <row r="31" spans="1:166" ht="13.15" x14ac:dyDescent="0.4">
      <c r="A31" t="s">
        <v>275</v>
      </c>
      <c r="B31">
        <v>11338.8476934106</v>
      </c>
      <c r="D31" s="1"/>
      <c r="E31" s="1"/>
      <c r="G31" t="s">
        <v>276</v>
      </c>
      <c r="H31">
        <v>2456.12485691231</v>
      </c>
      <c r="J31" t="s">
        <v>275</v>
      </c>
      <c r="K31">
        <v>122</v>
      </c>
      <c r="P31" t="s">
        <v>276</v>
      </c>
      <c r="Q31">
        <v>11</v>
      </c>
      <c r="T31" t="s">
        <v>271</v>
      </c>
      <c r="U31">
        <v>1162.5576639823701</v>
      </c>
      <c r="W31" s="1" t="s">
        <v>256</v>
      </c>
      <c r="X31" s="1">
        <f>AVERAGE(X3:X30)</f>
        <v>3607.7426457293323</v>
      </c>
      <c r="Z31" t="s">
        <v>257</v>
      </c>
      <c r="AA31">
        <v>5812.8471618043204</v>
      </c>
      <c r="AC31" t="s">
        <v>271</v>
      </c>
      <c r="AD31">
        <v>1032.0198217407799</v>
      </c>
      <c r="AF31" s="1" t="s">
        <v>256</v>
      </c>
      <c r="AG31" s="1">
        <f>AVERAGE(AG3:AG30)</f>
        <v>1871.6755006154351</v>
      </c>
      <c r="AH31" s="1"/>
      <c r="AI31" t="s">
        <v>257</v>
      </c>
      <c r="AJ31">
        <v>2367.7612429084002</v>
      </c>
      <c r="AO31">
        <v>1228.56</v>
      </c>
      <c r="AP31">
        <v>1436.1130000000001</v>
      </c>
      <c r="AQ31">
        <v>1249.374</v>
      </c>
      <c r="AU31" s="21"/>
      <c r="AV31" s="47" t="s">
        <v>277</v>
      </c>
      <c r="AW31" s="47"/>
      <c r="AX31" s="47"/>
      <c r="AY31" s="47"/>
      <c r="AZ31" s="47"/>
      <c r="BA31" s="47"/>
      <c r="BB31" s="47"/>
      <c r="BC31" s="47"/>
      <c r="BD31" s="47"/>
      <c r="BE31" s="47"/>
      <c r="BF31" s="8"/>
      <c r="BG31" s="8"/>
      <c r="BM31" s="18"/>
      <c r="BN31" s="47" t="s">
        <v>278</v>
      </c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CD31" s="18">
        <v>40.137957749366997</v>
      </c>
      <c r="CF31" s="20">
        <f>SUM(Figure3!CF28:CF30)</f>
        <v>510.10954987397804</v>
      </c>
      <c r="CG31" s="20">
        <f>Figure3!CG28/Figure3!CF31</f>
        <v>0.45284390393606289</v>
      </c>
      <c r="CH31" s="20">
        <f>SUM(Figure3!CH28:CH30)</f>
        <v>377.9014459380158</v>
      </c>
      <c r="CI31" s="20">
        <f>Figure3!CI28/Figure3!CH31</f>
        <v>0.918228823228466</v>
      </c>
      <c r="CJ31">
        <v>184.77616046695999</v>
      </c>
      <c r="CL31">
        <v>20.412125592277398</v>
      </c>
      <c r="CV31" s="48" t="s">
        <v>279</v>
      </c>
      <c r="CW31" s="48"/>
      <c r="CX31" s="48"/>
      <c r="CY31" s="48"/>
      <c r="CZ31" s="48"/>
      <c r="DA31" s="48"/>
      <c r="DB31" s="48"/>
      <c r="DC31" s="48"/>
      <c r="DD31" s="48"/>
      <c r="DE31" s="48"/>
      <c r="DL31" s="48" t="s">
        <v>280</v>
      </c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EV31" t="s">
        <v>281</v>
      </c>
      <c r="EW31" s="1">
        <f>STDEV(EU4:EW29)</f>
        <v>0.41055535772218077</v>
      </c>
      <c r="FB31" t="s">
        <v>256</v>
      </c>
      <c r="FC31" s="1">
        <f>AVERAGE(FA4:FC30)</f>
        <v>1.9892207792207794</v>
      </c>
      <c r="FH31" t="s">
        <v>256</v>
      </c>
      <c r="FI31" s="1">
        <f>AVERAGE(FG4:FI30)</f>
        <v>2.5189610389610384</v>
      </c>
    </row>
    <row r="32" spans="1:166" ht="13.15" x14ac:dyDescent="0.4">
      <c r="A32" t="s">
        <v>282</v>
      </c>
      <c r="B32">
        <v>8627.6111081372892</v>
      </c>
      <c r="D32" s="1"/>
      <c r="E32" s="1"/>
      <c r="G32" s="1" t="s">
        <v>256</v>
      </c>
      <c r="H32" s="1">
        <f>AVERAGE(H3:H31)</f>
        <v>3705.5662712413218</v>
      </c>
      <c r="J32" t="s">
        <v>282</v>
      </c>
      <c r="K32">
        <v>105</v>
      </c>
      <c r="O32" s="1"/>
      <c r="P32" s="1" t="s">
        <v>256</v>
      </c>
      <c r="Q32" s="1">
        <f>AVERAGE(Q3:Q31)</f>
        <v>24</v>
      </c>
      <c r="T32" t="s">
        <v>273</v>
      </c>
      <c r="U32">
        <v>909.41219035859899</v>
      </c>
      <c r="W32" s="1" t="s">
        <v>259</v>
      </c>
      <c r="X32" s="1">
        <f>STDEV(X3:X30)</f>
        <v>1296.6651782288884</v>
      </c>
      <c r="Z32" t="s">
        <v>283</v>
      </c>
      <c r="AA32">
        <v>3008.7518472728102</v>
      </c>
      <c r="AC32" t="s">
        <v>273</v>
      </c>
      <c r="AD32">
        <v>1085.8066613213</v>
      </c>
      <c r="AF32" s="1" t="s">
        <v>259</v>
      </c>
      <c r="AG32" s="1">
        <f>STDEV(AG3:AG30)</f>
        <v>746.8494041517813</v>
      </c>
      <c r="AH32" s="1"/>
      <c r="AI32" t="s">
        <v>283</v>
      </c>
      <c r="AJ32">
        <v>2461.5618880748698</v>
      </c>
      <c r="AO32">
        <v>1238.4670000000001</v>
      </c>
      <c r="AP32">
        <v>1303.317</v>
      </c>
      <c r="AQ32">
        <f>Figure3!AQ31/3</f>
        <v>416.45800000000003</v>
      </c>
      <c r="AU32" s="21"/>
      <c r="AV32" s="42" t="s">
        <v>150</v>
      </c>
      <c r="AW32" s="42"/>
      <c r="AX32" s="42" t="s">
        <v>151</v>
      </c>
      <c r="AY32" s="42"/>
      <c r="AZ32" s="42" t="s">
        <v>152</v>
      </c>
      <c r="BA32" s="42"/>
      <c r="BB32" s="42" t="s">
        <v>153</v>
      </c>
      <c r="BC32" s="42"/>
      <c r="BD32" s="42" t="s">
        <v>154</v>
      </c>
      <c r="BE32" s="42"/>
      <c r="BF32" s="19"/>
      <c r="BG32" s="8"/>
      <c r="BH32" s="19"/>
      <c r="BI32" s="8"/>
      <c r="BM32" s="18"/>
      <c r="BN32" s="42" t="s">
        <v>150</v>
      </c>
      <c r="BO32" s="42"/>
      <c r="BP32" s="42" t="s">
        <v>151</v>
      </c>
      <c r="BQ32" s="42"/>
      <c r="BR32" s="42" t="s">
        <v>152</v>
      </c>
      <c r="BS32" s="42"/>
      <c r="BT32" s="42" t="s">
        <v>153</v>
      </c>
      <c r="BU32" s="42"/>
      <c r="BV32" s="42" t="s">
        <v>154</v>
      </c>
      <c r="BW32" s="42"/>
      <c r="BX32" s="42" t="s">
        <v>155</v>
      </c>
      <c r="BY32" s="42"/>
      <c r="BZ32" s="19"/>
      <c r="CA32" s="8"/>
      <c r="CC32" s="18" t="s">
        <v>186</v>
      </c>
      <c r="CD32" s="1">
        <f>SUM(Figure3!CD28:CD31)</f>
        <v>388.81921188843057</v>
      </c>
      <c r="CE32" s="1">
        <f>Figure3!CE28/Figure3!CD32</f>
        <v>1.2473663470599492</v>
      </c>
      <c r="CF32" s="18"/>
      <c r="CG32" s="18"/>
      <c r="CH32" s="18"/>
      <c r="CJ32" s="1">
        <f>SUM(Figure3!CJ28:CJ31)</f>
        <v>483.27075508887879</v>
      </c>
      <c r="CK32" s="1">
        <f>Figure3!CK28/Figure3!CJ32</f>
        <v>0.49040832184520061</v>
      </c>
      <c r="CL32">
        <v>125.298423558712</v>
      </c>
      <c r="CV32" s="42" t="s">
        <v>150</v>
      </c>
      <c r="CW32" s="42"/>
      <c r="CX32" s="42" t="s">
        <v>151</v>
      </c>
      <c r="CY32" s="42"/>
      <c r="CZ32" s="42" t="s">
        <v>152</v>
      </c>
      <c r="DA32" s="42"/>
      <c r="DB32" s="42" t="s">
        <v>153</v>
      </c>
      <c r="DC32" s="42"/>
      <c r="DD32" s="42" t="s">
        <v>154</v>
      </c>
      <c r="DE32" s="42"/>
      <c r="DL32" s="42" t="s">
        <v>150</v>
      </c>
      <c r="DM32" s="42"/>
      <c r="DN32" s="42" t="s">
        <v>151</v>
      </c>
      <c r="DO32" s="42"/>
      <c r="DP32" s="42" t="s">
        <v>152</v>
      </c>
      <c r="DQ32" s="42"/>
      <c r="DR32" s="42" t="s">
        <v>153</v>
      </c>
      <c r="DS32" s="42"/>
      <c r="DT32" s="42" t="s">
        <v>154</v>
      </c>
      <c r="DU32" s="42"/>
      <c r="DV32" s="42" t="s">
        <v>155</v>
      </c>
      <c r="DW32" s="42"/>
      <c r="EV32" t="s">
        <v>284</v>
      </c>
      <c r="EW32" s="1">
        <f>STDEV(EU5:EW30)/SQRT(76)</f>
        <v>4.6308435547337747E-2</v>
      </c>
      <c r="FB32" t="s">
        <v>281</v>
      </c>
      <c r="FC32" s="1">
        <f>STDEV(FA4:FC30)</f>
        <v>0.4352850434327194</v>
      </c>
      <c r="FH32" t="s">
        <v>281</v>
      </c>
      <c r="FI32" s="1">
        <f>STDEV(FG4:FI30)</f>
        <v>0.55144209128521793</v>
      </c>
    </row>
    <row r="33" spans="1:165" ht="13.15" x14ac:dyDescent="0.4">
      <c r="A33" t="s">
        <v>285</v>
      </c>
      <c r="B33">
        <v>13194.4080509123</v>
      </c>
      <c r="D33" s="1"/>
      <c r="E33" s="1"/>
      <c r="G33" s="1" t="s">
        <v>259</v>
      </c>
      <c r="H33" s="1">
        <f>STDEV(H3:H31)</f>
        <v>2404.4182023847575</v>
      </c>
      <c r="J33" t="s">
        <v>285</v>
      </c>
      <c r="K33">
        <v>124</v>
      </c>
      <c r="O33" s="1"/>
      <c r="P33" s="1" t="s">
        <v>259</v>
      </c>
      <c r="Q33" s="1">
        <f>STDEV(Q3:Q31)</f>
        <v>18.466185312619388</v>
      </c>
      <c r="T33" t="s">
        <v>275</v>
      </c>
      <c r="U33">
        <v>901.32225258146104</v>
      </c>
      <c r="W33" s="1" t="s">
        <v>263</v>
      </c>
      <c r="X33" s="1">
        <f>X32/SQRT(28)</f>
        <v>245.04668537934873</v>
      </c>
      <c r="Z33" t="s">
        <v>260</v>
      </c>
      <c r="AA33">
        <v>2422.1199621855699</v>
      </c>
      <c r="AC33" t="s">
        <v>275</v>
      </c>
      <c r="AD33">
        <v>2484.1278702874201</v>
      </c>
      <c r="AF33" s="1" t="s">
        <v>263</v>
      </c>
      <c r="AG33" s="1">
        <f>AG32/SQRT(28)</f>
        <v>141.14127072874169</v>
      </c>
      <c r="AI33" t="s">
        <v>260</v>
      </c>
      <c r="AJ33">
        <v>3915.30005892185</v>
      </c>
      <c r="AO33">
        <v>1240.1369999999999</v>
      </c>
      <c r="AP33">
        <v>1276.229</v>
      </c>
      <c r="AQ33">
        <v>1138.67</v>
      </c>
      <c r="AU33" s="18"/>
      <c r="AV33" s="8" t="s">
        <v>162</v>
      </c>
      <c r="AW33" s="8" t="s">
        <v>163</v>
      </c>
      <c r="AX33" s="8" t="s">
        <v>162</v>
      </c>
      <c r="AY33" s="8" t="s">
        <v>163</v>
      </c>
      <c r="AZ33" s="8" t="s">
        <v>162</v>
      </c>
      <c r="BA33" s="8" t="s">
        <v>163</v>
      </c>
      <c r="BB33" s="8" t="s">
        <v>162</v>
      </c>
      <c r="BC33" s="8" t="s">
        <v>163</v>
      </c>
      <c r="BD33" s="8" t="s">
        <v>162</v>
      </c>
      <c r="BE33" s="8" t="s">
        <v>163</v>
      </c>
      <c r="BF33" s="8"/>
      <c r="BG33" s="8"/>
      <c r="BH33" s="8"/>
      <c r="BI33" s="8"/>
      <c r="BM33" s="18"/>
      <c r="BN33" s="8" t="s">
        <v>162</v>
      </c>
      <c r="BO33" s="8" t="s">
        <v>163</v>
      </c>
      <c r="BP33" s="8" t="s">
        <v>162</v>
      </c>
      <c r="BQ33" s="8" t="s">
        <v>163</v>
      </c>
      <c r="BR33" s="8" t="s">
        <v>162</v>
      </c>
      <c r="BS33" s="8" t="s">
        <v>163</v>
      </c>
      <c r="BT33" s="8" t="s">
        <v>162</v>
      </c>
      <c r="BU33" s="8" t="s">
        <v>163</v>
      </c>
      <c r="BV33" s="8" t="s">
        <v>162</v>
      </c>
      <c r="BW33" s="8" t="s">
        <v>163</v>
      </c>
      <c r="BX33" s="8" t="s">
        <v>162</v>
      </c>
      <c r="BY33" s="8" t="s">
        <v>163</v>
      </c>
      <c r="BZ33" s="8"/>
      <c r="CA33" s="8"/>
      <c r="CF33" s="18"/>
      <c r="CG33" s="18"/>
      <c r="CH33" s="18"/>
      <c r="CL33" s="1">
        <f>SUM(Figure3!CL28:CL32)</f>
        <v>328.94242564677671</v>
      </c>
      <c r="CM33" s="1">
        <f>Figure3!CM28/Figure3!CL33</f>
        <v>0.78737183107574593</v>
      </c>
      <c r="CV33" s="8" t="s">
        <v>162</v>
      </c>
      <c r="CW33" s="8" t="s">
        <v>163</v>
      </c>
      <c r="CX33" s="8" t="s">
        <v>162</v>
      </c>
      <c r="CY33" s="8" t="s">
        <v>163</v>
      </c>
      <c r="CZ33" s="8" t="s">
        <v>162</v>
      </c>
      <c r="DA33" s="8" t="s">
        <v>163</v>
      </c>
      <c r="DB33" s="8" t="s">
        <v>162</v>
      </c>
      <c r="DC33" s="8" t="s">
        <v>163</v>
      </c>
      <c r="DD33" s="8" t="s">
        <v>162</v>
      </c>
      <c r="DE33" s="8" t="s">
        <v>163</v>
      </c>
      <c r="DL33" s="8" t="s">
        <v>162</v>
      </c>
      <c r="DM33" s="8" t="s">
        <v>163</v>
      </c>
      <c r="DN33" s="8" t="s">
        <v>162</v>
      </c>
      <c r="DO33" s="8" t="s">
        <v>163</v>
      </c>
      <c r="DP33" s="8" t="s">
        <v>162</v>
      </c>
      <c r="DQ33" s="8" t="s">
        <v>163</v>
      </c>
      <c r="DR33" s="8" t="s">
        <v>162</v>
      </c>
      <c r="DS33" s="8" t="s">
        <v>163</v>
      </c>
      <c r="DT33" s="8" t="s">
        <v>162</v>
      </c>
      <c r="DU33" s="8" t="s">
        <v>163</v>
      </c>
      <c r="DV33" s="8" t="s">
        <v>162</v>
      </c>
      <c r="DW33" s="8" t="s">
        <v>163</v>
      </c>
      <c r="EB33" s="48" t="s">
        <v>286</v>
      </c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FB33" t="s">
        <v>284</v>
      </c>
      <c r="FC33" s="1">
        <f>STDEV(FA5:FC31)/SQRT(77)</f>
        <v>4.9610527242026137E-2</v>
      </c>
      <c r="FH33" t="s">
        <v>284</v>
      </c>
      <c r="FI33" s="1">
        <f>STDEV(FG5:FI31)/SQRT(75)</f>
        <v>6.3314149687584184E-2</v>
      </c>
    </row>
    <row r="34" spans="1:165" ht="13.15" x14ac:dyDescent="0.4">
      <c r="A34" t="s">
        <v>287</v>
      </c>
      <c r="B34">
        <v>9258.7821244070601</v>
      </c>
      <c r="G34" s="1" t="s">
        <v>263</v>
      </c>
      <c r="H34" s="1">
        <f>H33/SQRT(29)</f>
        <v>446.48925121089667</v>
      </c>
      <c r="J34" t="s">
        <v>287</v>
      </c>
      <c r="K34">
        <v>75</v>
      </c>
      <c r="O34" s="1"/>
      <c r="P34" s="1" t="s">
        <v>263</v>
      </c>
      <c r="Q34" s="1">
        <f>STDEV(Q3:Q31)/SQRT(29)</f>
        <v>3.4290845264669656</v>
      </c>
      <c r="T34" t="s">
        <v>282</v>
      </c>
      <c r="U34">
        <v>2451.4339916218501</v>
      </c>
      <c r="Z34" t="s">
        <v>264</v>
      </c>
      <c r="AA34">
        <v>2504.50841345141</v>
      </c>
      <c r="AC34" t="s">
        <v>282</v>
      </c>
      <c r="AD34">
        <v>547.90789369126901</v>
      </c>
      <c r="AI34" t="s">
        <v>264</v>
      </c>
      <c r="AJ34">
        <v>1587.9988297672701</v>
      </c>
      <c r="AO34">
        <v>1245.595</v>
      </c>
      <c r="AP34">
        <v>1331.45</v>
      </c>
      <c r="AQ34">
        <v>1396.742</v>
      </c>
      <c r="AU34" s="18"/>
      <c r="AV34" s="18">
        <v>80.114042927830994</v>
      </c>
      <c r="AW34" s="18">
        <v>47</v>
      </c>
      <c r="AX34">
        <v>196.07949692216999</v>
      </c>
      <c r="AY34">
        <v>99</v>
      </c>
      <c r="AZ34" s="18">
        <v>159.39458470975001</v>
      </c>
      <c r="BA34" s="18">
        <v>240</v>
      </c>
      <c r="BB34" s="8">
        <v>94.736344852660594</v>
      </c>
      <c r="BC34" s="18">
        <v>91</v>
      </c>
      <c r="BD34">
        <v>152.60459025937701</v>
      </c>
      <c r="BE34" s="18">
        <v>95</v>
      </c>
      <c r="BF34" s="8"/>
      <c r="BG34" s="8"/>
      <c r="BN34" s="18">
        <v>157.153670369558</v>
      </c>
      <c r="BO34" s="18">
        <v>269</v>
      </c>
      <c r="BP34" s="18">
        <v>156.56647920920199</v>
      </c>
      <c r="BQ34" s="18">
        <v>275</v>
      </c>
      <c r="BR34" s="18">
        <v>72.737450173438702</v>
      </c>
      <c r="BS34">
        <v>368</v>
      </c>
      <c r="BT34" s="18">
        <v>163.96586580292899</v>
      </c>
      <c r="BU34">
        <v>484</v>
      </c>
      <c r="BV34" s="18">
        <v>241.81175444066599</v>
      </c>
      <c r="BW34">
        <v>414</v>
      </c>
      <c r="BX34" s="18">
        <v>111.90224743712599</v>
      </c>
      <c r="BY34">
        <v>288</v>
      </c>
      <c r="CV34" s="18">
        <v>41.155162084483102</v>
      </c>
      <c r="CW34" s="18">
        <v>15</v>
      </c>
      <c r="CX34">
        <v>107.66534464757</v>
      </c>
      <c r="CY34">
        <v>30</v>
      </c>
      <c r="CZ34">
        <v>158.434308219108</v>
      </c>
      <c r="DA34">
        <v>140</v>
      </c>
      <c r="DB34">
        <v>56.962863134039701</v>
      </c>
      <c r="DC34">
        <v>44</v>
      </c>
      <c r="DD34">
        <v>3.2826958132487598</v>
      </c>
      <c r="DE34">
        <v>13</v>
      </c>
      <c r="DL34" s="18">
        <v>145.915870715056</v>
      </c>
      <c r="DM34">
        <f>588-270</f>
        <v>318</v>
      </c>
      <c r="DN34" s="18">
        <v>111.933410255143</v>
      </c>
      <c r="DO34">
        <v>150</v>
      </c>
      <c r="DP34" s="18">
        <v>113.44757453618</v>
      </c>
      <c r="DQ34">
        <v>212</v>
      </c>
      <c r="DR34" s="18">
        <v>108.213414714986</v>
      </c>
      <c r="DS34">
        <v>253</v>
      </c>
      <c r="DT34" s="18">
        <v>90.473234284679194</v>
      </c>
      <c r="DU34">
        <v>231</v>
      </c>
      <c r="DV34" s="18">
        <v>155.940966851544</v>
      </c>
      <c r="DW34">
        <v>145</v>
      </c>
      <c r="EB34" s="42" t="s">
        <v>150</v>
      </c>
      <c r="EC34" s="42"/>
      <c r="ED34" s="42" t="s">
        <v>151</v>
      </c>
      <c r="EE34" s="42"/>
      <c r="EF34" s="42" t="s">
        <v>152</v>
      </c>
      <c r="EG34" s="42"/>
      <c r="EH34" s="42" t="s">
        <v>153</v>
      </c>
      <c r="EI34" s="42"/>
      <c r="EJ34" s="42" t="s">
        <v>154</v>
      </c>
      <c r="EK34" s="42"/>
      <c r="EL34" s="42" t="s">
        <v>155</v>
      </c>
      <c r="EM34" s="42"/>
      <c r="EN34" s="42" t="s">
        <v>156</v>
      </c>
      <c r="EO34" s="42"/>
      <c r="EP34" s="42" t="s">
        <v>288</v>
      </c>
      <c r="EQ34" s="42"/>
    </row>
    <row r="35" spans="1:165" x14ac:dyDescent="0.35">
      <c r="A35" t="s">
        <v>289</v>
      </c>
      <c r="B35">
        <v>1444.25840008963</v>
      </c>
      <c r="J35" t="s">
        <v>289</v>
      </c>
      <c r="K35">
        <v>13</v>
      </c>
      <c r="T35" t="s">
        <v>290</v>
      </c>
      <c r="U35">
        <v>1408.9389516270401</v>
      </c>
      <c r="Z35" t="s">
        <v>266</v>
      </c>
      <c r="AA35">
        <v>5237.7261036575601</v>
      </c>
      <c r="AC35" t="s">
        <v>290</v>
      </c>
      <c r="AD35">
        <v>1391.3812577966</v>
      </c>
      <c r="AI35" t="s">
        <v>266</v>
      </c>
      <c r="AJ35">
        <v>2451.1455798392999</v>
      </c>
      <c r="AO35">
        <v>1265.0309999999999</v>
      </c>
      <c r="AP35">
        <v>1355.1489999999999</v>
      </c>
      <c r="AQ35">
        <v>1502.085</v>
      </c>
      <c r="AU35" s="18"/>
      <c r="AV35" s="18">
        <v>78.683876964207101</v>
      </c>
      <c r="AW35" s="18"/>
      <c r="AX35">
        <v>64.4518105472944</v>
      </c>
      <c r="AY35" s="18"/>
      <c r="AZ35" s="18">
        <v>189.71194250779101</v>
      </c>
      <c r="BA35" s="18"/>
      <c r="BB35">
        <v>171.22523088290001</v>
      </c>
      <c r="BC35" s="18"/>
      <c r="BD35">
        <v>101.220506448794</v>
      </c>
      <c r="BE35" s="18"/>
      <c r="BF35" s="8"/>
      <c r="BG35" s="8"/>
      <c r="BN35" s="18">
        <v>135.162227301396</v>
      </c>
      <c r="BO35" s="18"/>
      <c r="BP35" s="18">
        <v>41.333276765952498</v>
      </c>
      <c r="BQ35" s="18"/>
      <c r="BR35" s="18">
        <v>96.253464860453803</v>
      </c>
      <c r="BT35" s="18">
        <v>76.916947197462704</v>
      </c>
      <c r="BV35" s="18">
        <v>144.81146029349901</v>
      </c>
      <c r="BX35" s="18">
        <v>46.807134834946901</v>
      </c>
      <c r="CV35" s="18">
        <v>89.135775757482307</v>
      </c>
      <c r="CX35">
        <v>107.840694180509</v>
      </c>
      <c r="CZ35">
        <v>102.36210137438501</v>
      </c>
      <c r="DB35">
        <v>135.23582991064299</v>
      </c>
      <c r="DD35">
        <v>77.070136937045305</v>
      </c>
      <c r="DL35" s="18">
        <v>122.182400128518</v>
      </c>
      <c r="DN35" s="18">
        <v>123.48717641018401</v>
      </c>
      <c r="DP35" s="18">
        <v>29.000740930730998</v>
      </c>
      <c r="DR35" s="18">
        <v>89.632270751138194</v>
      </c>
      <c r="DT35" s="18">
        <v>135.76382113952201</v>
      </c>
      <c r="DV35" s="18">
        <v>125.083191155205</v>
      </c>
      <c r="EB35" s="8" t="s">
        <v>162</v>
      </c>
      <c r="EC35" s="8" t="s">
        <v>163</v>
      </c>
      <c r="ED35" s="8" t="s">
        <v>162</v>
      </c>
      <c r="EE35" s="8" t="s">
        <v>163</v>
      </c>
      <c r="EF35" s="8" t="s">
        <v>162</v>
      </c>
      <c r="EG35" s="8" t="s">
        <v>163</v>
      </c>
      <c r="EH35" s="8" t="s">
        <v>162</v>
      </c>
      <c r="EI35" s="8" t="s">
        <v>163</v>
      </c>
      <c r="EJ35" s="8" t="s">
        <v>162</v>
      </c>
      <c r="EK35" s="8" t="s">
        <v>163</v>
      </c>
      <c r="EL35" s="8" t="s">
        <v>162</v>
      </c>
      <c r="EM35" s="8" t="s">
        <v>163</v>
      </c>
      <c r="EN35" s="8" t="s">
        <v>162</v>
      </c>
      <c r="EO35" s="8" t="s">
        <v>163</v>
      </c>
      <c r="EP35" s="8" t="s">
        <v>162</v>
      </c>
      <c r="EQ35" s="8" t="s">
        <v>163</v>
      </c>
    </row>
    <row r="36" spans="1:165" ht="13.15" x14ac:dyDescent="0.4">
      <c r="A36" t="s">
        <v>291</v>
      </c>
      <c r="B36">
        <v>1597.1495608232999</v>
      </c>
      <c r="J36" t="s">
        <v>291</v>
      </c>
      <c r="K36">
        <v>13</v>
      </c>
      <c r="T36" t="s">
        <v>285</v>
      </c>
      <c r="U36">
        <v>1568.5510322293801</v>
      </c>
      <c r="Z36" t="s">
        <v>269</v>
      </c>
      <c r="AA36">
        <v>2744.3360326859702</v>
      </c>
      <c r="AC36" t="s">
        <v>285</v>
      </c>
      <c r="AD36">
        <v>570.91477602773602</v>
      </c>
      <c r="AI36" t="s">
        <v>269</v>
      </c>
      <c r="AJ36">
        <v>2384.50655882004</v>
      </c>
      <c r="AO36" s="8">
        <v>1303.3150000000001</v>
      </c>
      <c r="AP36" s="1">
        <f>AVERAGE(AP3:AP35)</f>
        <v>1282.3705454545454</v>
      </c>
      <c r="AQ36">
        <v>1211.114</v>
      </c>
      <c r="AU36" s="18"/>
      <c r="AV36" s="18">
        <v>96.459159899415894</v>
      </c>
      <c r="AW36" s="18"/>
      <c r="AX36">
        <v>136.03952574412099</v>
      </c>
      <c r="AY36" s="18"/>
      <c r="AZ36" s="8">
        <v>204.58146585083099</v>
      </c>
      <c r="BA36" s="18"/>
      <c r="BB36">
        <v>58.4103645550748</v>
      </c>
      <c r="BC36" s="18"/>
      <c r="BD36">
        <v>223.16123505054199</v>
      </c>
      <c r="BE36" s="18"/>
      <c r="BF36" s="8"/>
      <c r="BG36" s="8"/>
      <c r="BN36" s="1">
        <f>SUM(Figure3!BN34:BN35)</f>
        <v>292.31589767095397</v>
      </c>
      <c r="BO36" s="20">
        <f>Figure3!BO34/Figure3!BN36</f>
        <v>0.92023732593155239</v>
      </c>
      <c r="BP36" s="18">
        <v>171.11204159960599</v>
      </c>
      <c r="BQ36" s="18"/>
      <c r="BR36" s="18">
        <v>146.476687555338</v>
      </c>
      <c r="BS36" s="18"/>
      <c r="BT36" s="18">
        <v>110.845617109004</v>
      </c>
      <c r="BV36" s="18">
        <v>5.4290791772085498</v>
      </c>
      <c r="BX36" s="18">
        <v>163.71619311817199</v>
      </c>
      <c r="CD36" s="47" t="s">
        <v>292</v>
      </c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V36" s="18">
        <v>90.202067126905803</v>
      </c>
      <c r="CX36">
        <v>89.997182426907699</v>
      </c>
      <c r="CZ36">
        <v>96.794269768900506</v>
      </c>
      <c r="DB36">
        <v>14.301022247918301</v>
      </c>
      <c r="DD36">
        <v>97.078238714346995</v>
      </c>
      <c r="DL36" s="18">
        <v>91.844694821661193</v>
      </c>
      <c r="DN36" s="1">
        <f>SUM(Figure3!DN34:DN35)</f>
        <v>235.42058666532699</v>
      </c>
      <c r="DO36" s="1">
        <f>Figure3!DO34/Figure3!DN36</f>
        <v>0.63715753207785275</v>
      </c>
      <c r="DP36" s="18">
        <v>84.037079826846096</v>
      </c>
      <c r="DR36" s="18">
        <v>116.213686142841</v>
      </c>
      <c r="DT36" s="18">
        <v>106.369669051752</v>
      </c>
      <c r="DV36" s="18">
        <v>42.935017922276799</v>
      </c>
      <c r="EB36" s="18">
        <v>52.503042523442502</v>
      </c>
      <c r="EC36">
        <v>359</v>
      </c>
      <c r="ED36">
        <v>202.19863218139699</v>
      </c>
      <c r="EE36">
        <v>253</v>
      </c>
      <c r="EF36" s="18">
        <v>150.71868848350201</v>
      </c>
      <c r="EG36">
        <f>725-340</f>
        <v>385</v>
      </c>
      <c r="EH36">
        <v>168.01971933596801</v>
      </c>
      <c r="EI36">
        <v>470</v>
      </c>
      <c r="EJ36">
        <v>149.04108304264099</v>
      </c>
      <c r="EK36">
        <f>861-524</f>
        <v>337</v>
      </c>
      <c r="EL36">
        <v>130.34257841137</v>
      </c>
      <c r="EM36">
        <v>340</v>
      </c>
      <c r="EN36" s="18">
        <v>120.357188127154</v>
      </c>
      <c r="EO36">
        <f>804-353</f>
        <v>451</v>
      </c>
    </row>
    <row r="37" spans="1:165" ht="13.15" x14ac:dyDescent="0.4">
      <c r="A37" t="s">
        <v>293</v>
      </c>
      <c r="B37">
        <v>10348.091658966599</v>
      </c>
      <c r="D37" s="1"/>
      <c r="E37" s="1"/>
      <c r="J37" t="s">
        <v>293</v>
      </c>
      <c r="K37">
        <v>97</v>
      </c>
      <c r="T37" t="s">
        <v>294</v>
      </c>
      <c r="U37">
        <v>2042.7453378570599</v>
      </c>
      <c r="Z37" t="s">
        <v>272</v>
      </c>
      <c r="AA37">
        <v>4734.62691557772</v>
      </c>
      <c r="AC37" t="s">
        <v>294</v>
      </c>
      <c r="AD37">
        <v>2099.9306950487098</v>
      </c>
      <c r="AI37" t="s">
        <v>272</v>
      </c>
      <c r="AJ37">
        <v>2884.5345303416998</v>
      </c>
      <c r="AO37">
        <v>1327.1679999999999</v>
      </c>
      <c r="AP37" s="1">
        <f>STDEV(AP3:AP35)</f>
        <v>114.93066316563733</v>
      </c>
      <c r="AQ37">
        <v>1145.623</v>
      </c>
      <c r="AU37" s="18"/>
      <c r="AV37" s="20">
        <f>SUM(AV34:AV36)</f>
        <v>255.25707979145398</v>
      </c>
      <c r="AW37" s="20">
        <f>AW34/AV37</f>
        <v>0.18412809563753993</v>
      </c>
      <c r="AX37">
        <v>83.038092144756703</v>
      </c>
      <c r="AZ37" s="18"/>
      <c r="BA37" s="18"/>
      <c r="BB37">
        <v>161.430954239252</v>
      </c>
      <c r="BC37" s="18"/>
      <c r="BD37" s="18"/>
      <c r="BE37" s="18"/>
      <c r="BF37" s="8"/>
      <c r="BG37" s="8"/>
      <c r="BO37" s="18"/>
      <c r="BP37" s="20">
        <f>SUM(Figure3!BP34:BP36)</f>
        <v>369.01179757476046</v>
      </c>
      <c r="BQ37" s="20">
        <f>Figure3!BQ34/Figure3!BP37</f>
        <v>0.74523362615333721</v>
      </c>
      <c r="BR37" s="18">
        <v>135.30223877545899</v>
      </c>
      <c r="BT37" s="18">
        <v>142.67556066885601</v>
      </c>
      <c r="BV37" s="18">
        <v>34.5365713077436</v>
      </c>
      <c r="BX37" s="18">
        <v>177.74050434148299</v>
      </c>
      <c r="CD37" s="42" t="s">
        <v>150</v>
      </c>
      <c r="CE37" s="42"/>
      <c r="CF37" s="42" t="s">
        <v>151</v>
      </c>
      <c r="CG37" s="42"/>
      <c r="CH37" s="42" t="s">
        <v>152</v>
      </c>
      <c r="CI37" s="42"/>
      <c r="CJ37" s="42" t="s">
        <v>153</v>
      </c>
      <c r="CK37" s="42"/>
      <c r="CL37" s="42" t="s">
        <v>154</v>
      </c>
      <c r="CM37" s="42"/>
      <c r="CN37" s="42" t="s">
        <v>155</v>
      </c>
      <c r="CO37" s="42"/>
      <c r="CP37" s="42" t="s">
        <v>156</v>
      </c>
      <c r="CQ37" s="42"/>
      <c r="CR37" s="42" t="s">
        <v>288</v>
      </c>
      <c r="CS37" s="42"/>
      <c r="CV37" s="18">
        <v>45.300956304954703</v>
      </c>
      <c r="CX37">
        <v>24.6403858599971</v>
      </c>
      <c r="DB37">
        <v>111.182540284205</v>
      </c>
      <c r="DD37">
        <v>74.520407727073703</v>
      </c>
      <c r="DK37" s="18" t="s">
        <v>186</v>
      </c>
      <c r="DL37" s="1">
        <f>SUM(Figure3!DL34:DL36)</f>
        <v>359.94296566523519</v>
      </c>
      <c r="DM37" s="1">
        <f>Figure3!DM34/Figure3!DL37</f>
        <v>0.88347330086665943</v>
      </c>
      <c r="DP37" s="1">
        <f>SUM(Figure3!DP34:DP36)</f>
        <v>226.48539529375711</v>
      </c>
      <c r="DQ37" s="1">
        <f>Figure3!DQ34/Figure3!DP37</f>
        <v>0.93604269593203038</v>
      </c>
      <c r="DR37" s="1">
        <f>SUM(Figure3!DR34:DR36)</f>
        <v>314.05937160896519</v>
      </c>
      <c r="DS37" s="1">
        <f>Figure3!DS34/Figure3!DR37</f>
        <v>0.80558016372461538</v>
      </c>
      <c r="DT37" s="1">
        <f>SUM(Figure3!DT34:DT36)</f>
        <v>332.60672447595323</v>
      </c>
      <c r="DU37" s="1">
        <f>Figure3!DU34/Figure3!DT37</f>
        <v>0.69451391989731348</v>
      </c>
      <c r="DV37" s="1">
        <f>SUM(Figure3!DV34:DV36)</f>
        <v>323.95917592902583</v>
      </c>
      <c r="DW37" s="1">
        <f>Figure3!DW34/Figure3!DV37</f>
        <v>0.44758726029037416</v>
      </c>
      <c r="EB37" s="18">
        <v>143.46234366552301</v>
      </c>
      <c r="ED37">
        <v>4.01133511597319</v>
      </c>
      <c r="EF37" s="18">
        <v>145.90666966853601</v>
      </c>
      <c r="EH37">
        <v>98.897460804484595</v>
      </c>
      <c r="EJ37">
        <v>123.06421104022201</v>
      </c>
      <c r="EL37">
        <v>92.836525115561997</v>
      </c>
      <c r="EN37" s="18">
        <v>16.774324199770199</v>
      </c>
    </row>
    <row r="38" spans="1:165" ht="13.15" x14ac:dyDescent="0.4">
      <c r="A38" s="1" t="s">
        <v>256</v>
      </c>
      <c r="B38" s="1">
        <f>AVERAGE(B3:B37)</f>
        <v>8188.7160301102895</v>
      </c>
      <c r="D38" s="1"/>
      <c r="E38" s="1"/>
      <c r="H38" s="1"/>
      <c r="J38" s="1" t="s">
        <v>256</v>
      </c>
      <c r="K38" s="1">
        <f>AVERAGE(K3:K37)</f>
        <v>83.742857142857147</v>
      </c>
      <c r="R38" s="1"/>
      <c r="T38" t="s">
        <v>287</v>
      </c>
      <c r="U38">
        <v>1507.63016457452</v>
      </c>
      <c r="Z38" t="s">
        <v>274</v>
      </c>
      <c r="AA38">
        <v>4080.6447417681202</v>
      </c>
      <c r="AC38" t="s">
        <v>287</v>
      </c>
      <c r="AD38">
        <v>1460.02732091852</v>
      </c>
      <c r="AI38" t="s">
        <v>274</v>
      </c>
      <c r="AJ38">
        <v>2967.4802665882999</v>
      </c>
      <c r="AO38">
        <v>1347.1610000000001</v>
      </c>
      <c r="AP38" s="1">
        <f>STDEV(AP3:AP35)/SQRT(16)</f>
        <v>28.732665791409332</v>
      </c>
      <c r="AQ38">
        <v>1484.9549999999999</v>
      </c>
      <c r="AU38" s="18"/>
      <c r="AV38" s="18"/>
      <c r="AW38" s="18"/>
      <c r="AX38" s="20">
        <f>SUM(AX34:AX37)</f>
        <v>479.60892535834211</v>
      </c>
      <c r="AY38" s="1">
        <f>AY34/AX38</f>
        <v>0.20641817690534361</v>
      </c>
      <c r="AZ38" s="20">
        <f>SUM(AZ34:AZ37)</f>
        <v>553.68799306837207</v>
      </c>
      <c r="BA38" s="1">
        <f>BA34/AZ38</f>
        <v>0.43345711484547877</v>
      </c>
      <c r="BB38">
        <v>54.093545740844903</v>
      </c>
      <c r="BC38" s="18"/>
      <c r="BD38" s="20">
        <f>SUM(BD34:BD37)</f>
        <v>476.98633175871299</v>
      </c>
      <c r="BE38" s="1">
        <f>BE34/BD38</f>
        <v>0.19916713262982227</v>
      </c>
      <c r="BF38" s="8"/>
      <c r="BG38" s="8"/>
      <c r="BO38" s="18"/>
      <c r="BP38" s="18"/>
      <c r="BQ38" s="18"/>
      <c r="BR38" s="1">
        <f>SUM(Figure3!BR34:BR37)</f>
        <v>450.76984136468951</v>
      </c>
      <c r="BS38" s="1">
        <f>Figure3!BS34/Figure3!BR38</f>
        <v>0.81638114671978323</v>
      </c>
      <c r="BT38" s="1">
        <f>SUM(Figure3!BT34:BT37)</f>
        <v>494.40399077825174</v>
      </c>
      <c r="BU38" s="1">
        <f>Figure3!BU34/Figure3!BT38</f>
        <v>0.97895649919436412</v>
      </c>
      <c r="BV38" s="18">
        <v>10.4352415425006</v>
      </c>
      <c r="BX38" s="1">
        <f>SUM(Figure3!BX34:BX37)</f>
        <v>500.1660797317279</v>
      </c>
      <c r="BY38" s="1">
        <f>Figure3!BY34/Figure3!BX38</f>
        <v>0.57580873967797541</v>
      </c>
      <c r="CD38" s="8" t="s">
        <v>162</v>
      </c>
      <c r="CE38" s="8" t="s">
        <v>163</v>
      </c>
      <c r="CF38" s="8" t="s">
        <v>162</v>
      </c>
      <c r="CG38" s="8" t="s">
        <v>163</v>
      </c>
      <c r="CH38" s="8" t="s">
        <v>162</v>
      </c>
      <c r="CI38" s="8" t="s">
        <v>163</v>
      </c>
      <c r="CJ38" s="8" t="s">
        <v>162</v>
      </c>
      <c r="CK38" s="8" t="s">
        <v>163</v>
      </c>
      <c r="CL38" s="8" t="s">
        <v>162</v>
      </c>
      <c r="CM38" s="8" t="s">
        <v>163</v>
      </c>
      <c r="CN38" s="8" t="s">
        <v>162</v>
      </c>
      <c r="CO38" s="8" t="s">
        <v>163</v>
      </c>
      <c r="CP38" s="8" t="s">
        <v>162</v>
      </c>
      <c r="CQ38" s="8" t="s">
        <v>163</v>
      </c>
      <c r="CR38" s="8" t="s">
        <v>162</v>
      </c>
      <c r="CS38" s="8" t="s">
        <v>163</v>
      </c>
      <c r="CV38" s="18">
        <v>22.391005054724101</v>
      </c>
      <c r="DB38">
        <v>108.918086562794</v>
      </c>
      <c r="DD38">
        <v>78.216510685559399</v>
      </c>
      <c r="EB38" s="18">
        <v>128.79482245519301</v>
      </c>
      <c r="ED38">
        <v>8.3177834324715292</v>
      </c>
      <c r="EF38" s="18">
        <v>168.11459843083099</v>
      </c>
      <c r="EH38">
        <v>156.337586725829</v>
      </c>
      <c r="EJ38">
        <v>85.256701985994297</v>
      </c>
      <c r="EL38">
        <v>109.071478621341</v>
      </c>
      <c r="EN38" s="18">
        <v>15.944051445083399</v>
      </c>
    </row>
    <row r="39" spans="1:165" ht="13.15" x14ac:dyDescent="0.4">
      <c r="A39" s="1" t="s">
        <v>259</v>
      </c>
      <c r="B39" s="1">
        <f>STDEV(B3:B37)</f>
        <v>3771.0473928129754</v>
      </c>
      <c r="D39" s="1"/>
      <c r="E39" s="23" t="s">
        <v>295</v>
      </c>
      <c r="H39" s="1"/>
      <c r="J39" s="1" t="s">
        <v>259</v>
      </c>
      <c r="K39" s="1">
        <f>STDEV(K3:K37)</f>
        <v>38.140871128228937</v>
      </c>
      <c r="T39" t="s">
        <v>289</v>
      </c>
      <c r="U39">
        <v>975.62714786835602</v>
      </c>
      <c r="Z39" t="s">
        <v>296</v>
      </c>
      <c r="AA39">
        <v>3038.59393268134</v>
      </c>
      <c r="AC39" t="s">
        <v>289</v>
      </c>
      <c r="AD39">
        <v>997.53915954149898</v>
      </c>
      <c r="AI39" t="s">
        <v>296</v>
      </c>
      <c r="AJ39">
        <v>2168.7621193043401</v>
      </c>
      <c r="AO39">
        <v>1416.9359999999999</v>
      </c>
      <c r="AQ39">
        <v>1272.6780000000001</v>
      </c>
      <c r="AU39" s="18" t="s">
        <v>186</v>
      </c>
      <c r="AV39" s="18"/>
      <c r="AW39" s="18"/>
      <c r="AX39" s="18"/>
      <c r="AZ39" s="18"/>
      <c r="BA39" s="18"/>
      <c r="BB39" s="20">
        <f>SUM(BB34:BB38)</f>
        <v>539.89644027073234</v>
      </c>
      <c r="BC39" s="1">
        <f>BC34/BB39</f>
        <v>0.16855084274007778</v>
      </c>
      <c r="BD39" s="18"/>
      <c r="BE39" s="18"/>
      <c r="BF39" s="8"/>
      <c r="BG39" s="8"/>
      <c r="BL39" s="18" t="s">
        <v>186</v>
      </c>
      <c r="BO39" s="18"/>
      <c r="BP39" s="18"/>
      <c r="BQ39" s="18"/>
      <c r="BV39" s="1">
        <f>SUM(Figure3!BV34:BV38)</f>
        <v>437.02410676161776</v>
      </c>
      <c r="BW39" s="1">
        <f>Figure3!BW34/Figure3!BV39</f>
        <v>0.94731616310086841</v>
      </c>
      <c r="CD39" s="18">
        <v>94.304386508877101</v>
      </c>
      <c r="CE39">
        <v>380</v>
      </c>
      <c r="CF39">
        <v>127.47294913705601</v>
      </c>
      <c r="CG39" s="18">
        <v>304</v>
      </c>
      <c r="CH39" s="18">
        <v>56.568578147341498</v>
      </c>
      <c r="CI39">
        <v>340</v>
      </c>
      <c r="CJ39">
        <v>150.939612825588</v>
      </c>
      <c r="CK39">
        <v>528</v>
      </c>
      <c r="CL39">
        <v>148.381252593673</v>
      </c>
      <c r="CM39">
        <v>524</v>
      </c>
      <c r="CN39">
        <v>349.07371316366198</v>
      </c>
      <c r="CO39">
        <v>455</v>
      </c>
      <c r="CP39" s="18">
        <v>122.709105007369</v>
      </c>
      <c r="CQ39">
        <v>353</v>
      </c>
      <c r="CU39" s="18" t="s">
        <v>186</v>
      </c>
      <c r="CV39" s="1">
        <f>SUM(CV34:CV38)</f>
        <v>288.18496632854999</v>
      </c>
      <c r="CW39" s="1">
        <f>CW34/CV39</f>
        <v>5.2049904584193347E-2</v>
      </c>
      <c r="CX39" s="1">
        <f>SUM(CX34:CX38)</f>
        <v>330.14360711498375</v>
      </c>
      <c r="CY39" s="1">
        <f>CY34/CX39</f>
        <v>9.0869546928865647E-2</v>
      </c>
      <c r="CZ39" s="1">
        <f>SUM(CZ34:CZ38)</f>
        <v>357.59067936239353</v>
      </c>
      <c r="DA39" s="1">
        <f>DA34/CZ39</f>
        <v>0.39150908589012645</v>
      </c>
      <c r="DB39" s="1">
        <f>SUM(DB34:DB38)</f>
        <v>426.6003421396</v>
      </c>
      <c r="DC39" s="1">
        <f>DC34/DB39</f>
        <v>0.10314103307868776</v>
      </c>
      <c r="DD39" s="1">
        <f>SUM(DD34:DD38)</f>
        <v>330.16798987727418</v>
      </c>
      <c r="DE39" s="1">
        <f>DE34/DD39</f>
        <v>3.9373895709369625E-2</v>
      </c>
      <c r="EB39" s="1">
        <f>SUM(EB36:EB38)</f>
        <v>324.76020864415852</v>
      </c>
      <c r="EC39" s="1">
        <f>EC36/EB39</f>
        <v>1.1054309932204724</v>
      </c>
      <c r="ED39">
        <v>60.055182697220701</v>
      </c>
      <c r="EF39" s="1">
        <f>SUM(EF36:EF38)</f>
        <v>464.73995658286901</v>
      </c>
      <c r="EG39" s="1">
        <f>EG36/EF39</f>
        <v>0.82842026932829393</v>
      </c>
      <c r="EH39" s="1">
        <f>SUM(EH36:EH38)</f>
        <v>423.25476686628161</v>
      </c>
      <c r="EI39" s="1">
        <f>EI36/EH39</f>
        <v>1.1104423075487453</v>
      </c>
      <c r="EJ39" s="1">
        <f>SUM(EJ36:EJ38)</f>
        <v>357.36199606885731</v>
      </c>
      <c r="EK39" s="1">
        <f>EK36/EJ39</f>
        <v>0.94302137246587936</v>
      </c>
      <c r="EL39" s="1">
        <f>SUM(EL36:EL38)</f>
        <v>332.250582148273</v>
      </c>
      <c r="EM39" s="1">
        <f>EM36/EL39</f>
        <v>1.0233240158726604</v>
      </c>
      <c r="EN39" s="18">
        <v>113.35274071836101</v>
      </c>
    </row>
    <row r="40" spans="1:165" ht="13.15" x14ac:dyDescent="0.4">
      <c r="A40" s="1" t="s">
        <v>263</v>
      </c>
      <c r="B40" s="1">
        <f>B39/SQRT(35)</f>
        <v>637.42334976375309</v>
      </c>
      <c r="H40" s="1"/>
      <c r="J40" s="1" t="s">
        <v>263</v>
      </c>
      <c r="K40" s="1">
        <f>K39/SQRT(35)</f>
        <v>6.4469839026149449</v>
      </c>
      <c r="T40" t="s">
        <v>291</v>
      </c>
      <c r="U40">
        <v>1364.13490776357</v>
      </c>
      <c r="Z40" t="s">
        <v>276</v>
      </c>
      <c r="AA40">
        <v>5247.4257637588198</v>
      </c>
      <c r="AC40" t="s">
        <v>291</v>
      </c>
      <c r="AD40">
        <v>1144.5676568009901</v>
      </c>
      <c r="AI40" t="s">
        <v>276</v>
      </c>
      <c r="AJ40">
        <v>2494.0574623790899</v>
      </c>
      <c r="AO40" s="8">
        <v>1479.16</v>
      </c>
      <c r="AQ40">
        <v>1501.931</v>
      </c>
      <c r="AU40" s="18"/>
      <c r="AV40" s="18"/>
      <c r="AW40" s="18"/>
      <c r="AX40" s="18"/>
      <c r="AZ40" s="18"/>
      <c r="BA40" s="18"/>
      <c r="BB40" s="18"/>
      <c r="BD40" s="18"/>
      <c r="BE40" s="18"/>
      <c r="BF40" s="8"/>
      <c r="BG40" s="8"/>
      <c r="BO40" s="18"/>
      <c r="BP40" s="18"/>
      <c r="BQ40" s="18"/>
      <c r="BR40" s="18"/>
      <c r="BS40" s="18"/>
      <c r="BT40" s="18"/>
      <c r="BV40" s="18"/>
      <c r="BW40" s="18"/>
      <c r="CD40" s="18">
        <v>20.632389622653701</v>
      </c>
      <c r="CF40">
        <v>53.446952244121597</v>
      </c>
      <c r="CH40" s="18">
        <v>115.846626274093</v>
      </c>
      <c r="CJ40">
        <v>125.092413060746</v>
      </c>
      <c r="CL40">
        <v>26.272195956149002</v>
      </c>
      <c r="CN40">
        <v>179.83369414696301</v>
      </c>
      <c r="CP40" s="18">
        <v>44.889333999312797</v>
      </c>
      <c r="EA40" s="18" t="s">
        <v>186</v>
      </c>
      <c r="ED40" s="1">
        <f>SUM(ED36:ED39)</f>
        <v>274.58293342706241</v>
      </c>
      <c r="EE40" s="1">
        <f>EE36/ED40</f>
        <v>0.92139739656180963</v>
      </c>
      <c r="EN40" s="18">
        <v>157.15053049633599</v>
      </c>
    </row>
    <row r="41" spans="1:165" ht="13.15" x14ac:dyDescent="0.4">
      <c r="T41" t="s">
        <v>293</v>
      </c>
      <c r="U41">
        <v>1820.7119814028299</v>
      </c>
      <c r="Z41" s="1" t="s">
        <v>256</v>
      </c>
      <c r="AA41" s="1">
        <f>AVERAGE(AA3:AB40)</f>
        <v>3702.0922267684159</v>
      </c>
      <c r="AC41" t="s">
        <v>293</v>
      </c>
      <c r="AD41">
        <v>540.42325665333703</v>
      </c>
      <c r="AI41" s="1" t="s">
        <v>256</v>
      </c>
      <c r="AJ41" s="1">
        <f>AVERAGE(AJ3:AK40)</f>
        <v>1807.5750057937134</v>
      </c>
      <c r="AO41">
        <v>1486.87</v>
      </c>
      <c r="AQ41">
        <v>1395.2059999999999</v>
      </c>
      <c r="AU41" s="18"/>
      <c r="AV41" s="18"/>
      <c r="AW41" s="18"/>
      <c r="AX41" s="18"/>
      <c r="AZ41" s="18"/>
      <c r="BA41" s="18"/>
      <c r="BD41" s="8"/>
      <c r="BE41" s="8"/>
      <c r="BF41" s="8"/>
      <c r="BG41" s="8"/>
      <c r="BO41" s="18"/>
      <c r="BP41" s="18"/>
      <c r="BQ41" s="18"/>
      <c r="BS41" s="18"/>
      <c r="BT41" s="18"/>
      <c r="BV41" s="18"/>
      <c r="BW41" s="18"/>
      <c r="CD41" s="18">
        <v>70.107839218127296</v>
      </c>
      <c r="CF41">
        <v>28.1404986762909</v>
      </c>
      <c r="CH41" s="18">
        <v>49.264852130621897</v>
      </c>
      <c r="CJ41">
        <v>23.620329528724799</v>
      </c>
      <c r="CL41">
        <v>144.97524421120301</v>
      </c>
      <c r="CP41" s="18">
        <v>74.875866232278398</v>
      </c>
      <c r="EN41" s="1">
        <f>SUM(EN36:EN40)</f>
        <v>423.57883498670458</v>
      </c>
      <c r="EO41" s="1">
        <f>EO36/EN41</f>
        <v>1.0647368630072278</v>
      </c>
    </row>
    <row r="42" spans="1:165" ht="13.15" x14ac:dyDescent="0.4">
      <c r="T42" s="1" t="s">
        <v>256</v>
      </c>
      <c r="U42" s="1">
        <f>AVERAGE(U3:U41)</f>
        <v>1222.9095015180737</v>
      </c>
      <c r="Z42" s="1" t="s">
        <v>259</v>
      </c>
      <c r="AA42" s="1">
        <f>STDEV(AA3:AB40)</f>
        <v>1511.1818271782083</v>
      </c>
      <c r="AC42" s="1" t="s">
        <v>256</v>
      </c>
      <c r="AD42" s="1">
        <f>AVERAGE(AD3:AD41)</f>
        <v>1066.5564045701894</v>
      </c>
      <c r="AI42" s="1" t="s">
        <v>259</v>
      </c>
      <c r="AJ42" s="1">
        <f>STDEV(AJ3:AK40)</f>
        <v>924.91967947312537</v>
      </c>
      <c r="AN42" t="s">
        <v>256</v>
      </c>
      <c r="AO42" s="1">
        <f>AVERAGE(AO3:AO41)</f>
        <v>1152.3704615384618</v>
      </c>
      <c r="AQ42">
        <v>1297.6389999999999</v>
      </c>
      <c r="AU42" s="18"/>
      <c r="AV42" s="18"/>
      <c r="AW42" s="18"/>
      <c r="AX42" s="18"/>
      <c r="AZ42" s="18"/>
      <c r="BA42" s="18"/>
      <c r="BN42" s="18"/>
      <c r="BO42" s="18"/>
      <c r="BQ42" s="18"/>
      <c r="BR42" s="18"/>
      <c r="BS42" s="18"/>
      <c r="BV42" s="18"/>
      <c r="BW42" s="18"/>
      <c r="CD42" s="18">
        <v>53.843672444231998</v>
      </c>
      <c r="CE42" s="18"/>
      <c r="CF42">
        <v>48.189720584930001</v>
      </c>
      <c r="CH42" s="18">
        <v>140.26612264859</v>
      </c>
      <c r="CJ42">
        <v>54.207610129078702</v>
      </c>
      <c r="CL42">
        <v>215.82966201392699</v>
      </c>
      <c r="CP42" s="18">
        <v>81.325124837662997</v>
      </c>
    </row>
    <row r="43" spans="1:165" ht="13.15" x14ac:dyDescent="0.4">
      <c r="T43" s="1" t="s">
        <v>259</v>
      </c>
      <c r="U43" s="1">
        <f>STDEV(U3:U41)</f>
        <v>568.71699539326255</v>
      </c>
      <c r="Z43" s="1" t="s">
        <v>263</v>
      </c>
      <c r="AA43" s="1">
        <f>AA42/SQRT(38)</f>
        <v>245.14606359183136</v>
      </c>
      <c r="AC43" s="1" t="s">
        <v>259</v>
      </c>
      <c r="AD43" s="1">
        <f>STDEV(AD3:AD41)</f>
        <v>593.45284718162623</v>
      </c>
      <c r="AI43" s="1" t="s">
        <v>263</v>
      </c>
      <c r="AJ43" s="1">
        <f>AJ42/SQRT(38)</f>
        <v>150.04178483593978</v>
      </c>
      <c r="AN43" t="s">
        <v>281</v>
      </c>
      <c r="AO43" s="1">
        <f>STDEV(AO3:AO41)</f>
        <v>134.73217020949281</v>
      </c>
      <c r="AQ43">
        <v>1420.9860000000001</v>
      </c>
      <c r="AU43" s="18"/>
      <c r="AV43" s="47" t="s">
        <v>297</v>
      </c>
      <c r="AW43" s="47"/>
      <c r="AX43" s="47"/>
      <c r="AY43" s="47"/>
      <c r="AZ43" s="47"/>
      <c r="BA43" s="47"/>
      <c r="BB43" s="47"/>
      <c r="BC43" s="47"/>
      <c r="BD43" s="47"/>
      <c r="BE43" s="47"/>
      <c r="BN43" s="18"/>
      <c r="BO43" s="18"/>
      <c r="BQ43" s="18"/>
      <c r="BR43" s="18"/>
      <c r="BS43" s="18"/>
      <c r="BV43" s="18"/>
      <c r="BW43" s="18"/>
      <c r="CD43" s="18">
        <v>12.3366414333452</v>
      </c>
      <c r="CE43" s="18"/>
      <c r="CF43">
        <v>33.134169756541297</v>
      </c>
      <c r="CJ43">
        <v>107.720838613876</v>
      </c>
      <c r="CV43" s="48" t="s">
        <v>298</v>
      </c>
      <c r="CW43" s="48"/>
      <c r="CX43" s="48"/>
      <c r="CY43" s="48"/>
      <c r="CZ43" s="48"/>
      <c r="DA43" s="48"/>
      <c r="DB43" s="48"/>
      <c r="DC43" s="48"/>
      <c r="DD43" s="48"/>
      <c r="DE43" s="48"/>
      <c r="DL43" s="18"/>
      <c r="DM43" s="18"/>
      <c r="DN43" s="18"/>
      <c r="EB43" s="48" t="s">
        <v>299</v>
      </c>
      <c r="EC43" s="48"/>
      <c r="ED43" s="48"/>
      <c r="EE43" s="48"/>
    </row>
    <row r="44" spans="1:165" ht="13.15" x14ac:dyDescent="0.4">
      <c r="T44" s="1" t="s">
        <v>263</v>
      </c>
      <c r="U44" s="1">
        <f>U43/SQRT(39)</f>
        <v>91.067602509899373</v>
      </c>
      <c r="AC44" s="1" t="s">
        <v>263</v>
      </c>
      <c r="AD44" s="1">
        <f>AD43/SQRT(39)</f>
        <v>95.028508789566317</v>
      </c>
      <c r="AN44" t="s">
        <v>284</v>
      </c>
      <c r="AO44" s="1">
        <f>STDEV(AO4:AO42)/SQRT(39)</f>
        <v>21.024660595140372</v>
      </c>
      <c r="AQ44">
        <v>1373.1289999999999</v>
      </c>
      <c r="AU44" s="18"/>
      <c r="AV44" s="42" t="s">
        <v>150</v>
      </c>
      <c r="AW44" s="42"/>
      <c r="AX44" s="42" t="s">
        <v>151</v>
      </c>
      <c r="AY44" s="42"/>
      <c r="AZ44" s="42" t="s">
        <v>152</v>
      </c>
      <c r="BA44" s="42"/>
      <c r="BB44" s="42" t="s">
        <v>153</v>
      </c>
      <c r="BC44" s="42"/>
      <c r="BD44" s="42" t="s">
        <v>154</v>
      </c>
      <c r="BE44" s="42"/>
      <c r="BN44" s="47" t="s">
        <v>300</v>
      </c>
      <c r="BO44" s="47"/>
      <c r="BP44" s="47"/>
      <c r="BQ44" s="47"/>
      <c r="BR44" s="47"/>
      <c r="BS44" s="47"/>
      <c r="BT44" s="47"/>
      <c r="BU44" s="47"/>
      <c r="BV44" s="47"/>
      <c r="BW44" s="47"/>
      <c r="BX44" s="8"/>
      <c r="BY44" s="8"/>
      <c r="CD44" s="18">
        <v>96.481776218765106</v>
      </c>
      <c r="CE44" s="18"/>
      <c r="CF44" s="18"/>
      <c r="CI44" s="18"/>
      <c r="CJ44" s="18"/>
      <c r="CV44" s="42" t="s">
        <v>150</v>
      </c>
      <c r="CW44" s="42"/>
      <c r="CX44" s="42" t="s">
        <v>151</v>
      </c>
      <c r="CY44" s="42"/>
      <c r="CZ44" s="42" t="s">
        <v>152</v>
      </c>
      <c r="DA44" s="42"/>
      <c r="DB44" s="42" t="s">
        <v>153</v>
      </c>
      <c r="DC44" s="42"/>
      <c r="DD44" s="42" t="s">
        <v>154</v>
      </c>
      <c r="DE44" s="42"/>
      <c r="DL44" s="48" t="s">
        <v>301</v>
      </c>
      <c r="DM44" s="48"/>
      <c r="DN44" s="48"/>
      <c r="DO44" s="48"/>
      <c r="DP44" s="48"/>
      <c r="DQ44" s="48"/>
      <c r="DR44" s="48"/>
      <c r="DS44" s="48"/>
      <c r="DT44" s="48"/>
      <c r="DU44" s="48"/>
      <c r="EB44" s="42" t="s">
        <v>150</v>
      </c>
      <c r="EC44" s="42"/>
      <c r="ED44" s="42" t="s">
        <v>151</v>
      </c>
      <c r="EE44" s="42"/>
    </row>
    <row r="45" spans="1:165" ht="13.15" x14ac:dyDescent="0.4">
      <c r="AQ45">
        <v>1365.7049999999999</v>
      </c>
      <c r="AU45" s="18"/>
      <c r="AV45" s="8" t="s">
        <v>162</v>
      </c>
      <c r="AW45" s="8" t="s">
        <v>163</v>
      </c>
      <c r="AX45" s="8" t="s">
        <v>162</v>
      </c>
      <c r="AY45" s="8" t="s">
        <v>163</v>
      </c>
      <c r="AZ45" s="8" t="s">
        <v>162</v>
      </c>
      <c r="BA45" s="8" t="s">
        <v>163</v>
      </c>
      <c r="BB45" s="8" t="s">
        <v>162</v>
      </c>
      <c r="BC45" s="8" t="s">
        <v>163</v>
      </c>
      <c r="BD45" s="8" t="s">
        <v>162</v>
      </c>
      <c r="BE45" s="8" t="s">
        <v>163</v>
      </c>
      <c r="BN45" s="42" t="s">
        <v>150</v>
      </c>
      <c r="BO45" s="42"/>
      <c r="BP45" s="42" t="s">
        <v>151</v>
      </c>
      <c r="BQ45" s="42"/>
      <c r="BR45" s="42" t="s">
        <v>152</v>
      </c>
      <c r="BS45" s="42"/>
      <c r="BT45" s="42" t="s">
        <v>153</v>
      </c>
      <c r="BU45" s="42"/>
      <c r="BV45" s="42" t="s">
        <v>154</v>
      </c>
      <c r="BW45" s="42"/>
      <c r="BX45" s="42"/>
      <c r="BY45" s="42"/>
      <c r="CC45" s="18" t="s">
        <v>186</v>
      </c>
      <c r="CD45" s="20">
        <f>SUM(CD39:CD44)</f>
        <v>347.7067054460004</v>
      </c>
      <c r="CE45" s="20">
        <f>CE39/CD45</f>
        <v>1.0928750986052376</v>
      </c>
      <c r="CF45" s="20">
        <f>SUM(CF39:CF44)</f>
        <v>290.38429039893981</v>
      </c>
      <c r="CG45" s="20">
        <f>CG39/CF45</f>
        <v>1.046888588850156</v>
      </c>
      <c r="CH45" s="20">
        <f>SUM(CH39:CH44)</f>
        <v>361.94617920064638</v>
      </c>
      <c r="CI45" s="20">
        <f>CI39/CH45</f>
        <v>0.93936618076998557</v>
      </c>
      <c r="CJ45" s="20">
        <f>SUM(CJ39:CJ44)</f>
        <v>461.58080415801351</v>
      </c>
      <c r="CK45" s="20">
        <f>CK39/CJ45</f>
        <v>1.1438950563881101</v>
      </c>
      <c r="CL45" s="20">
        <f>SUM(CL39:CL44)</f>
        <v>535.458354774952</v>
      </c>
      <c r="CM45" s="20">
        <f>CM39/CL45</f>
        <v>0.97860084790390878</v>
      </c>
      <c r="CN45" s="20">
        <f>SUM(CN39:CN44)</f>
        <v>528.90740731062499</v>
      </c>
      <c r="CO45" s="20">
        <f>CO39/CN45</f>
        <v>0.86026399651608676</v>
      </c>
      <c r="CP45" s="20">
        <f>SUM(CP39:CP44)</f>
        <v>323.7994300766232</v>
      </c>
      <c r="CQ45" s="20">
        <f>CQ39/CP45</f>
        <v>1.0901810417531212</v>
      </c>
      <c r="CV45" s="8" t="s">
        <v>162</v>
      </c>
      <c r="CW45" s="8" t="s">
        <v>163</v>
      </c>
      <c r="CX45" s="8" t="s">
        <v>162</v>
      </c>
      <c r="CY45" s="8" t="s">
        <v>163</v>
      </c>
      <c r="CZ45" s="8" t="s">
        <v>162</v>
      </c>
      <c r="DA45" s="8" t="s">
        <v>163</v>
      </c>
      <c r="DB45" s="8" t="s">
        <v>162</v>
      </c>
      <c r="DC45" s="8" t="s">
        <v>163</v>
      </c>
      <c r="DD45" s="8" t="s">
        <v>162</v>
      </c>
      <c r="DE45" s="8" t="s">
        <v>163</v>
      </c>
      <c r="DL45" s="42" t="s">
        <v>150</v>
      </c>
      <c r="DM45" s="42"/>
      <c r="DN45" s="42" t="s">
        <v>151</v>
      </c>
      <c r="DO45" s="42"/>
      <c r="DP45" s="42" t="s">
        <v>152</v>
      </c>
      <c r="DQ45" s="42"/>
      <c r="DR45" s="42" t="s">
        <v>153</v>
      </c>
      <c r="DS45" s="42"/>
      <c r="DT45" s="42" t="s">
        <v>154</v>
      </c>
      <c r="DU45" s="42"/>
      <c r="EB45" s="8" t="s">
        <v>162</v>
      </c>
      <c r="EC45" s="8" t="s">
        <v>163</v>
      </c>
      <c r="ED45" s="8" t="s">
        <v>162</v>
      </c>
      <c r="EE45" s="8" t="s">
        <v>163</v>
      </c>
    </row>
    <row r="46" spans="1:165" x14ac:dyDescent="0.35">
      <c r="AQ46">
        <v>1229.28</v>
      </c>
      <c r="AU46" s="18"/>
      <c r="AV46" s="18">
        <v>118.62077183919099</v>
      </c>
      <c r="AW46" s="18">
        <v>220</v>
      </c>
      <c r="AX46" s="18">
        <v>132.14930080410099</v>
      </c>
      <c r="AY46" s="18">
        <v>301</v>
      </c>
      <c r="AZ46">
        <v>109.921039499279</v>
      </c>
      <c r="BA46" s="18">
        <v>154</v>
      </c>
      <c r="BB46">
        <v>106.205285564143</v>
      </c>
      <c r="BC46">
        <v>180</v>
      </c>
      <c r="BD46">
        <v>117.660095299015</v>
      </c>
      <c r="BE46">
        <v>152</v>
      </c>
      <c r="BN46" s="8" t="s">
        <v>162</v>
      </c>
      <c r="BO46" s="8" t="s">
        <v>163</v>
      </c>
      <c r="BP46" s="8" t="s">
        <v>162</v>
      </c>
      <c r="BQ46" s="8" t="s">
        <v>163</v>
      </c>
      <c r="BR46" s="8" t="s">
        <v>162</v>
      </c>
      <c r="BS46" s="8" t="s">
        <v>163</v>
      </c>
      <c r="BT46" s="8" t="s">
        <v>162</v>
      </c>
      <c r="BU46" s="8" t="s">
        <v>163</v>
      </c>
      <c r="BV46" s="8" t="s">
        <v>162</v>
      </c>
      <c r="BW46" s="8" t="s">
        <v>163</v>
      </c>
      <c r="BX46" s="8"/>
      <c r="BY46" s="8"/>
      <c r="CV46" s="18">
        <v>148.61738917782199</v>
      </c>
      <c r="CW46">
        <v>114</v>
      </c>
      <c r="CX46" s="18">
        <v>112.762602571942</v>
      </c>
      <c r="CY46" s="18">
        <f>471-301</f>
        <v>170</v>
      </c>
      <c r="CZ46">
        <v>81.628007822378294</v>
      </c>
      <c r="DA46">
        <v>40</v>
      </c>
      <c r="DB46">
        <v>97.858677971152204</v>
      </c>
      <c r="DC46">
        <v>95</v>
      </c>
      <c r="DD46">
        <v>100.060988080709</v>
      </c>
      <c r="DE46">
        <v>42</v>
      </c>
      <c r="DL46" s="8" t="s">
        <v>162</v>
      </c>
      <c r="DM46" s="8" t="s">
        <v>163</v>
      </c>
      <c r="DN46" s="8" t="s">
        <v>162</v>
      </c>
      <c r="DO46" s="8" t="s">
        <v>163</v>
      </c>
      <c r="DP46" s="8" t="s">
        <v>162</v>
      </c>
      <c r="DQ46" s="8" t="s">
        <v>163</v>
      </c>
      <c r="DR46" s="8" t="s">
        <v>162</v>
      </c>
      <c r="DS46" s="8" t="s">
        <v>163</v>
      </c>
      <c r="DT46" s="8" t="s">
        <v>162</v>
      </c>
      <c r="DU46" s="8" t="s">
        <v>163</v>
      </c>
      <c r="EB46" s="18">
        <v>82.397942744028896</v>
      </c>
      <c r="EC46">
        <v>403</v>
      </c>
      <c r="ED46">
        <v>49.208987639985097</v>
      </c>
      <c r="EE46">
        <v>140</v>
      </c>
    </row>
    <row r="47" spans="1:165" ht="13.15" x14ac:dyDescent="0.4">
      <c r="G47" s="8"/>
      <c r="AE47" s="1"/>
      <c r="AQ47">
        <v>1371.739</v>
      </c>
      <c r="AU47" s="18"/>
      <c r="AV47" s="18">
        <v>14.2761456754039</v>
      </c>
      <c r="AW47" s="18"/>
      <c r="AX47" s="18">
        <v>139.622162200578</v>
      </c>
      <c r="AY47" s="18"/>
      <c r="AZ47">
        <v>64.816125490587595</v>
      </c>
      <c r="BA47" s="18"/>
      <c r="BB47">
        <v>67.938754275941903</v>
      </c>
      <c r="BD47">
        <v>67.893501842490295</v>
      </c>
      <c r="BN47" s="18">
        <v>105.99355955581601</v>
      </c>
      <c r="BO47" s="18">
        <v>430</v>
      </c>
      <c r="BP47" s="18">
        <v>184.17863750304099</v>
      </c>
      <c r="BQ47">
        <v>401</v>
      </c>
      <c r="BR47" s="18">
        <v>159.18614210801499</v>
      </c>
      <c r="BS47" s="18">
        <v>318</v>
      </c>
      <c r="BT47" s="18">
        <v>132.43736924336099</v>
      </c>
      <c r="BU47">
        <v>272</v>
      </c>
      <c r="BV47" s="18">
        <v>119.78380244904299</v>
      </c>
      <c r="BW47">
        <v>237</v>
      </c>
      <c r="CV47" s="18">
        <v>114.896545959508</v>
      </c>
      <c r="CX47" s="18">
        <v>139.237049849313</v>
      </c>
      <c r="CZ47">
        <v>64.516438395746704</v>
      </c>
      <c r="DB47">
        <v>84.123035295581303</v>
      </c>
      <c r="DD47">
        <v>48.5420573650417</v>
      </c>
      <c r="DL47" s="18">
        <v>96.842883034692704</v>
      </c>
      <c r="DM47" s="18">
        <v>138</v>
      </c>
      <c r="DN47" s="18">
        <v>119.12401342592101</v>
      </c>
      <c r="DO47">
        <v>244</v>
      </c>
      <c r="DP47" s="18">
        <v>148.14042941562201</v>
      </c>
      <c r="DQ47">
        <v>329</v>
      </c>
      <c r="DR47" s="18">
        <v>216.98138533252899</v>
      </c>
      <c r="DS47">
        <v>210</v>
      </c>
      <c r="DT47" s="18">
        <v>81.844943434003298</v>
      </c>
      <c r="DU47">
        <v>167</v>
      </c>
      <c r="EB47" s="18">
        <v>149.14889893273701</v>
      </c>
      <c r="ED47">
        <v>26.9403067676189</v>
      </c>
    </row>
    <row r="48" spans="1:165" ht="13.15" x14ac:dyDescent="0.4">
      <c r="AE48" s="1"/>
      <c r="AP48" t="s">
        <v>256</v>
      </c>
      <c r="AQ48" s="1">
        <f>AVERAGE(Figure3!AQ3:AQ47)</f>
        <v>1354.5970444444442</v>
      </c>
      <c r="AU48" s="18"/>
      <c r="AV48" s="18">
        <v>134.630175352279</v>
      </c>
      <c r="AW48" s="18"/>
      <c r="AX48" s="18">
        <v>50.912448253438797</v>
      </c>
      <c r="AY48" s="18"/>
      <c r="AZ48">
        <v>30.274890428514201</v>
      </c>
      <c r="BA48" s="18"/>
      <c r="BB48">
        <v>154.60956905598101</v>
      </c>
      <c r="BD48">
        <v>17.9185977871593</v>
      </c>
      <c r="BN48" s="18">
        <v>121.211956518009</v>
      </c>
      <c r="BO48" s="18"/>
      <c r="BP48" s="18">
        <v>175.44548136400201</v>
      </c>
      <c r="BQ48" s="18"/>
      <c r="BR48" s="18">
        <v>74.7526648682136</v>
      </c>
      <c r="BS48" s="18"/>
      <c r="BT48" s="18">
        <v>27.941803504087101</v>
      </c>
      <c r="BV48" s="18">
        <v>75.128063936555094</v>
      </c>
      <c r="CD48" s="47" t="s">
        <v>302</v>
      </c>
      <c r="CE48" s="47"/>
      <c r="CF48" s="47"/>
      <c r="CG48" s="47"/>
      <c r="CV48" s="18">
        <v>103.89195262947101</v>
      </c>
      <c r="CX48" s="18">
        <v>149.30156689587201</v>
      </c>
      <c r="CZ48">
        <v>59.371177527243802</v>
      </c>
      <c r="DB48">
        <v>25.762416417287799</v>
      </c>
      <c r="DD48">
        <v>58.117125702486803</v>
      </c>
      <c r="DL48" s="18">
        <v>93.007753368089894</v>
      </c>
      <c r="DN48" s="18">
        <v>132.84437522519599</v>
      </c>
      <c r="DP48" s="18">
        <v>229.67640877938501</v>
      </c>
      <c r="DR48" s="18">
        <v>178.34852102412501</v>
      </c>
      <c r="DT48" s="18">
        <v>19.630112875591301</v>
      </c>
      <c r="EB48" s="18">
        <v>202.61959388254701</v>
      </c>
      <c r="ED48">
        <v>76.545736816396996</v>
      </c>
    </row>
    <row r="49" spans="3:135" ht="13.15" x14ac:dyDescent="0.4">
      <c r="AE49" s="1"/>
      <c r="AP49" t="s">
        <v>281</v>
      </c>
      <c r="AQ49" s="1">
        <f>STDEV(AQ3:AQ47)</f>
        <v>178.84304203444677</v>
      </c>
      <c r="AU49" s="18"/>
      <c r="AV49" s="18">
        <v>161.641616125176</v>
      </c>
      <c r="AW49" s="18"/>
      <c r="AX49" s="18">
        <v>47.972291353035097</v>
      </c>
      <c r="AY49" s="18"/>
      <c r="AZ49">
        <v>53.803497689778503</v>
      </c>
      <c r="BB49">
        <v>111.51013904137</v>
      </c>
      <c r="BD49">
        <v>155.99988083532301</v>
      </c>
      <c r="BN49" s="18">
        <v>192.19901547371501</v>
      </c>
      <c r="BO49" s="18"/>
      <c r="BP49" s="18">
        <v>89.336280244858202</v>
      </c>
      <c r="BQ49" s="18"/>
      <c r="BR49" s="18">
        <v>152.15141069283999</v>
      </c>
      <c r="BS49" s="18"/>
      <c r="BT49" s="18">
        <v>184.912920558173</v>
      </c>
      <c r="BV49" s="18">
        <v>51.631842063881301</v>
      </c>
      <c r="CD49" s="42" t="s">
        <v>150</v>
      </c>
      <c r="CE49" s="42"/>
      <c r="CF49" s="42" t="s">
        <v>151</v>
      </c>
      <c r="CG49" s="42"/>
      <c r="CV49" s="18">
        <v>98.286268110804102</v>
      </c>
      <c r="CZ49">
        <v>37.267651793547302</v>
      </c>
      <c r="DB49">
        <v>38.816653860964699</v>
      </c>
      <c r="DD49">
        <v>8.6330182519216496</v>
      </c>
      <c r="DL49" s="1">
        <f>SUM(Figure3!DL47:DL48)</f>
        <v>189.85063640278258</v>
      </c>
      <c r="DM49" s="1">
        <f>Figure3!DM47/Figure3!DL49</f>
        <v>0.72688721309957838</v>
      </c>
      <c r="DN49" s="18">
        <v>84.307552486169698</v>
      </c>
      <c r="DP49" s="18">
        <v>160.13109891155901</v>
      </c>
      <c r="DR49" s="1">
        <f>SUM(Figure3!DR47:DR48)</f>
        <v>395.32990635665396</v>
      </c>
      <c r="DS49" s="1">
        <f>Figure3!DS47/Figure3!DR49</f>
        <v>0.5312019066185818</v>
      </c>
      <c r="DT49" s="18">
        <v>28.241520678258301</v>
      </c>
      <c r="EB49" s="18">
        <v>91.929552381313897</v>
      </c>
      <c r="ED49">
        <v>37.671425146709304</v>
      </c>
    </row>
    <row r="50" spans="3:135" ht="13.15" x14ac:dyDescent="0.4">
      <c r="C50" s="1"/>
      <c r="L50" s="1"/>
      <c r="AP50" t="s">
        <v>284</v>
      </c>
      <c r="AQ50" s="1">
        <f>STDEV(AQ4:AQ48)</f>
        <v>178.81638725311103</v>
      </c>
      <c r="AU50" s="18"/>
      <c r="AV50" s="18">
        <v>133.34834450135801</v>
      </c>
      <c r="AW50" s="18"/>
      <c r="AX50" s="18">
        <v>243.859800249024</v>
      </c>
      <c r="AY50" s="18"/>
      <c r="AZ50">
        <v>164.78295855492701</v>
      </c>
      <c r="BA50" s="18"/>
      <c r="BD50">
        <v>116.462852312385</v>
      </c>
      <c r="BL50" s="18" t="s">
        <v>186</v>
      </c>
      <c r="BN50" s="1">
        <f>SUM(Figure3!BN47:BN49)</f>
        <v>419.40453154754005</v>
      </c>
      <c r="BO50" s="1">
        <f>Figure3!BO47/Figure3!BN50</f>
        <v>1.0252631234416192</v>
      </c>
      <c r="BP50" s="1">
        <f>SUM(Figure3!BP47:BP49)</f>
        <v>448.96039911190115</v>
      </c>
      <c r="BQ50" s="1">
        <f>Figure3!BQ47/Figure3!BP50</f>
        <v>0.89317454455499257</v>
      </c>
      <c r="BR50" s="1">
        <f>SUM(Figure3!BR47:BR49)</f>
        <v>386.09021766906858</v>
      </c>
      <c r="BS50" s="1">
        <f>Figure3!BS47/Figure3!BR50</f>
        <v>0.82364169162288625</v>
      </c>
      <c r="BT50" s="1">
        <f>SUM(Figure3!BT47:BT49)</f>
        <v>345.29209330562105</v>
      </c>
      <c r="BU50" s="1">
        <f>Figure3!BU47/Figure3!BT50</f>
        <v>0.78773886015180317</v>
      </c>
      <c r="BV50" s="18">
        <v>88.679126572625094</v>
      </c>
      <c r="CD50" s="8" t="s">
        <v>162</v>
      </c>
      <c r="CE50" s="8" t="s">
        <v>163</v>
      </c>
      <c r="CF50" s="8" t="s">
        <v>162</v>
      </c>
      <c r="CG50" s="8" t="s">
        <v>163</v>
      </c>
      <c r="CU50" s="18" t="s">
        <v>186</v>
      </c>
      <c r="CV50" s="1">
        <f>SUM(CV46:CV49)</f>
        <v>465.6921558776051</v>
      </c>
      <c r="CW50" s="1">
        <f>CW46/CV50</f>
        <v>0.24479690834638385</v>
      </c>
      <c r="CX50" s="1">
        <f>SUM(CX46:CX49)</f>
        <v>401.30121931712699</v>
      </c>
      <c r="CY50" s="1">
        <f>CY46/CX50</f>
        <v>0.42362193737980658</v>
      </c>
      <c r="CZ50" s="1">
        <f>SUM(CZ46:CZ49)</f>
        <v>242.78327553891609</v>
      </c>
      <c r="DA50" s="1">
        <f>DA46/CZ50</f>
        <v>0.16475599446135794</v>
      </c>
      <c r="DB50">
        <v>57.2504693112258</v>
      </c>
      <c r="DD50">
        <v>39.250564664957601</v>
      </c>
      <c r="DK50" s="18" t="s">
        <v>186</v>
      </c>
      <c r="DN50" s="1">
        <f>SUM(Figure3!DN47:DN49)</f>
        <v>336.27594113728668</v>
      </c>
      <c r="DO50" s="1">
        <f>Figure3!DO47/Figure3!DN50</f>
        <v>0.72559457918634007</v>
      </c>
      <c r="DP50" s="1">
        <f>SUM(Figure3!DP47:DP49)</f>
        <v>537.94793710656597</v>
      </c>
      <c r="DQ50" s="1">
        <f>Figure3!DQ47/Figure3!DP50</f>
        <v>0.61158334720935281</v>
      </c>
      <c r="DT50" s="18">
        <v>119.67498060716601</v>
      </c>
      <c r="EB50" s="18">
        <v>72.371862031400596</v>
      </c>
      <c r="ED50">
        <v>53.8152667895178</v>
      </c>
    </row>
    <row r="51" spans="3:135" ht="13.15" x14ac:dyDescent="0.4">
      <c r="L51" s="1"/>
      <c r="AU51" s="18"/>
      <c r="AV51" s="20">
        <f>SUM(AV46:AV50)</f>
        <v>562.51705349340796</v>
      </c>
      <c r="AW51" s="20">
        <f>AW46/AV51</f>
        <v>0.39109925402924367</v>
      </c>
      <c r="AX51" s="20">
        <f>SUM(AX46:AX50)</f>
        <v>614.51600286017685</v>
      </c>
      <c r="AY51" s="20">
        <f>AY46/AX51</f>
        <v>0.48981637353468183</v>
      </c>
      <c r="AZ51">
        <v>132.65730903552901</v>
      </c>
      <c r="BA51" s="18"/>
      <c r="BB51" s="20">
        <f>SUM(BB46:BB50)</f>
        <v>440.26374793743588</v>
      </c>
      <c r="BC51" s="20">
        <f>BC46/BB51</f>
        <v>0.40884583580472106</v>
      </c>
      <c r="BD51" s="20">
        <f>SUM(BD46:BD50)</f>
        <v>475.93492807637261</v>
      </c>
      <c r="BE51" s="20">
        <f>BE46/BD51</f>
        <v>0.31937139098899836</v>
      </c>
      <c r="BV51" s="1">
        <f>SUM(Figure3!BV47:BV50)</f>
        <v>335.2228350221045</v>
      </c>
      <c r="BW51" s="1">
        <f>Figure3!BW47/Figure3!BV51</f>
        <v>0.70699240994239632</v>
      </c>
      <c r="CD51" s="18">
        <v>87.179264928030705</v>
      </c>
      <c r="CE51">
        <v>370</v>
      </c>
      <c r="CF51">
        <v>127.466363463123</v>
      </c>
      <c r="CG51" s="18">
        <v>630</v>
      </c>
      <c r="DB51">
        <v>30.951985544949199</v>
      </c>
      <c r="DD51">
        <v>50.907928392539297</v>
      </c>
      <c r="DT51" s="1">
        <f>SUM(Figure3!DT47:DT50)</f>
        <v>249.39155759501892</v>
      </c>
      <c r="DU51" s="1">
        <f>Figure3!DU47/Figure3!DT51</f>
        <v>0.66962972448003777</v>
      </c>
      <c r="EB51" s="1">
        <f>SUM(EB46:EB50)</f>
        <v>598.46784997202747</v>
      </c>
      <c r="EC51" s="1">
        <f>EC46/EB51</f>
        <v>0.6733862145123356</v>
      </c>
      <c r="ED51">
        <v>37.590095467655203</v>
      </c>
    </row>
    <row r="52" spans="3:135" ht="13.15" x14ac:dyDescent="0.4">
      <c r="L52" s="1"/>
      <c r="AU52" s="18" t="s">
        <v>186</v>
      </c>
      <c r="AV52" s="18"/>
      <c r="AW52" s="18"/>
      <c r="AX52" s="18"/>
      <c r="AY52" s="18"/>
      <c r="AZ52" s="20">
        <f>SUM(AZ46:AZ51)</f>
        <v>556.25582069861525</v>
      </c>
      <c r="BA52" s="1">
        <f>BA46/AZ52</f>
        <v>0.27685103556595175</v>
      </c>
      <c r="BM52" s="18"/>
      <c r="BN52" s="18"/>
      <c r="BO52" s="18"/>
      <c r="CD52" s="18">
        <v>189.99045822511599</v>
      </c>
      <c r="CF52">
        <v>135.61116737514999</v>
      </c>
      <c r="CG52" s="18"/>
      <c r="DB52" s="1">
        <f>SUM(DB46:DB51)</f>
        <v>334.763238401161</v>
      </c>
      <c r="DC52" s="1">
        <f>DC46/DB52</f>
        <v>0.28378265323792057</v>
      </c>
      <c r="DD52" s="1">
        <f>SUM(DD46:DD51)</f>
        <v>305.51168245765604</v>
      </c>
      <c r="DE52" s="1">
        <f>DE46/DD52</f>
        <v>0.13747428465627073</v>
      </c>
      <c r="ED52">
        <v>35.288198857896603</v>
      </c>
    </row>
    <row r="53" spans="3:135" x14ac:dyDescent="0.35">
      <c r="AU53" s="18"/>
      <c r="AV53" s="18"/>
      <c r="AW53" s="18"/>
      <c r="AX53" s="18"/>
      <c r="AY53" s="18"/>
      <c r="AZ53" s="18"/>
      <c r="BM53" s="18"/>
      <c r="BN53" s="18"/>
      <c r="BO53" s="18"/>
      <c r="BP53" s="18"/>
      <c r="BR53" s="18"/>
      <c r="BS53" s="18"/>
      <c r="BT53" s="18"/>
      <c r="CD53" s="18">
        <v>170.91423332727101</v>
      </c>
      <c r="CF53">
        <v>52.691009185261699</v>
      </c>
      <c r="CG53" s="18"/>
      <c r="DM53" s="18"/>
      <c r="DN53" s="18"/>
      <c r="DO53" s="18"/>
      <c r="DQ53" s="18"/>
      <c r="ED53">
        <v>19.011928051643</v>
      </c>
    </row>
    <row r="54" spans="3:135" ht="13.15" x14ac:dyDescent="0.4">
      <c r="AU54" s="18"/>
      <c r="AV54" s="18"/>
      <c r="AW54" s="18"/>
      <c r="AX54" s="18"/>
      <c r="AY54" s="18"/>
      <c r="AZ54" s="18"/>
      <c r="BM54" s="18"/>
      <c r="BN54" s="18"/>
      <c r="BO54" s="18"/>
      <c r="BP54" s="18"/>
      <c r="BR54" s="18"/>
      <c r="BS54" s="18"/>
      <c r="BT54" s="18"/>
      <c r="CD54" s="1">
        <f>SUM(CD51:CD53)</f>
        <v>448.08395648041773</v>
      </c>
      <c r="CE54" s="20">
        <f>CE51/CD54</f>
        <v>0.82573811146074771</v>
      </c>
      <c r="CF54">
        <v>149.39537785946899</v>
      </c>
      <c r="CG54" s="18"/>
      <c r="DM54" s="18"/>
      <c r="DN54" s="18"/>
      <c r="DO54" s="18"/>
      <c r="DQ54" s="18"/>
      <c r="EA54" s="18" t="s">
        <v>186</v>
      </c>
      <c r="ED54" s="1">
        <f>SUM(ED46:ED53)</f>
        <v>336.07194553742295</v>
      </c>
      <c r="EE54" s="1">
        <f>EE46/ED54</f>
        <v>0.41657746758992842</v>
      </c>
    </row>
    <row r="55" spans="3:135" ht="13.15" x14ac:dyDescent="0.4">
      <c r="AU55" s="18"/>
      <c r="AV55" s="47" t="s">
        <v>303</v>
      </c>
      <c r="AW55" s="47"/>
      <c r="AX55" s="47"/>
      <c r="AY55" s="47"/>
      <c r="AZ55" s="47"/>
      <c r="BA55" s="47"/>
      <c r="BB55" s="8"/>
      <c r="BC55" s="8"/>
      <c r="BD55" s="8"/>
      <c r="BE55" s="8"/>
      <c r="BM55" s="18"/>
      <c r="BN55" s="47" t="s">
        <v>304</v>
      </c>
      <c r="BO55" s="47"/>
      <c r="BP55" s="47"/>
      <c r="BQ55" s="47"/>
      <c r="BR55" s="47"/>
      <c r="BS55" s="47"/>
      <c r="BT55" s="8"/>
      <c r="BU55" s="8"/>
      <c r="CC55" s="18" t="s">
        <v>186</v>
      </c>
      <c r="CE55" s="18"/>
      <c r="CF55" s="20">
        <f>SUM(CF51:CF54)</f>
        <v>465.16391788300371</v>
      </c>
      <c r="CG55" s="20">
        <f>CG51/CF55</f>
        <v>1.3543612816470758</v>
      </c>
      <c r="CV55" s="48" t="s">
        <v>305</v>
      </c>
      <c r="CW55" s="48"/>
      <c r="CX55" s="48"/>
      <c r="CY55" s="48"/>
      <c r="CZ55" s="48"/>
      <c r="DA55" s="48"/>
      <c r="DB55" s="8"/>
      <c r="DC55" s="8"/>
      <c r="DL55" s="48" t="s">
        <v>306</v>
      </c>
      <c r="DM55" s="48"/>
      <c r="DN55" s="48"/>
      <c r="DO55" s="48"/>
      <c r="DP55" s="48"/>
      <c r="DQ55" s="48"/>
      <c r="DR55" s="8"/>
      <c r="DS55" s="8"/>
    </row>
    <row r="56" spans="3:135" x14ac:dyDescent="0.35">
      <c r="AU56" s="18"/>
      <c r="AV56" s="42" t="s">
        <v>150</v>
      </c>
      <c r="AW56" s="42"/>
      <c r="AX56" s="42" t="s">
        <v>151</v>
      </c>
      <c r="AY56" s="42"/>
      <c r="AZ56" s="42" t="s">
        <v>152</v>
      </c>
      <c r="BA56" s="42"/>
      <c r="BB56" s="19"/>
      <c r="BC56" s="8"/>
      <c r="BD56" s="19"/>
      <c r="BE56" s="8"/>
      <c r="BM56" s="18"/>
      <c r="BN56" s="42" t="s">
        <v>150</v>
      </c>
      <c r="BO56" s="42"/>
      <c r="BP56" s="42" t="s">
        <v>151</v>
      </c>
      <c r="BQ56" s="42"/>
      <c r="BR56" s="42" t="s">
        <v>152</v>
      </c>
      <c r="BS56" s="42"/>
      <c r="BT56" s="42"/>
      <c r="BU56" s="42"/>
      <c r="CV56" s="42" t="s">
        <v>150</v>
      </c>
      <c r="CW56" s="42"/>
      <c r="CX56" s="42" t="s">
        <v>151</v>
      </c>
      <c r="CY56" s="42"/>
      <c r="CZ56" s="42" t="s">
        <v>152</v>
      </c>
      <c r="DA56" s="42"/>
      <c r="DB56" s="19"/>
      <c r="DC56" s="8"/>
      <c r="DL56" s="42" t="s">
        <v>150</v>
      </c>
      <c r="DM56" s="42"/>
      <c r="DN56" s="42" t="s">
        <v>151</v>
      </c>
      <c r="DO56" s="42"/>
      <c r="DP56" s="42" t="s">
        <v>152</v>
      </c>
      <c r="DQ56" s="42"/>
      <c r="DR56" s="42"/>
      <c r="DS56" s="42"/>
    </row>
    <row r="57" spans="3:135" x14ac:dyDescent="0.35">
      <c r="AU57" s="18"/>
      <c r="AV57" s="8" t="s">
        <v>162</v>
      </c>
      <c r="AW57" s="8" t="s">
        <v>163</v>
      </c>
      <c r="AX57" s="8" t="s">
        <v>162</v>
      </c>
      <c r="AY57" s="8" t="s">
        <v>163</v>
      </c>
      <c r="AZ57" s="8" t="s">
        <v>162</v>
      </c>
      <c r="BA57" s="8" t="s">
        <v>163</v>
      </c>
      <c r="BB57" s="8"/>
      <c r="BC57" s="8"/>
      <c r="BD57" s="8"/>
      <c r="BE57" s="8"/>
      <c r="BN57" s="8" t="s">
        <v>162</v>
      </c>
      <c r="BO57" s="8" t="s">
        <v>163</v>
      </c>
      <c r="BP57" s="8" t="s">
        <v>162</v>
      </c>
      <c r="BQ57" s="8" t="s">
        <v>163</v>
      </c>
      <c r="BR57" s="8" t="s">
        <v>162</v>
      </c>
      <c r="BS57" s="8" t="s">
        <v>163</v>
      </c>
      <c r="BT57" s="8"/>
      <c r="BU57" s="8"/>
      <c r="CV57" s="8" t="s">
        <v>162</v>
      </c>
      <c r="CW57" s="8" t="s">
        <v>163</v>
      </c>
      <c r="CX57" s="8" t="s">
        <v>162</v>
      </c>
      <c r="CY57" s="8" t="s">
        <v>163</v>
      </c>
      <c r="CZ57" s="8" t="s">
        <v>162</v>
      </c>
      <c r="DA57" s="8" t="s">
        <v>163</v>
      </c>
      <c r="DB57" s="8"/>
      <c r="DC57" s="8"/>
      <c r="DL57" s="8" t="s">
        <v>162</v>
      </c>
      <c r="DM57" s="8" t="s">
        <v>163</v>
      </c>
      <c r="DN57" s="8" t="s">
        <v>162</v>
      </c>
      <c r="DO57" s="8" t="s">
        <v>163</v>
      </c>
      <c r="DP57" s="8" t="s">
        <v>162</v>
      </c>
      <c r="DQ57" s="8" t="s">
        <v>163</v>
      </c>
      <c r="DR57" s="8"/>
      <c r="DS57" s="8"/>
    </row>
    <row r="58" spans="3:135" x14ac:dyDescent="0.35">
      <c r="G58" s="8"/>
      <c r="AU58" s="18"/>
      <c r="AV58" s="18">
        <v>107.76905309371</v>
      </c>
      <c r="AW58" s="18">
        <v>176</v>
      </c>
      <c r="AX58" s="18">
        <v>160.120010947016</v>
      </c>
      <c r="AY58" s="18">
        <v>123</v>
      </c>
      <c r="AZ58">
        <v>158.35705197650799</v>
      </c>
      <c r="BA58">
        <v>145</v>
      </c>
      <c r="BN58" s="18">
        <v>204.045842378191</v>
      </c>
      <c r="BO58">
        <v>476</v>
      </c>
      <c r="BP58">
        <v>227.036697977995</v>
      </c>
      <c r="BQ58">
        <v>419</v>
      </c>
      <c r="BR58">
        <v>180.171766288512</v>
      </c>
      <c r="BS58">
        <v>293</v>
      </c>
      <c r="CV58" s="18">
        <v>73.7088707049124</v>
      </c>
      <c r="CW58">
        <v>120</v>
      </c>
      <c r="CX58" s="18">
        <v>106.214753895241</v>
      </c>
      <c r="CY58">
        <v>71</v>
      </c>
      <c r="CZ58">
        <v>92.919218543679506</v>
      </c>
      <c r="DA58">
        <v>100</v>
      </c>
      <c r="DL58" s="18">
        <v>182.95744020422899</v>
      </c>
      <c r="DM58" s="18">
        <f>629-476</f>
        <v>153</v>
      </c>
      <c r="DN58">
        <v>145.81652229027</v>
      </c>
      <c r="DO58" s="18">
        <v>264</v>
      </c>
      <c r="DP58">
        <v>203.590936962006</v>
      </c>
      <c r="DQ58" s="18">
        <v>243</v>
      </c>
    </row>
    <row r="59" spans="3:135" ht="13.15" x14ac:dyDescent="0.4">
      <c r="AU59" s="18"/>
      <c r="AV59" s="18">
        <v>228.667805644727</v>
      </c>
      <c r="AW59" s="18"/>
      <c r="AX59" s="18">
        <v>49.104895663376602</v>
      </c>
      <c r="AY59" s="18"/>
      <c r="AZ59">
        <v>147.53337525904701</v>
      </c>
      <c r="BN59" s="18">
        <v>157.02845624685801</v>
      </c>
      <c r="BP59">
        <v>143.643389704751</v>
      </c>
      <c r="BQ59" s="18"/>
      <c r="BR59">
        <v>106.988327816344</v>
      </c>
      <c r="BT59" s="18"/>
      <c r="CE59" s="47" t="s">
        <v>307</v>
      </c>
      <c r="CF59" s="47"/>
      <c r="CV59" s="18">
        <v>35.897300383087803</v>
      </c>
      <c r="CX59" s="18">
        <v>28.802627756133202</v>
      </c>
      <c r="CZ59">
        <v>78.694205540850504</v>
      </c>
      <c r="DL59" s="18">
        <v>94.958848932901304</v>
      </c>
      <c r="DN59">
        <v>183.212630419893</v>
      </c>
      <c r="DP59">
        <v>46.362966408510502</v>
      </c>
      <c r="EB59" s="48" t="s">
        <v>308</v>
      </c>
      <c r="EC59" s="48"/>
    </row>
    <row r="60" spans="3:135" x14ac:dyDescent="0.35">
      <c r="AU60" s="18"/>
      <c r="AV60" s="18">
        <v>145.59860828704899</v>
      </c>
      <c r="AW60" s="18"/>
      <c r="AX60" s="18">
        <v>75.709490108035396</v>
      </c>
      <c r="AY60" s="18"/>
      <c r="AZ60">
        <v>221.88627816056899</v>
      </c>
      <c r="BN60" s="18">
        <v>144.55052414711699</v>
      </c>
      <c r="BP60">
        <v>98.4800449718919</v>
      </c>
      <c r="BQ60" s="18"/>
      <c r="BR60">
        <v>169.313738424289</v>
      </c>
      <c r="BT60" s="18"/>
      <c r="CE60" t="s">
        <v>309</v>
      </c>
      <c r="CF60" t="s">
        <v>186</v>
      </c>
      <c r="CV60" s="18">
        <v>83.827865708707904</v>
      </c>
      <c r="CX60" s="18">
        <v>30.661605957775699</v>
      </c>
      <c r="CZ60">
        <v>66.436311466491404</v>
      </c>
      <c r="DN60">
        <v>168.52944132496299</v>
      </c>
      <c r="DP60">
        <v>99.989707189890098</v>
      </c>
      <c r="EB60" t="s">
        <v>309</v>
      </c>
      <c r="EC60" t="s">
        <v>186</v>
      </c>
    </row>
    <row r="61" spans="3:135" ht="13.15" x14ac:dyDescent="0.4">
      <c r="G61" s="8"/>
      <c r="AU61" s="18"/>
      <c r="AV61" s="18">
        <v>111.570183602524</v>
      </c>
      <c r="AW61" s="18"/>
      <c r="AX61" s="18">
        <v>148.23113828153899</v>
      </c>
      <c r="AY61" s="18"/>
      <c r="BL61" s="18" t="s">
        <v>186</v>
      </c>
      <c r="BN61" s="1">
        <f>SUM(BN58:BN60)</f>
        <v>505.624822772166</v>
      </c>
      <c r="BO61" s="20">
        <f>BO58/BN61</f>
        <v>0.94140947707087763</v>
      </c>
      <c r="BP61" s="1">
        <f>SUM(BP58:BP60)</f>
        <v>469.16013265463795</v>
      </c>
      <c r="BQ61" s="20">
        <f>BQ58/BP61</f>
        <v>0.89308526201743099</v>
      </c>
      <c r="BR61" s="1">
        <f>SUM(BR58:BR60)</f>
        <v>456.473832529145</v>
      </c>
      <c r="BS61" s="20">
        <f>BS58/BR61</f>
        <v>0.64187688125866993</v>
      </c>
      <c r="BT61" s="18"/>
      <c r="CE61">
        <v>505.54135284928202</v>
      </c>
      <c r="CF61">
        <v>0.53605901569202397</v>
      </c>
      <c r="CV61" s="18">
        <v>25.861040019563099</v>
      </c>
      <c r="CX61" s="18">
        <v>107.175941912914</v>
      </c>
      <c r="CZ61">
        <v>23.785137923689099</v>
      </c>
      <c r="DL61" s="1">
        <f>SUM(DL58:DL60)</f>
        <v>277.91628913713032</v>
      </c>
      <c r="DM61" s="1">
        <f>DM58/DL61</f>
        <v>0.55052548547993263</v>
      </c>
      <c r="DN61" s="1">
        <f>SUM(DN58:DN60)</f>
        <v>497.55859403512596</v>
      </c>
      <c r="DO61" s="1">
        <f>DO58/DN61</f>
        <v>0.53059077496581741</v>
      </c>
      <c r="DP61">
        <v>47.341059785327303</v>
      </c>
      <c r="EB61">
        <v>433.31172010683599</v>
      </c>
      <c r="EC61">
        <v>0.43848340855667101</v>
      </c>
    </row>
    <row r="62" spans="3:135" x14ac:dyDescent="0.35">
      <c r="AU62" s="18"/>
      <c r="AV62" s="18">
        <v>161.32467588406001</v>
      </c>
      <c r="AW62" s="18"/>
      <c r="AX62" s="18">
        <v>127.40910200036301</v>
      </c>
      <c r="AY62" s="18"/>
      <c r="CE62">
        <v>352.90920386690902</v>
      </c>
      <c r="CF62">
        <v>0.80473956725453799</v>
      </c>
      <c r="CV62" s="18">
        <v>88.261396578550304</v>
      </c>
      <c r="CX62" s="18">
        <v>45.63046542363</v>
      </c>
      <c r="CZ62">
        <v>50.9256708204597</v>
      </c>
      <c r="DP62">
        <v>66.295199329803395</v>
      </c>
      <c r="EB62">
        <v>310.98700428710998</v>
      </c>
      <c r="EC62">
        <v>0.76530529160077998</v>
      </c>
    </row>
    <row r="63" spans="3:135" ht="13.15" x14ac:dyDescent="0.4">
      <c r="AU63" s="18" t="s">
        <v>186</v>
      </c>
      <c r="AV63" s="20">
        <f>SUM(AV58:AV62)</f>
        <v>754.93032651207</v>
      </c>
      <c r="AW63" s="20">
        <f>AW58/AV63</f>
        <v>0.23313409704065727</v>
      </c>
      <c r="AX63" s="20">
        <f>SUM(AX58:AX62)</f>
        <v>560.57463700032997</v>
      </c>
      <c r="AY63" s="20">
        <f>AY58/AX63</f>
        <v>0.21941770440807082</v>
      </c>
      <c r="AZ63" s="20">
        <f>SUM(AZ58:AZ62)</f>
        <v>527.77670539612393</v>
      </c>
      <c r="BA63" s="20">
        <f>BA58/AZ63</f>
        <v>0.2747374003389747</v>
      </c>
      <c r="CE63">
        <v>332.30657301655299</v>
      </c>
      <c r="CF63">
        <v>0.73727100182215299</v>
      </c>
      <c r="CV63" s="18">
        <v>22.367689390921999</v>
      </c>
      <c r="CX63" s="18">
        <v>70.4560544674124</v>
      </c>
      <c r="CZ63">
        <v>65.470839457697707</v>
      </c>
      <c r="DK63" s="18" t="s">
        <v>186</v>
      </c>
      <c r="DP63" s="1">
        <f>SUM(DP58:DP62)</f>
        <v>463.57986967553734</v>
      </c>
      <c r="DQ63" s="1">
        <f>DQ58/DP63</f>
        <v>0.52418151842977423</v>
      </c>
      <c r="EB63">
        <v>366.60008481130001</v>
      </c>
      <c r="EC63">
        <v>0.72285853435195802</v>
      </c>
    </row>
    <row r="64" spans="3:135" x14ac:dyDescent="0.35">
      <c r="AU64" s="18"/>
      <c r="AV64" s="18"/>
      <c r="AW64" s="18"/>
      <c r="AX64" s="18"/>
      <c r="AY64" s="18"/>
      <c r="CE64">
        <v>512.92580412358905</v>
      </c>
      <c r="CF64">
        <v>0.43865993520143998</v>
      </c>
      <c r="CV64" s="18">
        <v>93.192522960997195</v>
      </c>
      <c r="CZ64">
        <v>17.745609527968899</v>
      </c>
      <c r="EB64">
        <v>370.184559143304</v>
      </c>
      <c r="EC64">
        <v>0.66453338996446298</v>
      </c>
    </row>
    <row r="65" spans="7:133" ht="13.15" x14ac:dyDescent="0.4">
      <c r="AU65" s="18"/>
      <c r="AV65" s="18"/>
      <c r="AW65" s="18"/>
      <c r="AX65" s="18"/>
      <c r="AY65" s="18"/>
      <c r="BO65" s="47" t="s">
        <v>307</v>
      </c>
      <c r="BP65" s="47"/>
      <c r="CE65">
        <v>431.91103605757797</v>
      </c>
      <c r="CF65">
        <v>0.90064843804579897</v>
      </c>
      <c r="CU65" s="18" t="s">
        <v>186</v>
      </c>
      <c r="CV65" s="1">
        <f>SUM(CV58:CV64)</f>
        <v>423.1166857467407</v>
      </c>
      <c r="CW65" s="1">
        <f>CW58/CV65</f>
        <v>0.28360970872187913</v>
      </c>
      <c r="CX65" s="1">
        <f>SUM(CX58:CX64)</f>
        <v>388.94144941310628</v>
      </c>
      <c r="CY65" s="1">
        <f>CY58/CX65</f>
        <v>0.182546756348894</v>
      </c>
      <c r="CZ65" s="1">
        <f>SUM(CZ58:CZ64)</f>
        <v>395.97699328083678</v>
      </c>
      <c r="DA65" s="1">
        <f>DA58/CZ65</f>
        <v>0.25253992453313445</v>
      </c>
      <c r="EB65">
        <v>222.10102844437199</v>
      </c>
      <c r="EC65">
        <v>0.540294661580351</v>
      </c>
    </row>
    <row r="66" spans="7:133" x14ac:dyDescent="0.35">
      <c r="AU66" s="18"/>
      <c r="AV66" s="18"/>
      <c r="AW66" s="18"/>
      <c r="AX66" s="18"/>
      <c r="AY66" s="18"/>
      <c r="BO66" t="s">
        <v>309</v>
      </c>
      <c r="BP66" t="s">
        <v>186</v>
      </c>
      <c r="CE66">
        <v>485.73025154449999</v>
      </c>
      <c r="CF66">
        <v>1.20848968770936</v>
      </c>
      <c r="EB66">
        <v>301.97058904076403</v>
      </c>
      <c r="EC66">
        <v>0.99678581598344795</v>
      </c>
    </row>
    <row r="67" spans="7:133" ht="13.15" x14ac:dyDescent="0.4">
      <c r="AU67" s="18"/>
      <c r="AV67" s="47" t="s">
        <v>310</v>
      </c>
      <c r="AW67" s="47"/>
      <c r="AX67" s="47"/>
      <c r="AY67" s="47"/>
      <c r="AZ67" s="47"/>
      <c r="BA67" s="47"/>
      <c r="BB67" s="47"/>
      <c r="BC67" s="47"/>
      <c r="BD67" s="47"/>
      <c r="BE67" s="47"/>
      <c r="BO67">
        <v>366.81079430501399</v>
      </c>
      <c r="BP67">
        <v>0.44709698445686702</v>
      </c>
      <c r="CE67">
        <v>388.68512214742498</v>
      </c>
      <c r="CF67">
        <v>1.06255674958239</v>
      </c>
      <c r="CV67" s="48" t="s">
        <v>311</v>
      </c>
      <c r="CW67" s="48"/>
      <c r="CX67" s="48"/>
      <c r="CY67" s="48"/>
      <c r="CZ67" s="48"/>
      <c r="DA67" s="48"/>
      <c r="DB67" s="48"/>
      <c r="DC67" s="48"/>
      <c r="DD67" s="48"/>
      <c r="DE67" s="48"/>
      <c r="EB67">
        <v>401.08047810039</v>
      </c>
      <c r="EC67">
        <v>0.82277751727771997</v>
      </c>
    </row>
    <row r="68" spans="7:133" ht="13.15" x14ac:dyDescent="0.4">
      <c r="G68" s="8"/>
      <c r="AU68" s="18"/>
      <c r="AV68" s="42" t="s">
        <v>150</v>
      </c>
      <c r="AW68" s="42"/>
      <c r="AX68" s="42" t="s">
        <v>151</v>
      </c>
      <c r="AY68" s="42"/>
      <c r="AZ68" s="42" t="s">
        <v>152</v>
      </c>
      <c r="BA68" s="42"/>
      <c r="BB68" s="42" t="s">
        <v>153</v>
      </c>
      <c r="BC68" s="42"/>
      <c r="BD68" s="42" t="s">
        <v>154</v>
      </c>
      <c r="BE68" s="42"/>
      <c r="BO68">
        <v>384.75494228119999</v>
      </c>
      <c r="BP68">
        <v>0.740731225725767</v>
      </c>
      <c r="CE68">
        <v>436.64981732662602</v>
      </c>
      <c r="CF68">
        <v>1.1153102112389299</v>
      </c>
      <c r="CV68" s="42" t="s">
        <v>150</v>
      </c>
      <c r="CW68" s="42"/>
      <c r="CX68" s="42" t="s">
        <v>151</v>
      </c>
      <c r="CY68" s="42"/>
      <c r="CZ68" s="42" t="s">
        <v>152</v>
      </c>
      <c r="DA68" s="42"/>
      <c r="DB68" s="42" t="s">
        <v>153</v>
      </c>
      <c r="DC68" s="42"/>
      <c r="DD68" s="42" t="s">
        <v>154</v>
      </c>
      <c r="DE68" s="42"/>
      <c r="DL68" s="48" t="s">
        <v>308</v>
      </c>
      <c r="DM68" s="48"/>
      <c r="EB68">
        <v>358.74321502261103</v>
      </c>
      <c r="EC68">
        <v>1.03695340963188</v>
      </c>
    </row>
    <row r="69" spans="7:133" x14ac:dyDescent="0.35">
      <c r="AU69" s="18"/>
      <c r="AV69" s="8" t="s">
        <v>162</v>
      </c>
      <c r="AW69" s="8" t="s">
        <v>163</v>
      </c>
      <c r="AX69" s="8" t="s">
        <v>162</v>
      </c>
      <c r="AY69" s="8" t="s">
        <v>163</v>
      </c>
      <c r="AZ69" s="8" t="s">
        <v>162</v>
      </c>
      <c r="BA69" s="8" t="s">
        <v>163</v>
      </c>
      <c r="BB69" s="8" t="s">
        <v>162</v>
      </c>
      <c r="BC69" s="8" t="s">
        <v>163</v>
      </c>
      <c r="BD69" s="8" t="s">
        <v>162</v>
      </c>
      <c r="BE69" s="8" t="s">
        <v>163</v>
      </c>
      <c r="BO69">
        <v>375.85506176344398</v>
      </c>
      <c r="BP69">
        <v>0.691756015683618</v>
      </c>
      <c r="CE69">
        <v>426.47076402956498</v>
      </c>
      <c r="CF69">
        <v>1.15834435010826</v>
      </c>
      <c r="CV69" s="8" t="s">
        <v>162</v>
      </c>
      <c r="CW69" s="8" t="s">
        <v>163</v>
      </c>
      <c r="CX69" s="8" t="s">
        <v>162</v>
      </c>
      <c r="CY69" s="8" t="s">
        <v>163</v>
      </c>
      <c r="CZ69" s="8" t="s">
        <v>162</v>
      </c>
      <c r="DA69" s="8" t="s">
        <v>163</v>
      </c>
      <c r="DB69" s="8" t="s">
        <v>162</v>
      </c>
      <c r="DC69" s="8" t="s">
        <v>163</v>
      </c>
      <c r="DD69" s="8" t="s">
        <v>162</v>
      </c>
      <c r="DE69" s="8" t="s">
        <v>163</v>
      </c>
      <c r="DL69" t="s">
        <v>309</v>
      </c>
      <c r="DM69" t="s">
        <v>186</v>
      </c>
      <c r="EB69">
        <v>391.779319027859</v>
      </c>
      <c r="EC69">
        <v>0.87549286892197997</v>
      </c>
    </row>
    <row r="70" spans="7:133" x14ac:dyDescent="0.35">
      <c r="AU70" s="18"/>
      <c r="AV70" s="18">
        <v>170.34125828307401</v>
      </c>
      <c r="AW70" s="18">
        <v>207</v>
      </c>
      <c r="AX70">
        <v>165.776526655655</v>
      </c>
      <c r="AY70" s="18">
        <v>378</v>
      </c>
      <c r="AZ70" s="18">
        <v>64.533120329423994</v>
      </c>
      <c r="BA70">
        <v>75</v>
      </c>
      <c r="BB70" s="18">
        <v>169.804796065179</v>
      </c>
      <c r="BC70">
        <v>56</v>
      </c>
      <c r="BD70">
        <v>203.52178722665599</v>
      </c>
      <c r="BE70">
        <v>165</v>
      </c>
      <c r="BO70">
        <v>504.61389782491898</v>
      </c>
      <c r="BP70">
        <v>0.66783733355858799</v>
      </c>
      <c r="CE70">
        <v>479.89684538030701</v>
      </c>
      <c r="CF70">
        <v>0.72098827764913398</v>
      </c>
      <c r="CV70" s="18">
        <v>90.503712890515899</v>
      </c>
      <c r="CW70">
        <v>93</v>
      </c>
      <c r="CX70">
        <v>132.916499192038</v>
      </c>
      <c r="CY70">
        <v>147</v>
      </c>
      <c r="CZ70">
        <v>77.6800769809157</v>
      </c>
      <c r="DA70">
        <v>29</v>
      </c>
      <c r="DB70" s="18">
        <v>141.135780134611</v>
      </c>
      <c r="DC70">
        <v>62</v>
      </c>
      <c r="DD70">
        <v>68.530425413465196</v>
      </c>
      <c r="DE70">
        <v>146</v>
      </c>
      <c r="EB70">
        <v>381.730997097959</v>
      </c>
      <c r="EC70">
        <v>0.89591886066364301</v>
      </c>
    </row>
    <row r="71" spans="7:133" x14ac:dyDescent="0.35">
      <c r="AU71" s="18"/>
      <c r="AV71" s="18">
        <v>39.149762614907402</v>
      </c>
      <c r="AW71" s="18"/>
      <c r="AX71">
        <v>155.591106464257</v>
      </c>
      <c r="AY71" s="18"/>
      <c r="AZ71" s="18">
        <v>79.644513480861804</v>
      </c>
      <c r="BB71" s="18">
        <v>85.343906956979794</v>
      </c>
      <c r="BD71">
        <v>95.779137107613295</v>
      </c>
      <c r="BO71">
        <v>471.92661289380197</v>
      </c>
      <c r="BP71">
        <v>0.63781103200411104</v>
      </c>
      <c r="CE71">
        <v>471.06709658119399</v>
      </c>
      <c r="CF71">
        <v>0.78120506117024202</v>
      </c>
      <c r="CV71" s="18">
        <v>38.324663385803198</v>
      </c>
      <c r="CX71">
        <v>73.007742206270194</v>
      </c>
      <c r="CZ71">
        <v>82.9346139552446</v>
      </c>
      <c r="DB71" s="18">
        <v>51.503654801369002</v>
      </c>
      <c r="DD71">
        <v>78.642141566904897</v>
      </c>
      <c r="DL71">
        <v>414.84748593705098</v>
      </c>
      <c r="DM71">
        <v>0.63878897422126601</v>
      </c>
      <c r="EB71">
        <v>365.18203437662203</v>
      </c>
      <c r="EC71">
        <v>0.88996711066245604</v>
      </c>
    </row>
    <row r="72" spans="7:133" x14ac:dyDescent="0.35">
      <c r="AU72" s="18"/>
      <c r="AV72" s="18">
        <v>106.690079672438</v>
      </c>
      <c r="AW72" s="18"/>
      <c r="AX72">
        <v>70.611444537668504</v>
      </c>
      <c r="AY72" s="18"/>
      <c r="AZ72" s="18">
        <v>147.75134255329399</v>
      </c>
      <c r="BA72" s="18"/>
      <c r="BB72" s="18">
        <v>83.873918454210795</v>
      </c>
      <c r="BD72">
        <v>113.46943170038099</v>
      </c>
      <c r="BO72">
        <v>549.80972144348505</v>
      </c>
      <c r="BP72">
        <v>0.68569176807244203</v>
      </c>
      <c r="CE72">
        <v>388.81921188843103</v>
      </c>
      <c r="CF72">
        <v>1.2473663470599501</v>
      </c>
      <c r="CV72" s="18">
        <v>58.4687648575689</v>
      </c>
      <c r="CX72">
        <v>66.138964504987399</v>
      </c>
      <c r="CZ72">
        <v>33.9031448017071</v>
      </c>
      <c r="DB72" s="18">
        <v>25.457269764008</v>
      </c>
      <c r="DD72">
        <v>28.587203644223798</v>
      </c>
      <c r="DL72">
        <v>307.41990127737398</v>
      </c>
      <c r="DM72">
        <v>0.62780580957204601</v>
      </c>
      <c r="EB72">
        <v>217.46067811925599</v>
      </c>
      <c r="EC72">
        <v>0.65759015025961798</v>
      </c>
    </row>
    <row r="73" spans="7:133" x14ac:dyDescent="0.35">
      <c r="AU73" s="18"/>
      <c r="AV73" s="18">
        <v>42.089122956732197</v>
      </c>
      <c r="AW73" s="18"/>
      <c r="AX73">
        <v>157.354164058534</v>
      </c>
      <c r="AY73" s="18"/>
      <c r="AZ73" s="18">
        <v>14.3314870372686</v>
      </c>
      <c r="BA73" s="18"/>
      <c r="BD73">
        <v>63.508304583123198</v>
      </c>
      <c r="BO73">
        <v>520.60672245810701</v>
      </c>
      <c r="BP73">
        <v>0.73952176065298703</v>
      </c>
      <c r="CE73">
        <v>510.10954987397702</v>
      </c>
      <c r="CF73">
        <v>0.452843903936063</v>
      </c>
      <c r="CV73" s="18">
        <v>22.442647576359999</v>
      </c>
      <c r="CX73">
        <v>43.949182323041597</v>
      </c>
      <c r="CZ73">
        <v>59.538879854542202</v>
      </c>
      <c r="DB73" s="18">
        <v>34.5779768503375</v>
      </c>
      <c r="DD73">
        <v>41.486679866238099</v>
      </c>
      <c r="DL73">
        <v>373.19455636091197</v>
      </c>
      <c r="DM73">
        <v>0.47428344541238499</v>
      </c>
      <c r="EB73">
        <v>277.84731573282301</v>
      </c>
      <c r="EC73">
        <v>0.64423872344379896</v>
      </c>
    </row>
    <row r="74" spans="7:133" ht="13.15" x14ac:dyDescent="0.4">
      <c r="AU74" s="18"/>
      <c r="AV74" s="20">
        <f>SUM(AV70:AV73)</f>
        <v>358.27022352715159</v>
      </c>
      <c r="AW74" s="20">
        <f>AW70/AV74</f>
        <v>0.57777617676985782</v>
      </c>
      <c r="AX74" s="20">
        <f>SUM(AX70:AX73)</f>
        <v>549.33324171611446</v>
      </c>
      <c r="AY74" s="20">
        <f>AY70/AX74</f>
        <v>0.68810691087823084</v>
      </c>
      <c r="AZ74">
        <v>186.19700546955499</v>
      </c>
      <c r="BA74" s="18"/>
      <c r="BB74" s="20">
        <f>SUM(BB70:BB73)</f>
        <v>339.02262147636958</v>
      </c>
      <c r="BC74" s="20">
        <f>BC70/BB74</f>
        <v>0.16518071790057021</v>
      </c>
      <c r="BD74" s="20">
        <f>SUM(BD70:BD73)</f>
        <v>476.27866061777348</v>
      </c>
      <c r="BE74" s="20">
        <f>BE70/BD74</f>
        <v>0.34643584448226405</v>
      </c>
      <c r="BO74">
        <v>492.409809434414</v>
      </c>
      <c r="BP74">
        <v>1.4357959294354099</v>
      </c>
      <c r="CE74">
        <v>377.90144593801602</v>
      </c>
      <c r="CF74">
        <v>0.918228823228466</v>
      </c>
      <c r="CV74" s="18">
        <v>42.245731294558098</v>
      </c>
      <c r="CX74">
        <v>104.654418873558</v>
      </c>
      <c r="CZ74">
        <v>95.917617206233601</v>
      </c>
      <c r="DD74">
        <v>77.337769354510101</v>
      </c>
      <c r="DL74">
        <v>472.412684033392</v>
      </c>
      <c r="DM74">
        <v>0.56306701532424996</v>
      </c>
      <c r="EB74">
        <v>378.41033840387502</v>
      </c>
      <c r="EC74">
        <v>0.90113817037433097</v>
      </c>
    </row>
    <row r="75" spans="7:133" ht="13.15" x14ac:dyDescent="0.4">
      <c r="AU75" s="18" t="s">
        <v>186</v>
      </c>
      <c r="AV75" s="18"/>
      <c r="AW75" s="18"/>
      <c r="AX75" s="18"/>
      <c r="AY75" s="18"/>
      <c r="AZ75" s="1">
        <f>SUM(AZ70:AZ74)</f>
        <v>492.45746887040332</v>
      </c>
      <c r="BA75" s="20">
        <f>BA70/AZ75</f>
        <v>0.15229741600230912</v>
      </c>
      <c r="BO75">
        <v>290.62344377131802</v>
      </c>
      <c r="BP75">
        <v>0.84989702411742196</v>
      </c>
      <c r="CE75">
        <v>483.27075508887901</v>
      </c>
      <c r="CF75">
        <v>0.490408321845201</v>
      </c>
      <c r="CV75" s="1">
        <f>SUM(CV70:CV74)</f>
        <v>251.98552000480606</v>
      </c>
      <c r="CW75" s="1">
        <f>CW70/CV75</f>
        <v>0.36906882585247847</v>
      </c>
      <c r="CX75">
        <v>82.4753029498941</v>
      </c>
      <c r="CZ75" s="1">
        <f>SUM(CZ70:CZ74)</f>
        <v>349.97433279864322</v>
      </c>
      <c r="DA75" s="1">
        <f>DA70/CZ75</f>
        <v>8.2863219619837294E-2</v>
      </c>
      <c r="DB75" s="1">
        <f>SUM(DB70:DB74)</f>
        <v>252.67468155032552</v>
      </c>
      <c r="DC75" s="1">
        <f>DC70/DB75</f>
        <v>0.24537480217483282</v>
      </c>
      <c r="DD75">
        <v>67.775389542238898</v>
      </c>
      <c r="DL75">
        <v>319.16566016966101</v>
      </c>
      <c r="DM75">
        <v>0.48564121816114397</v>
      </c>
      <c r="EB75">
        <v>359.076657901396</v>
      </c>
      <c r="EC75">
        <v>0.36482460532417399</v>
      </c>
    </row>
    <row r="76" spans="7:133" ht="13.15" x14ac:dyDescent="0.4">
      <c r="BO76">
        <v>295.62169477064401</v>
      </c>
      <c r="BP76">
        <v>0.74757706862976003</v>
      </c>
      <c r="CE76">
        <v>328.942425646777</v>
      </c>
      <c r="CF76">
        <v>0.78737183107574504</v>
      </c>
      <c r="CU76" s="18" t="s">
        <v>186</v>
      </c>
      <c r="CX76" s="1">
        <f>SUM(CX70:CX75)</f>
        <v>503.14211004978932</v>
      </c>
      <c r="CY76" s="1">
        <f>CY70/CX76</f>
        <v>0.29216397726171905</v>
      </c>
      <c r="DD76">
        <v>81.901408128138499</v>
      </c>
      <c r="DL76">
        <v>471.15075350057703</v>
      </c>
      <c r="DM76">
        <v>0.60065700393632804</v>
      </c>
      <c r="EB76">
        <v>386.10898440031599</v>
      </c>
      <c r="EC76">
        <v>0.74072350438620205</v>
      </c>
    </row>
    <row r="77" spans="7:133" ht="13.15" x14ac:dyDescent="0.4">
      <c r="BO77">
        <v>292.315897670955</v>
      </c>
      <c r="BP77">
        <v>0.92023732593155105</v>
      </c>
      <c r="CE77">
        <v>347.706705446</v>
      </c>
      <c r="CF77">
        <v>1.09287509860524</v>
      </c>
      <c r="DD77" s="1">
        <f>SUM(DD70:DD76)</f>
        <v>444.26101751571946</v>
      </c>
      <c r="DE77" s="1">
        <f>DE70/DD77</f>
        <v>0.32863563140521107</v>
      </c>
      <c r="DL77">
        <v>383.09198235486002</v>
      </c>
      <c r="DM77">
        <v>0.67607784012583905</v>
      </c>
      <c r="EB77">
        <v>324.76020864415898</v>
      </c>
      <c r="EC77">
        <v>1.10543099322047</v>
      </c>
    </row>
    <row r="78" spans="7:133" ht="13.15" x14ac:dyDescent="0.4">
      <c r="AW78" s="47" t="s">
        <v>307</v>
      </c>
      <c r="AX78" s="47"/>
      <c r="BO78">
        <v>369.01179757476098</v>
      </c>
      <c r="BP78">
        <v>0.74523362615333599</v>
      </c>
      <c r="CE78">
        <v>290.38429039893998</v>
      </c>
      <c r="CF78">
        <v>1.04688858885015</v>
      </c>
      <c r="DL78">
        <v>339.22375436568802</v>
      </c>
      <c r="DM78">
        <v>0.65443530160532504</v>
      </c>
      <c r="EB78">
        <v>274.58293342706298</v>
      </c>
      <c r="EC78">
        <v>0.92139739656180797</v>
      </c>
    </row>
    <row r="79" spans="7:133" x14ac:dyDescent="0.35">
      <c r="AW79" t="s">
        <v>309</v>
      </c>
      <c r="AX79" t="s">
        <v>186</v>
      </c>
      <c r="BO79">
        <v>494.403990778251</v>
      </c>
      <c r="BP79">
        <v>0.81638114671978201</v>
      </c>
      <c r="CE79">
        <v>361.94617920064599</v>
      </c>
      <c r="CF79">
        <v>0.93936618076998502</v>
      </c>
      <c r="DL79">
        <v>273.35919968490998</v>
      </c>
      <c r="DM79">
        <v>0.80480188796859697</v>
      </c>
      <c r="EB79">
        <v>464.73995658286901</v>
      </c>
      <c r="EC79">
        <v>0.82842026932829504</v>
      </c>
    </row>
    <row r="80" spans="7:133" ht="13.15" x14ac:dyDescent="0.4">
      <c r="AW80">
        <v>152.61245525790901</v>
      </c>
      <c r="AX80">
        <v>0.39315270761224802</v>
      </c>
      <c r="BO80">
        <v>450.76984136469002</v>
      </c>
      <c r="BP80">
        <v>0.978956499194365</v>
      </c>
      <c r="CE80">
        <v>461.58080415801402</v>
      </c>
      <c r="CF80">
        <v>1.1438950563881101</v>
      </c>
      <c r="CV80" s="48" t="s">
        <v>308</v>
      </c>
      <c r="CW80" s="48"/>
      <c r="DL80">
        <v>359.94296566523502</v>
      </c>
      <c r="DM80">
        <v>0.88347330086665898</v>
      </c>
      <c r="EB80">
        <v>423.25476686628201</v>
      </c>
      <c r="EC80">
        <v>1.11044230754875</v>
      </c>
    </row>
    <row r="81" spans="49:133" x14ac:dyDescent="0.35">
      <c r="AW81">
        <v>206.41454148151701</v>
      </c>
      <c r="AX81">
        <v>0.10658163829979</v>
      </c>
      <c r="BO81">
        <v>437.02410676161799</v>
      </c>
      <c r="BP81">
        <v>0.94731616310086797</v>
      </c>
      <c r="CE81">
        <v>535.458354774952</v>
      </c>
      <c r="CF81">
        <v>0.978600847903908</v>
      </c>
      <c r="CV81" t="s">
        <v>309</v>
      </c>
      <c r="CW81" t="s">
        <v>186</v>
      </c>
      <c r="DL81">
        <v>235.42058666532699</v>
      </c>
      <c r="DM81">
        <v>0.63715753207785297</v>
      </c>
      <c r="EB81">
        <v>357.36199606885799</v>
      </c>
      <c r="EC81">
        <v>0.94302137246587803</v>
      </c>
    </row>
    <row r="82" spans="49:133" x14ac:dyDescent="0.35">
      <c r="AW82">
        <v>272.46656061638203</v>
      </c>
      <c r="AX82">
        <v>0.293614012005809</v>
      </c>
      <c r="BO82">
        <v>500.16607973172802</v>
      </c>
      <c r="BP82">
        <v>0.57580873967797497</v>
      </c>
      <c r="CE82">
        <v>528.90740731062499</v>
      </c>
      <c r="CF82">
        <v>0.86026399651608598</v>
      </c>
      <c r="CV82">
        <v>142.25648819304399</v>
      </c>
      <c r="CW82">
        <v>0.239004915922439</v>
      </c>
      <c r="DL82">
        <v>226.48539529375699</v>
      </c>
      <c r="DM82">
        <v>0.93604269593203104</v>
      </c>
      <c r="EB82">
        <v>332.25058214827197</v>
      </c>
      <c r="EC82">
        <v>1.02332401587266</v>
      </c>
    </row>
    <row r="83" spans="49:133" x14ac:dyDescent="0.35">
      <c r="AW83">
        <v>267.08339897270599</v>
      </c>
      <c r="AX83">
        <v>0.16099840037004401</v>
      </c>
      <c r="BO83">
        <v>419.40453154753999</v>
      </c>
      <c r="BP83">
        <v>1.0252631234416201</v>
      </c>
      <c r="CE83">
        <v>323.79943007662303</v>
      </c>
      <c r="CF83">
        <v>1.0901810417531199</v>
      </c>
      <c r="CV83">
        <v>240.602246699094</v>
      </c>
      <c r="CW83">
        <v>6.2343557492875602E-2</v>
      </c>
      <c r="DL83">
        <v>314.05937160896502</v>
      </c>
      <c r="DM83">
        <v>0.80558016372461705</v>
      </c>
      <c r="EB83">
        <v>423.57883498670498</v>
      </c>
      <c r="EC83">
        <v>1.06473686300723</v>
      </c>
    </row>
    <row r="84" spans="49:133" x14ac:dyDescent="0.35">
      <c r="AW84">
        <v>263.796890938324</v>
      </c>
      <c r="AX84">
        <v>0.36770713883310602</v>
      </c>
      <c r="BO84">
        <v>448.96039911190201</v>
      </c>
      <c r="BP84">
        <v>0.89317454455499101</v>
      </c>
      <c r="CE84">
        <v>448.08395648041801</v>
      </c>
      <c r="CF84">
        <v>0.82573811146074805</v>
      </c>
      <c r="CV84">
        <v>210.99695756073899</v>
      </c>
      <c r="CW84">
        <v>0.142182144931469</v>
      </c>
      <c r="DL84">
        <v>332.606724475953</v>
      </c>
      <c r="DM84">
        <v>0.69451391989731504</v>
      </c>
      <c r="EB84">
        <v>598.46784997202701</v>
      </c>
      <c r="EC84">
        <v>0.67338621451233605</v>
      </c>
    </row>
    <row r="85" spans="49:133" x14ac:dyDescent="0.35">
      <c r="AW85">
        <v>226.974317037529</v>
      </c>
      <c r="AX85">
        <v>0.25112973460594401</v>
      </c>
      <c r="BO85">
        <v>386.09021766906898</v>
      </c>
      <c r="BP85">
        <v>0.82364169162288503</v>
      </c>
      <c r="CE85">
        <v>465.16391788300302</v>
      </c>
      <c r="CF85">
        <v>1.35436128164708</v>
      </c>
      <c r="DL85">
        <v>323.95917592902498</v>
      </c>
      <c r="DM85">
        <v>0.44758726029037499</v>
      </c>
      <c r="EB85">
        <v>336.07194553742301</v>
      </c>
      <c r="EC85">
        <v>0.41657746758992797</v>
      </c>
    </row>
    <row r="86" spans="49:133" ht="13.15" x14ac:dyDescent="0.4">
      <c r="AW86">
        <v>255.257079791454</v>
      </c>
      <c r="AX86">
        <v>0.18412809563754001</v>
      </c>
      <c r="BO86">
        <v>345.29209330562003</v>
      </c>
      <c r="BP86">
        <v>0.78773886015180505</v>
      </c>
      <c r="CD86" t="s">
        <v>256</v>
      </c>
      <c r="CE86" s="1">
        <f>AVERAGE(Figure3!CE61:CE85)</f>
        <v>427.04673204355311</v>
      </c>
      <c r="CF86" s="1">
        <f>AVERAGE(Figure3!CF61:CF85)</f>
        <v>0.90770646906056496</v>
      </c>
      <c r="CV86">
        <v>212.06959772934701</v>
      </c>
      <c r="CW86">
        <v>0.287641418916874</v>
      </c>
      <c r="DL86">
        <v>189.85063640278301</v>
      </c>
      <c r="DM86">
        <v>0.72688721309957904</v>
      </c>
      <c r="EA86" t="s">
        <v>256</v>
      </c>
      <c r="EB86" s="1">
        <f>AVERAGE(Figure3!EB61:EB85)</f>
        <v>362.30576313001808</v>
      </c>
      <c r="EC86" s="1">
        <f>AVERAGE(Figure3!EC61:EC85)</f>
        <v>0.80178491692363307</v>
      </c>
    </row>
    <row r="87" spans="49:133" ht="13.15" x14ac:dyDescent="0.4">
      <c r="AW87">
        <v>479.60892535834103</v>
      </c>
      <c r="AX87">
        <v>0.206418176905344</v>
      </c>
      <c r="BO87">
        <v>335.22283502210502</v>
      </c>
      <c r="BP87">
        <v>0.70699240994239598</v>
      </c>
      <c r="CD87" t="s">
        <v>281</v>
      </c>
      <c r="CE87" s="1">
        <f>STDEV(CE61:CE85)</f>
        <v>72.577298794412542</v>
      </c>
      <c r="CF87" s="1">
        <f>STDEV(CF61:CF85)</f>
        <v>0.25308908845650052</v>
      </c>
      <c r="CV87" s="18">
        <v>170.819664239227</v>
      </c>
      <c r="CW87">
        <v>0.15220730069805</v>
      </c>
      <c r="DL87">
        <v>336.27594113728702</v>
      </c>
      <c r="DM87">
        <v>0.72559457918633996</v>
      </c>
      <c r="EA87" t="s">
        <v>281</v>
      </c>
      <c r="EB87" s="1">
        <f>STDEV(EB61:EB85)</f>
        <v>78.323382713453555</v>
      </c>
      <c r="EC87" s="1">
        <f>STDEV(EC61:EC85)</f>
        <v>0.21391971273542065</v>
      </c>
    </row>
    <row r="88" spans="49:133" ht="13.15" x14ac:dyDescent="0.4">
      <c r="AW88">
        <v>553.68799306837104</v>
      </c>
      <c r="AX88">
        <v>0.433457114845479</v>
      </c>
      <c r="BO88">
        <v>505.624822772166</v>
      </c>
      <c r="BP88">
        <v>0.94140947707087697</v>
      </c>
      <c r="CD88" t="s">
        <v>284</v>
      </c>
      <c r="CE88" s="1">
        <f>CE87/SQRT(25)</f>
        <v>14.515459758882509</v>
      </c>
      <c r="CF88" s="1">
        <f>CF87/SQRT(25)</f>
        <v>5.0617817691300103E-2</v>
      </c>
      <c r="CV88">
        <v>288.18496632854999</v>
      </c>
      <c r="CW88">
        <v>5.2049904584193403E-2</v>
      </c>
      <c r="DL88">
        <v>537.94793710656597</v>
      </c>
      <c r="DM88">
        <v>0.61158334720935204</v>
      </c>
      <c r="EA88" t="s">
        <v>284</v>
      </c>
      <c r="EB88" s="1">
        <f>EB87/SQRT(25)</f>
        <v>15.66467654269071</v>
      </c>
      <c r="EC88" s="1">
        <f>EC87/SQRT(25)</f>
        <v>4.2783942547084133E-2</v>
      </c>
    </row>
    <row r="89" spans="49:133" x14ac:dyDescent="0.35">
      <c r="AW89">
        <v>539.896440270732</v>
      </c>
      <c r="AX89">
        <v>0.16855084274007801</v>
      </c>
      <c r="BO89">
        <v>469.16013265463903</v>
      </c>
      <c r="BP89">
        <v>0.89308526201742999</v>
      </c>
      <c r="CV89">
        <v>330.14360711498301</v>
      </c>
      <c r="CW89">
        <v>9.0869546928865799E-2</v>
      </c>
      <c r="DL89">
        <v>395.32990635665402</v>
      </c>
      <c r="DM89">
        <v>0.53120190661858202</v>
      </c>
    </row>
    <row r="90" spans="49:133" x14ac:dyDescent="0.35">
      <c r="AW90">
        <v>476.98633175871402</v>
      </c>
      <c r="AX90">
        <v>0.199167132629822</v>
      </c>
      <c r="BO90">
        <v>456.473832529145</v>
      </c>
      <c r="BP90">
        <v>0.64187688125867004</v>
      </c>
      <c r="CV90">
        <v>357.59067936239398</v>
      </c>
      <c r="CW90">
        <v>0.39150908589012601</v>
      </c>
      <c r="DL90">
        <v>249.39155759501901</v>
      </c>
      <c r="DM90">
        <v>0.66962972448003799</v>
      </c>
    </row>
    <row r="91" spans="49:133" ht="13.15" x14ac:dyDescent="0.4">
      <c r="AW91">
        <v>562.51705349340705</v>
      </c>
      <c r="AX91">
        <v>0.391099254029244</v>
      </c>
      <c r="BN91" t="s">
        <v>256</v>
      </c>
      <c r="BO91" s="1">
        <f>AVERAGE(Figure3!BO70:BO90)</f>
        <v>430.26345148051803</v>
      </c>
      <c r="BP91" s="1">
        <f>AVERAGE(Figure3!BP70:BP90)</f>
        <v>0.8314879841575844</v>
      </c>
      <c r="CV91">
        <v>426.60034213960103</v>
      </c>
      <c r="CW91">
        <v>0.10314103307868799</v>
      </c>
      <c r="DL91">
        <v>277.91628913712998</v>
      </c>
      <c r="DM91">
        <v>0.55052548547993296</v>
      </c>
    </row>
    <row r="92" spans="49:133" ht="13.15" x14ac:dyDescent="0.4">
      <c r="AW92">
        <v>614.51600286017697</v>
      </c>
      <c r="AX92">
        <v>0.48981637353468199</v>
      </c>
      <c r="BN92" t="s">
        <v>281</v>
      </c>
      <c r="BO92" s="1">
        <f>STDEV(BO67:BO90)</f>
        <v>77.445965970550873</v>
      </c>
      <c r="BP92" s="1">
        <f>STDEV(BP67:BP90)</f>
        <v>0.19258845908871472</v>
      </c>
      <c r="CV92">
        <v>330.16798987727401</v>
      </c>
      <c r="CW92">
        <v>3.9373895709369597E-2</v>
      </c>
      <c r="DL92">
        <v>497.55859403512602</v>
      </c>
      <c r="DM92">
        <v>0.53059077496581797</v>
      </c>
    </row>
    <row r="93" spans="49:133" ht="13.15" x14ac:dyDescent="0.4">
      <c r="AW93">
        <v>556.25582069861503</v>
      </c>
      <c r="AX93">
        <v>0.27685103556595198</v>
      </c>
      <c r="BN93" t="s">
        <v>284</v>
      </c>
      <c r="BO93" s="1">
        <f>BO92/SQRT(24)</f>
        <v>15.808591605399954</v>
      </c>
      <c r="BP93" s="1">
        <f>BP92/SQRT(24)</f>
        <v>3.9311954593018707E-2</v>
      </c>
      <c r="CV93">
        <v>465.69215587760499</v>
      </c>
      <c r="CW93">
        <v>0.24479690834638401</v>
      </c>
      <c r="DL93">
        <v>463.579869675537</v>
      </c>
      <c r="DM93">
        <v>0.52418151842977401</v>
      </c>
    </row>
    <row r="94" spans="49:133" ht="13.15" x14ac:dyDescent="0.4">
      <c r="AW94">
        <v>440.26374793743599</v>
      </c>
      <c r="AX94">
        <v>0.408845835804721</v>
      </c>
      <c r="CV94">
        <v>401.30121931712699</v>
      </c>
      <c r="CW94">
        <v>0.42362193737980602</v>
      </c>
      <c r="DK94" t="s">
        <v>256</v>
      </c>
      <c r="DL94" s="1">
        <f>AVERAGE(Figure3!DL73:DL93)</f>
        <v>351.04397816925541</v>
      </c>
      <c r="DM94" s="1">
        <f>AVERAGE(Figure3!DM73:DM93)</f>
        <v>0.64445300641867298</v>
      </c>
    </row>
    <row r="95" spans="49:133" ht="13.15" x14ac:dyDescent="0.4">
      <c r="AW95">
        <v>475.93492807637301</v>
      </c>
      <c r="AX95">
        <v>0.31937139098899803</v>
      </c>
      <c r="CV95">
        <v>242.783275538916</v>
      </c>
      <c r="CW95">
        <v>0.164755994461358</v>
      </c>
      <c r="DK95" t="s">
        <v>281</v>
      </c>
      <c r="DL95" s="1">
        <f>STDEV(DL70:DL93)</f>
        <v>92.474190843218139</v>
      </c>
      <c r="DM95" s="1">
        <f>STDEV(DM70:DM93)</f>
        <v>0.12852733255726675</v>
      </c>
    </row>
    <row r="96" spans="49:133" ht="13.15" x14ac:dyDescent="0.4">
      <c r="AW96">
        <v>754.93032651207</v>
      </c>
      <c r="AX96">
        <v>0.23313409704065699</v>
      </c>
      <c r="CV96">
        <v>334.763238401161</v>
      </c>
      <c r="CW96">
        <v>0.28378265323792101</v>
      </c>
      <c r="DK96" t="s">
        <v>284</v>
      </c>
      <c r="DL96" s="1">
        <f>DL95/SQRT(23)</f>
        <v>19.28220171907574</v>
      </c>
      <c r="DM96" s="1">
        <f>DM95/SQRT(23)</f>
        <v>2.6799801438497268E-2</v>
      </c>
    </row>
    <row r="97" spans="48:101" x14ac:dyDescent="0.35">
      <c r="AW97">
        <v>560.57463700032895</v>
      </c>
      <c r="AX97">
        <v>0.21941770440807101</v>
      </c>
      <c r="CV97">
        <v>305.51168245765598</v>
      </c>
      <c r="CW97">
        <v>0.13747428465627101</v>
      </c>
    </row>
    <row r="98" spans="48:101" x14ac:dyDescent="0.35">
      <c r="AW98">
        <v>527.77670539612495</v>
      </c>
      <c r="AX98">
        <v>0.27473740033897398</v>
      </c>
      <c r="CV98">
        <v>423.11668574674098</v>
      </c>
      <c r="CW98">
        <v>0.28360970872187902</v>
      </c>
    </row>
    <row r="99" spans="48:101" x14ac:dyDescent="0.35">
      <c r="AW99">
        <v>358.27022352715198</v>
      </c>
      <c r="AX99">
        <v>0.57777617676985704</v>
      </c>
      <c r="CV99">
        <v>388.94144941310702</v>
      </c>
      <c r="CW99">
        <v>0.182546756348894</v>
      </c>
    </row>
    <row r="100" spans="48:101" x14ac:dyDescent="0.35">
      <c r="AW100">
        <v>549.33324171611503</v>
      </c>
      <c r="AX100">
        <v>0.68810691087823095</v>
      </c>
      <c r="CV100">
        <v>395.97699328083701</v>
      </c>
      <c r="CW100">
        <v>0.25253992453313401</v>
      </c>
    </row>
    <row r="101" spans="48:101" x14ac:dyDescent="0.35">
      <c r="AW101">
        <v>492.457468870404</v>
      </c>
      <c r="AX101">
        <v>0.15229741600230901</v>
      </c>
      <c r="CV101">
        <v>251.98552000480601</v>
      </c>
      <c r="CW101">
        <v>0.36906882585247802</v>
      </c>
    </row>
    <row r="102" spans="48:101" x14ac:dyDescent="0.35">
      <c r="AW102">
        <v>339.02262147636901</v>
      </c>
      <c r="AX102">
        <v>0.16518071790057001</v>
      </c>
      <c r="CV102">
        <v>503.14211004978898</v>
      </c>
      <c r="CW102">
        <v>0.292163977261719</v>
      </c>
    </row>
    <row r="103" spans="48:101" x14ac:dyDescent="0.35">
      <c r="AW103">
        <v>476.27866061777399</v>
      </c>
      <c r="AX103">
        <v>0.346435844482263</v>
      </c>
      <c r="CV103">
        <v>349.97433279864299</v>
      </c>
      <c r="CW103">
        <v>8.2863219619837294E-2</v>
      </c>
    </row>
    <row r="104" spans="48:101" ht="13.15" x14ac:dyDescent="0.4">
      <c r="AV104" t="s">
        <v>256</v>
      </c>
      <c r="AW104" s="1">
        <f>AVERAGE(Figure3!AW79:AW103)</f>
        <v>433.45484886393024</v>
      </c>
      <c r="AX104" s="1">
        <f>AVERAGE(Figure3!AX81:AX103)</f>
        <v>0.30064445411380375</v>
      </c>
      <c r="CV104">
        <v>252.674681550325</v>
      </c>
      <c r="CW104">
        <v>0.24537480217483301</v>
      </c>
    </row>
    <row r="105" spans="48:101" ht="13.15" x14ac:dyDescent="0.4">
      <c r="AV105" t="s">
        <v>281</v>
      </c>
      <c r="AW105" s="1">
        <f>STDEV(AW80:AW103)</f>
        <v>153.94618167685539</v>
      </c>
      <c r="AX105" s="1">
        <f>STDEV(AX80:AX103)</f>
        <v>0.14416230096250196</v>
      </c>
      <c r="CV105">
        <v>444.26101751572003</v>
      </c>
      <c r="CW105">
        <v>0.32863563140521102</v>
      </c>
    </row>
    <row r="106" spans="48:101" ht="13.15" x14ac:dyDescent="0.4">
      <c r="AV106" t="s">
        <v>284</v>
      </c>
      <c r="AW106" s="1">
        <f>AW105/SQRT(24)</f>
        <v>31.424132746507745</v>
      </c>
      <c r="AX106" s="1">
        <f>AX105/SQRT(24)</f>
        <v>2.9427006458639174E-2</v>
      </c>
      <c r="CU106" t="s">
        <v>256</v>
      </c>
      <c r="CV106" s="1">
        <f>AVERAGE(Figure3!CV83:CV105)</f>
        <v>333.05910968198361</v>
      </c>
      <c r="CW106" s="1">
        <f>AVERAGE(Figure3!CW83:CW105)</f>
        <v>0.20966147782864716</v>
      </c>
    </row>
    <row r="107" spans="48:101" ht="13.15" x14ac:dyDescent="0.4">
      <c r="CU107" t="s">
        <v>281</v>
      </c>
      <c r="CV107" s="1">
        <f>STDEV(CV82:CV105)</f>
        <v>98.067531913676078</v>
      </c>
      <c r="CW107" s="1">
        <f>STDEV(CW82:CW105)</f>
        <v>0.11288167915253837</v>
      </c>
    </row>
    <row r="108" spans="48:101" ht="13.15" x14ac:dyDescent="0.4">
      <c r="CU108" t="s">
        <v>284</v>
      </c>
      <c r="CV108" s="1">
        <f>CV107/SQRT(23)</f>
        <v>20.448493955003649</v>
      </c>
      <c r="CW108" s="1">
        <f>CW107/SQRT(23)</f>
        <v>2.353745718627025E-2</v>
      </c>
    </row>
  </sheetData>
  <mergeCells count="215">
    <mergeCell ref="DD68:DE68"/>
    <mergeCell ref="DL68:DM68"/>
    <mergeCell ref="AW78:AX78"/>
    <mergeCell ref="CV80:CW80"/>
    <mergeCell ref="AV68:AW68"/>
    <mergeCell ref="AX68:AY68"/>
    <mergeCell ref="AZ68:BA68"/>
    <mergeCell ref="BB68:BC68"/>
    <mergeCell ref="BD68:BE68"/>
    <mergeCell ref="CV68:CW68"/>
    <mergeCell ref="CX68:CY68"/>
    <mergeCell ref="CZ68:DA68"/>
    <mergeCell ref="DB68:DC68"/>
    <mergeCell ref="CZ56:DA56"/>
    <mergeCell ref="DL56:DM56"/>
    <mergeCell ref="DN56:DO56"/>
    <mergeCell ref="DP56:DQ56"/>
    <mergeCell ref="DR56:DS56"/>
    <mergeCell ref="CE59:CF59"/>
    <mergeCell ref="EB59:EC59"/>
    <mergeCell ref="BO65:BP65"/>
    <mergeCell ref="AV67:BE67"/>
    <mergeCell ref="CV67:DE67"/>
    <mergeCell ref="AV56:AW56"/>
    <mergeCell ref="AX56:AY56"/>
    <mergeCell ref="AZ56:BA56"/>
    <mergeCell ref="BN56:BO56"/>
    <mergeCell ref="BP56:BQ56"/>
    <mergeCell ref="BR56:BS56"/>
    <mergeCell ref="BT56:BU56"/>
    <mergeCell ref="CV56:CW56"/>
    <mergeCell ref="CX56:CY56"/>
    <mergeCell ref="DR45:DS45"/>
    <mergeCell ref="DT45:DU45"/>
    <mergeCell ref="CD48:CG48"/>
    <mergeCell ref="CD49:CE49"/>
    <mergeCell ref="CF49:CG49"/>
    <mergeCell ref="AV55:BA55"/>
    <mergeCell ref="BN55:BS55"/>
    <mergeCell ref="CV55:DA55"/>
    <mergeCell ref="DL55:DQ55"/>
    <mergeCell ref="BN45:BO45"/>
    <mergeCell ref="BP45:BQ45"/>
    <mergeCell ref="BR45:BS45"/>
    <mergeCell ref="BT45:BU45"/>
    <mergeCell ref="BV45:BW45"/>
    <mergeCell ref="BX45:BY45"/>
    <mergeCell ref="DL45:DM45"/>
    <mergeCell ref="DN45:DO45"/>
    <mergeCell ref="DP45:DQ45"/>
    <mergeCell ref="AV43:BE43"/>
    <mergeCell ref="CV43:DE43"/>
    <mergeCell ref="EB43:EE43"/>
    <mergeCell ref="AV44:AW44"/>
    <mergeCell ref="AX44:AY44"/>
    <mergeCell ref="AZ44:BA44"/>
    <mergeCell ref="BB44:BC44"/>
    <mergeCell ref="BD44:BE44"/>
    <mergeCell ref="BN44:BW44"/>
    <mergeCell ref="CV44:CW44"/>
    <mergeCell ref="CX44:CY44"/>
    <mergeCell ref="CZ44:DA44"/>
    <mergeCell ref="DB44:DC44"/>
    <mergeCell ref="DD44:DE44"/>
    <mergeCell ref="DL44:DU44"/>
    <mergeCell ref="EB44:EC44"/>
    <mergeCell ref="ED44:EE44"/>
    <mergeCell ref="CD36:CS36"/>
    <mergeCell ref="CD37:CE37"/>
    <mergeCell ref="CF37:CG37"/>
    <mergeCell ref="CH37:CI37"/>
    <mergeCell ref="CJ37:CK37"/>
    <mergeCell ref="CL37:CM37"/>
    <mergeCell ref="CN37:CO37"/>
    <mergeCell ref="CP37:CQ37"/>
    <mergeCell ref="CR37:CS37"/>
    <mergeCell ref="EB33:EQ33"/>
    <mergeCell ref="EB34:EC34"/>
    <mergeCell ref="ED34:EE34"/>
    <mergeCell ref="EF34:EG34"/>
    <mergeCell ref="EH34:EI34"/>
    <mergeCell ref="EJ34:EK34"/>
    <mergeCell ref="EL34:EM34"/>
    <mergeCell ref="EN34:EO34"/>
    <mergeCell ref="EP34:EQ34"/>
    <mergeCell ref="DL31:DW31"/>
    <mergeCell ref="AV32:AW32"/>
    <mergeCell ref="AX32:AY32"/>
    <mergeCell ref="AZ32:BA32"/>
    <mergeCell ref="BB32:BC32"/>
    <mergeCell ref="BD32:BE32"/>
    <mergeCell ref="BN32:BO32"/>
    <mergeCell ref="BP32:BQ32"/>
    <mergeCell ref="BR32:BS32"/>
    <mergeCell ref="BT32:BU32"/>
    <mergeCell ref="BV32:BW32"/>
    <mergeCell ref="BX32:BY32"/>
    <mergeCell ref="CV32:CW32"/>
    <mergeCell ref="CX32:CY32"/>
    <mergeCell ref="CZ32:DA32"/>
    <mergeCell ref="DB32:DC32"/>
    <mergeCell ref="DD32:DE32"/>
    <mergeCell ref="DL32:DM32"/>
    <mergeCell ref="DN32:DO32"/>
    <mergeCell ref="DP32:DQ32"/>
    <mergeCell ref="DR32:DS32"/>
    <mergeCell ref="DT32:DU32"/>
    <mergeCell ref="DV32:DW32"/>
    <mergeCell ref="CD25:CM25"/>
    <mergeCell ref="CD26:CE26"/>
    <mergeCell ref="CF26:CG26"/>
    <mergeCell ref="CH26:CI26"/>
    <mergeCell ref="CJ26:CK26"/>
    <mergeCell ref="CL26:CM26"/>
    <mergeCell ref="AV31:BE31"/>
    <mergeCell ref="BN31:BY31"/>
    <mergeCell ref="CV31:DE31"/>
    <mergeCell ref="DT19:DU19"/>
    <mergeCell ref="DV19:DW19"/>
    <mergeCell ref="DX19:DY19"/>
    <mergeCell ref="EB23:EK23"/>
    <mergeCell ref="EB24:EC24"/>
    <mergeCell ref="ED24:EE24"/>
    <mergeCell ref="EF24:EG24"/>
    <mergeCell ref="EH24:EI24"/>
    <mergeCell ref="EJ24:EK24"/>
    <mergeCell ref="BN18:BU18"/>
    <mergeCell ref="DL18:DS18"/>
    <mergeCell ref="BN19:BO19"/>
    <mergeCell ref="BP19:BQ19"/>
    <mergeCell ref="BR19:BS19"/>
    <mergeCell ref="BT19:BU19"/>
    <mergeCell ref="BV19:BW19"/>
    <mergeCell ref="BX19:BY19"/>
    <mergeCell ref="BZ19:CA19"/>
    <mergeCell ref="DL19:DM19"/>
    <mergeCell ref="DN19:DO19"/>
    <mergeCell ref="DP19:DQ19"/>
    <mergeCell ref="DR19:DS19"/>
    <mergeCell ref="EZ2:FD2"/>
    <mergeCell ref="FF2:FJ2"/>
    <mergeCell ref="CD13:CO13"/>
    <mergeCell ref="EB13:EM13"/>
    <mergeCell ref="CD14:CE14"/>
    <mergeCell ref="CF14:CG14"/>
    <mergeCell ref="CH14:CI14"/>
    <mergeCell ref="CJ14:CK14"/>
    <mergeCell ref="CL14:CM14"/>
    <mergeCell ref="CN14:CO14"/>
    <mergeCell ref="EB14:EC14"/>
    <mergeCell ref="ED14:EE14"/>
    <mergeCell ref="EF14:EG14"/>
    <mergeCell ref="EH14:EI14"/>
    <mergeCell ref="EJ14:EK14"/>
    <mergeCell ref="EL14:EM14"/>
    <mergeCell ref="DT2:DU2"/>
    <mergeCell ref="DV2:DW2"/>
    <mergeCell ref="DX2:DY2"/>
    <mergeCell ref="EB2:EC2"/>
    <mergeCell ref="ED2:EE2"/>
    <mergeCell ref="EF2:EG2"/>
    <mergeCell ref="EH2:EI2"/>
    <mergeCell ref="EJ2:EK2"/>
    <mergeCell ref="ET2:EX2"/>
    <mergeCell ref="CZ2:DA2"/>
    <mergeCell ref="DB2:DC2"/>
    <mergeCell ref="DD2:DE2"/>
    <mergeCell ref="DF2:DG2"/>
    <mergeCell ref="DH2:DI2"/>
    <mergeCell ref="DL2:DM2"/>
    <mergeCell ref="DN2:DO2"/>
    <mergeCell ref="DP2:DQ2"/>
    <mergeCell ref="DR2:DS2"/>
    <mergeCell ref="ET1:EX1"/>
    <mergeCell ref="EZ1:FD1"/>
    <mergeCell ref="FF1:FJ1"/>
    <mergeCell ref="AV2:AW2"/>
    <mergeCell ref="AX2:AY2"/>
    <mergeCell ref="AZ2:BA2"/>
    <mergeCell ref="BB2:BC2"/>
    <mergeCell ref="BD2:BE2"/>
    <mergeCell ref="BF2:BG2"/>
    <mergeCell ref="BH2:BI2"/>
    <mergeCell ref="BN2:BO2"/>
    <mergeCell ref="BP2:BQ2"/>
    <mergeCell ref="BR2:BS2"/>
    <mergeCell ref="BT2:BU2"/>
    <mergeCell ref="BV2:BW2"/>
    <mergeCell ref="BX2:BY2"/>
    <mergeCell ref="BZ2:CA2"/>
    <mergeCell ref="CD2:CE2"/>
    <mergeCell ref="CF2:CG2"/>
    <mergeCell ref="CH2:CI2"/>
    <mergeCell ref="CJ2:CK2"/>
    <mergeCell ref="CL2:CM2"/>
    <mergeCell ref="CV2:CW2"/>
    <mergeCell ref="CX2:CY2"/>
    <mergeCell ref="AC1:AD1"/>
    <mergeCell ref="AF1:AG1"/>
    <mergeCell ref="AI1:AJ1"/>
    <mergeCell ref="AV1:BI1"/>
    <mergeCell ref="BN1:CA1"/>
    <mergeCell ref="CD1:CM1"/>
    <mergeCell ref="CV1:DI1"/>
    <mergeCell ref="DL1:DY1"/>
    <mergeCell ref="EB1:EK1"/>
    <mergeCell ref="A1:B1"/>
    <mergeCell ref="D1:E1"/>
    <mergeCell ref="G1:H1"/>
    <mergeCell ref="J1:K1"/>
    <mergeCell ref="M1:N1"/>
    <mergeCell ref="P1:Q1"/>
    <mergeCell ref="T1:U1"/>
    <mergeCell ref="W1:X1"/>
    <mergeCell ref="Z1:AA1"/>
  </mergeCells>
  <pageMargins left="0.78749999999999998" right="0.78749999999999998" top="1.0249999999999999" bottom="1.0249999999999999" header="0.78749999999999998" footer="0.78749999999999998"/>
  <pageSetup firstPageNumber="0" orientation="portrait" horizontalDpi="1200" verticalDpi="1200" r:id="rId1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P579"/>
  <sheetViews>
    <sheetView zoomScale="120" zoomScaleNormal="120" workbookViewId="0">
      <selection activeCell="C8" sqref="C8"/>
    </sheetView>
  </sheetViews>
  <sheetFormatPr defaultRowHeight="12.75" x14ac:dyDescent="0.35"/>
  <sheetData>
    <row r="1" spans="1:68" ht="13.15" x14ac:dyDescent="0.4">
      <c r="V1" s="39" t="s">
        <v>1</v>
      </c>
      <c r="W1" s="39"/>
      <c r="X1" s="39"/>
      <c r="Y1" s="39"/>
      <c r="Z1" s="39"/>
      <c r="AA1" s="39"/>
      <c r="AB1" s="39"/>
      <c r="AD1" s="39" t="s">
        <v>1</v>
      </c>
      <c r="AE1" s="39"/>
      <c r="AF1" s="39"/>
      <c r="AG1" s="39"/>
      <c r="AH1" s="39"/>
      <c r="AI1" s="39"/>
      <c r="AJ1" s="39"/>
      <c r="AL1" s="40" t="s">
        <v>9</v>
      </c>
      <c r="AM1" s="40"/>
      <c r="AN1" s="40"/>
      <c r="AO1" s="40"/>
      <c r="AP1" s="40"/>
      <c r="AQ1" s="40"/>
      <c r="AR1" s="40"/>
      <c r="AT1" s="40" t="s">
        <v>9</v>
      </c>
      <c r="AU1" s="40"/>
      <c r="AV1" s="40"/>
      <c r="AW1" s="40"/>
      <c r="AX1" s="40"/>
      <c r="AY1" s="40"/>
      <c r="AZ1" s="40"/>
      <c r="BB1" s="41" t="s">
        <v>10</v>
      </c>
      <c r="BC1" s="41"/>
      <c r="BD1" s="41"/>
      <c r="BE1" s="41"/>
      <c r="BF1" s="41"/>
      <c r="BG1" s="41"/>
      <c r="BH1" s="41"/>
      <c r="BJ1" s="41" t="s">
        <v>10</v>
      </c>
      <c r="BK1" s="41"/>
      <c r="BL1" s="41"/>
      <c r="BM1" s="41"/>
      <c r="BN1" s="41"/>
      <c r="BO1" s="41"/>
      <c r="BP1" s="41"/>
    </row>
    <row r="2" spans="1:68" x14ac:dyDescent="0.35">
      <c r="V2" s="42" t="s">
        <v>312</v>
      </c>
      <c r="W2" s="42"/>
      <c r="X2" s="42"/>
      <c r="Y2" s="42"/>
      <c r="Z2" s="42"/>
      <c r="AA2" s="42"/>
      <c r="AB2" s="42"/>
      <c r="AD2" s="42" t="s">
        <v>313</v>
      </c>
      <c r="AE2" s="42"/>
      <c r="AF2" s="42"/>
      <c r="AG2" s="42"/>
      <c r="AH2" s="42"/>
      <c r="AI2" s="42"/>
      <c r="AJ2" s="42"/>
      <c r="AL2" s="42" t="s">
        <v>312</v>
      </c>
      <c r="AM2" s="42"/>
      <c r="AN2" s="42"/>
      <c r="AO2" s="42"/>
      <c r="AP2" s="42"/>
      <c r="AQ2" s="42"/>
      <c r="AR2" s="42"/>
      <c r="AT2" s="42" t="s">
        <v>313</v>
      </c>
      <c r="AU2" s="42"/>
      <c r="AV2" s="42"/>
      <c r="AW2" s="42"/>
      <c r="AX2" s="42"/>
      <c r="AY2" s="42"/>
      <c r="AZ2" s="42"/>
      <c r="BB2" s="42" t="s">
        <v>312</v>
      </c>
      <c r="BC2" s="42"/>
      <c r="BD2" s="42"/>
      <c r="BE2" s="42"/>
      <c r="BF2" s="42"/>
      <c r="BG2" s="42"/>
      <c r="BH2" s="42"/>
      <c r="BJ2" s="42" t="s">
        <v>313</v>
      </c>
      <c r="BK2" s="42"/>
      <c r="BL2" s="42"/>
      <c r="BM2" s="42"/>
      <c r="BN2" s="42"/>
      <c r="BO2" s="42"/>
      <c r="BP2" s="42"/>
    </row>
    <row r="3" spans="1:68" ht="13.15" x14ac:dyDescent="0.4">
      <c r="V3" s="1" t="s">
        <v>314</v>
      </c>
      <c r="W3" s="1" t="s">
        <v>315</v>
      </c>
      <c r="X3" s="1" t="s">
        <v>316</v>
      </c>
      <c r="Y3" s="1" t="s">
        <v>317</v>
      </c>
      <c r="Z3" s="1" t="s">
        <v>318</v>
      </c>
      <c r="AA3" s="1" t="s">
        <v>319</v>
      </c>
      <c r="AB3" s="1" t="s">
        <v>32</v>
      </c>
      <c r="AD3" s="1" t="s">
        <v>314</v>
      </c>
      <c r="AE3" s="1" t="s">
        <v>315</v>
      </c>
      <c r="AF3" s="1" t="s">
        <v>316</v>
      </c>
      <c r="AG3" s="1" t="s">
        <v>317</v>
      </c>
      <c r="AH3" s="1" t="s">
        <v>318</v>
      </c>
      <c r="AI3" s="1" t="s">
        <v>319</v>
      </c>
      <c r="AJ3" s="1" t="s">
        <v>32</v>
      </c>
      <c r="AL3" s="1" t="s">
        <v>314</v>
      </c>
      <c r="AM3" s="1" t="s">
        <v>315</v>
      </c>
      <c r="AN3" s="1" t="s">
        <v>316</v>
      </c>
      <c r="AO3" s="1" t="s">
        <v>317</v>
      </c>
      <c r="AP3" s="1" t="s">
        <v>318</v>
      </c>
      <c r="AQ3" s="1" t="s">
        <v>319</v>
      </c>
      <c r="AR3" s="1" t="s">
        <v>32</v>
      </c>
      <c r="AT3" s="1" t="s">
        <v>314</v>
      </c>
      <c r="AU3" s="1" t="s">
        <v>315</v>
      </c>
      <c r="AV3" s="1" t="s">
        <v>316</v>
      </c>
      <c r="AW3" s="1" t="s">
        <v>317</v>
      </c>
      <c r="AX3" s="1" t="s">
        <v>318</v>
      </c>
      <c r="AY3" s="1" t="s">
        <v>319</v>
      </c>
      <c r="AZ3" s="1" t="s">
        <v>32</v>
      </c>
      <c r="BB3" s="1" t="s">
        <v>314</v>
      </c>
      <c r="BC3" s="1" t="s">
        <v>315</v>
      </c>
      <c r="BD3" s="1" t="s">
        <v>316</v>
      </c>
      <c r="BE3" s="1" t="s">
        <v>317</v>
      </c>
      <c r="BF3" s="1" t="s">
        <v>318</v>
      </c>
      <c r="BG3" s="1" t="s">
        <v>319</v>
      </c>
      <c r="BH3" s="1" t="s">
        <v>32</v>
      </c>
      <c r="BJ3" s="1" t="s">
        <v>314</v>
      </c>
      <c r="BK3" s="1" t="s">
        <v>315</v>
      </c>
      <c r="BL3" s="1" t="s">
        <v>316</v>
      </c>
      <c r="BM3" s="1" t="s">
        <v>317</v>
      </c>
      <c r="BN3" s="1" t="s">
        <v>318</v>
      </c>
      <c r="BO3" s="1" t="s">
        <v>319</v>
      </c>
      <c r="BP3" s="1" t="s">
        <v>32</v>
      </c>
    </row>
    <row r="4" spans="1:68" ht="13.15" x14ac:dyDescent="0.4">
      <c r="A4" s="39" t="s">
        <v>320</v>
      </c>
      <c r="B4" s="39"/>
      <c r="C4" s="39"/>
      <c r="D4" s="39"/>
      <c r="E4" s="1" t="s">
        <v>321</v>
      </c>
      <c r="G4" s="40" t="s">
        <v>322</v>
      </c>
      <c r="H4" s="40"/>
      <c r="I4" s="40"/>
      <c r="J4" s="40"/>
      <c r="K4" s="1" t="s">
        <v>321</v>
      </c>
      <c r="M4" s="41" t="s">
        <v>323</v>
      </c>
      <c r="N4" s="41"/>
      <c r="O4" s="41"/>
      <c r="P4" s="41"/>
      <c r="Q4" s="1" t="s">
        <v>321</v>
      </c>
      <c r="V4" t="s">
        <v>250</v>
      </c>
      <c r="W4">
        <v>1034.9793373930099</v>
      </c>
      <c r="X4">
        <v>2136.1997632123798</v>
      </c>
      <c r="Y4">
        <v>3464.3607990895398</v>
      </c>
      <c r="Z4">
        <v>3.6973665961009901</v>
      </c>
      <c r="AB4" s="1">
        <f t="shared" ref="AB4:AB37" si="0">SUM(W4:AA4)</f>
        <v>6639.2372662910311</v>
      </c>
      <c r="AD4" t="s">
        <v>250</v>
      </c>
      <c r="AE4" s="24">
        <f t="shared" ref="AE4:AE37" si="1">W4*100/AB4</f>
        <v>15.588828895268488</v>
      </c>
      <c r="AF4" s="24">
        <f t="shared" ref="AF4:AF37" si="2">X4*100/AB4</f>
        <v>32.175379151734319</v>
      </c>
      <c r="AG4" s="24">
        <f t="shared" ref="AG4:AG37" si="3">Y4*100/AB4</f>
        <v>52.180102324086448</v>
      </c>
      <c r="AH4" s="24">
        <f t="shared" ref="AH4:AH37" si="4">Z4*100/AB4</f>
        <v>5.5689628910739336E-2</v>
      </c>
      <c r="AI4" s="24">
        <f t="shared" ref="AI4:AI37" si="5">AA4*100/AB4</f>
        <v>0</v>
      </c>
      <c r="AJ4">
        <f t="shared" ref="AJ4:AJ38" si="6">SUM(AE4:AI4)</f>
        <v>100</v>
      </c>
      <c r="AL4" t="s">
        <v>169</v>
      </c>
      <c r="AM4">
        <v>520.02997450164798</v>
      </c>
      <c r="AN4">
        <v>4255.61238468992</v>
      </c>
      <c r="AO4">
        <v>714.74363909536896</v>
      </c>
      <c r="AP4">
        <v>127.758594068501</v>
      </c>
      <c r="AR4" s="1">
        <f t="shared" ref="AR4:AR21" si="7">SUM(AM4:AQ4)</f>
        <v>5618.1445923554384</v>
      </c>
      <c r="AT4" t="s">
        <v>169</v>
      </c>
      <c r="AU4" s="24">
        <f t="shared" ref="AU4:AU21" si="8">AM4*100/AR4</f>
        <v>9.2562582887106242</v>
      </c>
      <c r="AV4" s="24">
        <f t="shared" ref="AV4:AV21" si="9">AN4*100/AR4</f>
        <v>75.747647906401269</v>
      </c>
      <c r="AW4" s="24">
        <f t="shared" ref="AW4:AW21" si="10">AO4*100/AR4</f>
        <v>12.722058454456915</v>
      </c>
      <c r="AX4" s="24">
        <f t="shared" ref="AX4:AX21" si="11">AP4*100/AR4</f>
        <v>2.2740353504311912</v>
      </c>
      <c r="AY4" s="24">
        <f t="shared" ref="AY4:AY21" si="12">AQ4*100/AR4</f>
        <v>0</v>
      </c>
      <c r="AZ4">
        <f>SUM(AU4:AY4)</f>
        <v>100</v>
      </c>
      <c r="BB4" s="18" t="s">
        <v>160</v>
      </c>
      <c r="BC4">
        <v>1292.1292706409999</v>
      </c>
      <c r="BD4">
        <v>2107.4696317132002</v>
      </c>
      <c r="BE4">
        <v>4099.1134068086803</v>
      </c>
      <c r="BH4" s="1">
        <f t="shared" ref="BH4:BH27" si="13">SUM(BC4:BG4)</f>
        <v>7498.71230916288</v>
      </c>
      <c r="BJ4" s="18" t="s">
        <v>160</v>
      </c>
      <c r="BK4" s="24">
        <f t="shared" ref="BK4:BK27" si="14">BC4*100/BH4</f>
        <v>17.231348761868247</v>
      </c>
      <c r="BL4" s="24">
        <f t="shared" ref="BL4:BL27" si="15">BD4*100/BH4</f>
        <v>28.104420396793007</v>
      </c>
      <c r="BM4" s="24">
        <f t="shared" ref="BM4:BM27" si="16">BE4*100/BH4</f>
        <v>54.66423084133875</v>
      </c>
      <c r="BN4" s="24">
        <f t="shared" ref="BN4:BN27" si="17">BF4*100/BH4</f>
        <v>0</v>
      </c>
      <c r="BO4" s="24">
        <f t="shared" ref="BO4:BO27" si="18">BG4*100/BH4</f>
        <v>0</v>
      </c>
      <c r="BP4">
        <f t="shared" ref="BP4:BP27" si="19">SUM(BK4:BO4)</f>
        <v>100</v>
      </c>
    </row>
    <row r="5" spans="1:68" ht="13.15" x14ac:dyDescent="0.4">
      <c r="A5" t="s">
        <v>324</v>
      </c>
      <c r="B5" t="s">
        <v>325</v>
      </c>
      <c r="C5" t="s">
        <v>326</v>
      </c>
      <c r="D5" t="s">
        <v>327</v>
      </c>
      <c r="G5" t="s">
        <v>324</v>
      </c>
      <c r="H5" t="s">
        <v>325</v>
      </c>
      <c r="I5" t="s">
        <v>326</v>
      </c>
      <c r="J5" t="s">
        <v>327</v>
      </c>
      <c r="M5" t="s">
        <v>324</v>
      </c>
      <c r="N5" t="s">
        <v>325</v>
      </c>
      <c r="O5" t="s">
        <v>326</v>
      </c>
      <c r="P5" t="s">
        <v>327</v>
      </c>
      <c r="V5" t="s">
        <v>255</v>
      </c>
      <c r="W5">
        <v>1156.44104997253</v>
      </c>
      <c r="X5">
        <v>481.87843822001298</v>
      </c>
      <c r="Y5">
        <v>3715.2718620819301</v>
      </c>
      <c r="Z5">
        <v>649.74033654015102</v>
      </c>
      <c r="AB5" s="1">
        <f t="shared" si="0"/>
        <v>6003.3316868146248</v>
      </c>
      <c r="AD5" t="s">
        <v>255</v>
      </c>
      <c r="AE5" s="24">
        <f t="shared" si="1"/>
        <v>19.263320940811436</v>
      </c>
      <c r="AF5" s="24">
        <f t="shared" si="2"/>
        <v>8.0268501452015926</v>
      </c>
      <c r="AG5" s="24">
        <f t="shared" si="3"/>
        <v>61.886833110386711</v>
      </c>
      <c r="AH5" s="24">
        <f t="shared" si="4"/>
        <v>10.822995803600252</v>
      </c>
      <c r="AI5" s="24">
        <f t="shared" si="5"/>
        <v>0</v>
      </c>
      <c r="AJ5">
        <f t="shared" si="6"/>
        <v>99.999999999999986</v>
      </c>
      <c r="AL5" t="s">
        <v>178</v>
      </c>
      <c r="AM5">
        <v>470.867786282211</v>
      </c>
      <c r="AN5">
        <v>1839.1464438533801</v>
      </c>
      <c r="AO5">
        <v>918.23337886331296</v>
      </c>
      <c r="AR5" s="1">
        <f t="shared" si="7"/>
        <v>3228.2476089989041</v>
      </c>
      <c r="AT5" t="s">
        <v>178</v>
      </c>
      <c r="AU5" s="24">
        <f t="shared" si="8"/>
        <v>14.585863394420031</v>
      </c>
      <c r="AV5" s="24">
        <f t="shared" si="9"/>
        <v>56.970426888156474</v>
      </c>
      <c r="AW5" s="24">
        <f t="shared" si="10"/>
        <v>28.443709717423499</v>
      </c>
      <c r="AX5" s="24">
        <f t="shared" si="11"/>
        <v>0</v>
      </c>
      <c r="AY5" s="24">
        <f t="shared" si="12"/>
        <v>0</v>
      </c>
      <c r="BB5" t="s">
        <v>179</v>
      </c>
      <c r="BC5">
        <v>682.97475734951001</v>
      </c>
      <c r="BD5">
        <v>6220.0354456246796</v>
      </c>
      <c r="BH5" s="1">
        <f t="shared" si="13"/>
        <v>6903.0102029741893</v>
      </c>
      <c r="BJ5" t="s">
        <v>179</v>
      </c>
      <c r="BK5" s="24">
        <f t="shared" si="14"/>
        <v>9.8938685771498296</v>
      </c>
      <c r="BL5" s="24">
        <f t="shared" si="15"/>
        <v>90.106131422850169</v>
      </c>
      <c r="BM5" s="24">
        <f t="shared" si="16"/>
        <v>0</v>
      </c>
      <c r="BN5" s="24">
        <f t="shared" si="17"/>
        <v>0</v>
      </c>
      <c r="BO5" s="24">
        <f t="shared" si="18"/>
        <v>0</v>
      </c>
      <c r="BP5">
        <f t="shared" si="19"/>
        <v>100</v>
      </c>
    </row>
    <row r="6" spans="1:68" ht="13.15" x14ac:dyDescent="0.4">
      <c r="A6">
        <v>3</v>
      </c>
      <c r="B6">
        <v>12</v>
      </c>
      <c r="C6">
        <v>7</v>
      </c>
      <c r="D6">
        <v>12</v>
      </c>
      <c r="E6">
        <v>3.38</v>
      </c>
      <c r="G6">
        <v>1</v>
      </c>
      <c r="H6">
        <v>2</v>
      </c>
      <c r="I6">
        <v>2</v>
      </c>
      <c r="J6">
        <v>1</v>
      </c>
      <c r="K6">
        <v>1.64</v>
      </c>
      <c r="M6">
        <v>2</v>
      </c>
      <c r="N6">
        <v>3</v>
      </c>
      <c r="O6">
        <v>2</v>
      </c>
      <c r="P6">
        <v>2</v>
      </c>
      <c r="Q6">
        <v>0.91</v>
      </c>
      <c r="V6" t="s">
        <v>258</v>
      </c>
      <c r="W6">
        <v>590.37662876610705</v>
      </c>
      <c r="X6">
        <v>423.48838704596301</v>
      </c>
      <c r="Y6">
        <v>6212.11584147756</v>
      </c>
      <c r="Z6">
        <v>370.77858452466597</v>
      </c>
      <c r="AB6" s="1">
        <f t="shared" si="0"/>
        <v>7596.7594418142962</v>
      </c>
      <c r="AD6" t="s">
        <v>258</v>
      </c>
      <c r="AE6" s="24">
        <f t="shared" si="1"/>
        <v>7.771427189289942</v>
      </c>
      <c r="AF6" s="24">
        <f t="shared" si="2"/>
        <v>5.5745925652849602</v>
      </c>
      <c r="AG6" s="24">
        <f t="shared" si="3"/>
        <v>81.773233561729725</v>
      </c>
      <c r="AH6" s="24">
        <f t="shared" si="4"/>
        <v>4.8807466836953681</v>
      </c>
      <c r="AI6" s="24">
        <f t="shared" si="5"/>
        <v>0</v>
      </c>
      <c r="AJ6">
        <f t="shared" si="6"/>
        <v>99.999999999999986</v>
      </c>
      <c r="AL6" t="s">
        <v>182</v>
      </c>
      <c r="AM6">
        <v>607.63623073333895</v>
      </c>
      <c r="AN6">
        <v>3057.1448524165298</v>
      </c>
      <c r="AO6">
        <v>1099.38102715886</v>
      </c>
      <c r="AR6" s="1">
        <f t="shared" si="7"/>
        <v>4764.1621103087291</v>
      </c>
      <c r="AT6" t="s">
        <v>182</v>
      </c>
      <c r="AU6" s="24">
        <f t="shared" si="8"/>
        <v>12.754314749670906</v>
      </c>
      <c r="AV6" s="24">
        <f t="shared" si="9"/>
        <v>64.169622729702198</v>
      </c>
      <c r="AW6" s="24">
        <f t="shared" si="10"/>
        <v>23.076062520626895</v>
      </c>
      <c r="AX6" s="24">
        <f t="shared" si="11"/>
        <v>0</v>
      </c>
      <c r="AY6" s="24">
        <f t="shared" si="12"/>
        <v>0</v>
      </c>
      <c r="BB6" t="s">
        <v>183</v>
      </c>
      <c r="BC6">
        <v>399.99092272572602</v>
      </c>
      <c r="BD6">
        <v>984.94384417614106</v>
      </c>
      <c r="BE6">
        <v>1477.25144805123</v>
      </c>
      <c r="BG6">
        <v>269.46815686135699</v>
      </c>
      <c r="BH6" s="1">
        <f t="shared" si="13"/>
        <v>3131.654371814454</v>
      </c>
      <c r="BJ6" t="s">
        <v>183</v>
      </c>
      <c r="BK6" s="24">
        <f t="shared" si="14"/>
        <v>12.772511753714848</v>
      </c>
      <c r="BL6" s="24">
        <f t="shared" si="15"/>
        <v>31.451230794842566</v>
      </c>
      <c r="BM6" s="24">
        <f t="shared" si="16"/>
        <v>47.171599182425844</v>
      </c>
      <c r="BN6" s="24">
        <f t="shared" si="17"/>
        <v>0</v>
      </c>
      <c r="BO6" s="24">
        <f t="shared" si="18"/>
        <v>8.6046582690167508</v>
      </c>
      <c r="BP6">
        <f t="shared" si="19"/>
        <v>100.00000000000001</v>
      </c>
    </row>
    <row r="7" spans="1:68" ht="13.15" x14ac:dyDescent="0.4">
      <c r="V7" t="s">
        <v>262</v>
      </c>
      <c r="W7">
        <v>832.63641422197702</v>
      </c>
      <c r="X7">
        <v>3133.97426484373</v>
      </c>
      <c r="AB7" s="1">
        <f t="shared" si="0"/>
        <v>3966.6106790657068</v>
      </c>
      <c r="AD7" t="s">
        <v>262</v>
      </c>
      <c r="AE7" s="24">
        <f t="shared" si="1"/>
        <v>20.991130251736621</v>
      </c>
      <c r="AF7" s="24">
        <f t="shared" si="2"/>
        <v>79.008869748263379</v>
      </c>
      <c r="AG7" s="24">
        <f t="shared" si="3"/>
        <v>0</v>
      </c>
      <c r="AH7" s="24">
        <f t="shared" si="4"/>
        <v>0</v>
      </c>
      <c r="AI7" s="24">
        <f t="shared" si="5"/>
        <v>0</v>
      </c>
      <c r="AJ7">
        <f t="shared" si="6"/>
        <v>100</v>
      </c>
      <c r="AL7" t="s">
        <v>189</v>
      </c>
      <c r="AM7">
        <v>366.708371908971</v>
      </c>
      <c r="AN7">
        <v>1057.0517750450099</v>
      </c>
      <c r="AO7">
        <v>1002.50109046103</v>
      </c>
      <c r="AR7" s="1">
        <f t="shared" si="7"/>
        <v>2426.2612374150108</v>
      </c>
      <c r="AT7" t="s">
        <v>189</v>
      </c>
      <c r="AU7" s="24">
        <f t="shared" si="8"/>
        <v>15.114133888553145</v>
      </c>
      <c r="AV7" s="24">
        <f t="shared" si="9"/>
        <v>43.567104759552386</v>
      </c>
      <c r="AW7" s="24">
        <f t="shared" si="10"/>
        <v>41.318761351894466</v>
      </c>
      <c r="AX7" s="24">
        <f t="shared" si="11"/>
        <v>0</v>
      </c>
      <c r="AY7" s="24">
        <f t="shared" si="12"/>
        <v>0</v>
      </c>
      <c r="BB7" t="s">
        <v>190</v>
      </c>
      <c r="BC7">
        <v>698.60920682508004</v>
      </c>
      <c r="BD7">
        <v>193.25014558154601</v>
      </c>
      <c r="BE7">
        <v>1128.26771523415</v>
      </c>
      <c r="BH7" s="1">
        <f t="shared" si="13"/>
        <v>2020.1270676407762</v>
      </c>
      <c r="BJ7" t="s">
        <v>190</v>
      </c>
      <c r="BK7" s="24">
        <f t="shared" si="14"/>
        <v>34.582438798810671</v>
      </c>
      <c r="BL7" s="24">
        <f t="shared" si="15"/>
        <v>9.5662371282037704</v>
      </c>
      <c r="BM7" s="24">
        <f t="shared" si="16"/>
        <v>55.851324072985555</v>
      </c>
      <c r="BN7" s="24">
        <f t="shared" si="17"/>
        <v>0</v>
      </c>
      <c r="BO7" s="24">
        <f t="shared" si="18"/>
        <v>0</v>
      </c>
      <c r="BP7">
        <f t="shared" si="19"/>
        <v>100</v>
      </c>
    </row>
    <row r="8" spans="1:68" ht="13.15" x14ac:dyDescent="0.4">
      <c r="V8" t="s">
        <v>265</v>
      </c>
      <c r="W8">
        <v>743.44739008470196</v>
      </c>
      <c r="X8">
        <v>2963.9826815514698</v>
      </c>
      <c r="Y8">
        <v>6534.5287356429899</v>
      </c>
      <c r="Z8">
        <v>685.45500158027698</v>
      </c>
      <c r="AA8">
        <v>426.35271430128699</v>
      </c>
      <c r="AB8" s="1">
        <f t="shared" si="0"/>
        <v>11353.766523160724</v>
      </c>
      <c r="AD8" t="s">
        <v>265</v>
      </c>
      <c r="AE8" s="24">
        <f t="shared" si="1"/>
        <v>6.5480242928030279</v>
      </c>
      <c r="AF8" s="24">
        <f t="shared" si="2"/>
        <v>26.1057216167445</v>
      </c>
      <c r="AG8" s="24">
        <f t="shared" si="3"/>
        <v>57.553841029874121</v>
      </c>
      <c r="AH8" s="24">
        <f t="shared" si="4"/>
        <v>6.0372476409657247</v>
      </c>
      <c r="AI8" s="24">
        <f t="shared" si="5"/>
        <v>3.7551654196126321</v>
      </c>
      <c r="AJ8">
        <f t="shared" si="6"/>
        <v>100.00000000000001</v>
      </c>
      <c r="AL8" t="s">
        <v>194</v>
      </c>
      <c r="AM8">
        <v>43.363493676043603</v>
      </c>
      <c r="AN8">
        <v>1855.9890259071501</v>
      </c>
      <c r="AR8" s="1">
        <f t="shared" si="7"/>
        <v>1899.3525195831937</v>
      </c>
      <c r="AT8" t="s">
        <v>194</v>
      </c>
      <c r="AU8" s="24">
        <f t="shared" si="8"/>
        <v>2.2830671625696723</v>
      </c>
      <c r="AV8" s="24">
        <f t="shared" si="9"/>
        <v>97.716932837430321</v>
      </c>
      <c r="AW8" s="24">
        <f t="shared" si="10"/>
        <v>0</v>
      </c>
      <c r="AX8" s="24">
        <f t="shared" si="11"/>
        <v>0</v>
      </c>
      <c r="AY8" s="24">
        <f t="shared" si="12"/>
        <v>0</v>
      </c>
      <c r="BB8" t="s">
        <v>195</v>
      </c>
      <c r="BC8">
        <v>633.34780412498196</v>
      </c>
      <c r="BD8">
        <v>1932.6859994651099</v>
      </c>
      <c r="BE8">
        <v>145.24043501356499</v>
      </c>
      <c r="BH8" s="1">
        <f t="shared" si="13"/>
        <v>2711.2742386036566</v>
      </c>
      <c r="BJ8" t="s">
        <v>195</v>
      </c>
      <c r="BK8" s="24">
        <f t="shared" si="14"/>
        <v>23.359783938756589</v>
      </c>
      <c r="BL8" s="24">
        <f t="shared" si="15"/>
        <v>71.283309225866802</v>
      </c>
      <c r="BM8" s="24">
        <f t="shared" si="16"/>
        <v>5.3569068353766305</v>
      </c>
      <c r="BN8" s="24">
        <f t="shared" si="17"/>
        <v>0</v>
      </c>
      <c r="BO8" s="24">
        <f t="shared" si="18"/>
        <v>0</v>
      </c>
      <c r="BP8">
        <f t="shared" si="19"/>
        <v>100.00000000000003</v>
      </c>
    </row>
    <row r="9" spans="1:68" ht="13.15" x14ac:dyDescent="0.4">
      <c r="V9" t="s">
        <v>268</v>
      </c>
      <c r="W9">
        <v>536.26206426042802</v>
      </c>
      <c r="X9">
        <v>2167.0533514952599</v>
      </c>
      <c r="Y9">
        <v>5712.2100638942202</v>
      </c>
      <c r="Z9">
        <v>138.80933270100201</v>
      </c>
      <c r="AB9" s="1">
        <f t="shared" si="0"/>
        <v>8554.3348123509113</v>
      </c>
      <c r="AD9" t="s">
        <v>268</v>
      </c>
      <c r="AE9" s="24">
        <f t="shared" si="1"/>
        <v>6.2688926260655897</v>
      </c>
      <c r="AF9" s="24">
        <f t="shared" si="2"/>
        <v>25.33280961094049</v>
      </c>
      <c r="AG9" s="24">
        <f t="shared" si="3"/>
        <v>66.775619486471612</v>
      </c>
      <c r="AH9" s="24">
        <f t="shared" si="4"/>
        <v>1.6226782765222896</v>
      </c>
      <c r="AI9" s="24">
        <f t="shared" si="5"/>
        <v>0</v>
      </c>
      <c r="AJ9">
        <f t="shared" si="6"/>
        <v>99.999999999999986</v>
      </c>
      <c r="AL9" t="s">
        <v>198</v>
      </c>
      <c r="AM9">
        <v>440.36998732712999</v>
      </c>
      <c r="AN9">
        <v>955.58523863743301</v>
      </c>
      <c r="AO9">
        <v>481.43372083949299</v>
      </c>
      <c r="AR9" s="1">
        <f t="shared" si="7"/>
        <v>1877.3889468040559</v>
      </c>
      <c r="AT9" t="s">
        <v>198</v>
      </c>
      <c r="AU9" s="24">
        <f t="shared" si="8"/>
        <v>23.456513264168677</v>
      </c>
      <c r="AV9" s="24">
        <f t="shared" si="9"/>
        <v>50.899694507318735</v>
      </c>
      <c r="AW9" s="24">
        <f t="shared" si="10"/>
        <v>25.643792228512595</v>
      </c>
      <c r="AX9" s="24">
        <f t="shared" si="11"/>
        <v>0</v>
      </c>
      <c r="AY9" s="24">
        <f t="shared" si="12"/>
        <v>0</v>
      </c>
      <c r="BB9" t="s">
        <v>199</v>
      </c>
      <c r="BC9">
        <v>501.00206948832101</v>
      </c>
      <c r="BD9">
        <v>3292.7316553350602</v>
      </c>
      <c r="BH9" s="1">
        <f t="shared" si="13"/>
        <v>3793.7337248233812</v>
      </c>
      <c r="BJ9" t="s">
        <v>199</v>
      </c>
      <c r="BK9" s="24">
        <f t="shared" si="14"/>
        <v>13.206042011070384</v>
      </c>
      <c r="BL9" s="24">
        <f t="shared" si="15"/>
        <v>86.79395798892962</v>
      </c>
      <c r="BM9" s="24">
        <f t="shared" si="16"/>
        <v>0</v>
      </c>
      <c r="BN9" s="24">
        <f t="shared" si="17"/>
        <v>0</v>
      </c>
      <c r="BO9" s="24">
        <f t="shared" si="18"/>
        <v>0</v>
      </c>
      <c r="BP9">
        <f t="shared" si="19"/>
        <v>100</v>
      </c>
    </row>
    <row r="10" spans="1:68" ht="13.15" x14ac:dyDescent="0.4">
      <c r="V10" t="s">
        <v>275</v>
      </c>
      <c r="W10">
        <v>1573.3439569403599</v>
      </c>
      <c r="X10">
        <v>5253.5461593351201</v>
      </c>
      <c r="Y10">
        <v>4409.2848207328698</v>
      </c>
      <c r="AB10" s="1">
        <f t="shared" si="0"/>
        <v>11236.174937008349</v>
      </c>
      <c r="AD10" t="s">
        <v>275</v>
      </c>
      <c r="AE10" s="24">
        <f t="shared" si="1"/>
        <v>14.00248719658387</v>
      </c>
      <c r="AF10" s="24">
        <f t="shared" si="2"/>
        <v>46.755645838439442</v>
      </c>
      <c r="AG10" s="24">
        <f t="shared" si="3"/>
        <v>39.241866964976687</v>
      </c>
      <c r="AH10" s="24">
        <f t="shared" si="4"/>
        <v>0</v>
      </c>
      <c r="AI10" s="24">
        <f t="shared" si="5"/>
        <v>0</v>
      </c>
      <c r="AJ10">
        <f t="shared" si="6"/>
        <v>100</v>
      </c>
      <c r="AL10" t="s">
        <v>202</v>
      </c>
      <c r="AM10">
        <v>188.04747978868599</v>
      </c>
      <c r="AN10">
        <v>1367.7901894356701</v>
      </c>
      <c r="AR10" s="1">
        <f t="shared" si="7"/>
        <v>1555.837669224356</v>
      </c>
      <c r="AT10" t="s">
        <v>202</v>
      </c>
      <c r="AU10" s="24">
        <f t="shared" si="8"/>
        <v>12.086574551343444</v>
      </c>
      <c r="AV10" s="24">
        <f t="shared" si="9"/>
        <v>87.913425448656554</v>
      </c>
      <c r="AW10" s="24">
        <f t="shared" si="10"/>
        <v>0</v>
      </c>
      <c r="AX10" s="24">
        <f t="shared" si="11"/>
        <v>0</v>
      </c>
      <c r="AY10" s="24">
        <f t="shared" si="12"/>
        <v>0</v>
      </c>
      <c r="BB10" t="s">
        <v>203</v>
      </c>
      <c r="BC10">
        <v>732.77609052082505</v>
      </c>
      <c r="BD10">
        <v>6387.1667695725801</v>
      </c>
      <c r="BE10">
        <v>2039.93387499758</v>
      </c>
      <c r="BH10" s="1">
        <f t="shared" si="13"/>
        <v>9159.8767350909857</v>
      </c>
      <c r="BJ10" t="s">
        <v>203</v>
      </c>
      <c r="BK10" s="24">
        <f t="shared" si="14"/>
        <v>7.9998466323635125</v>
      </c>
      <c r="BL10" s="24">
        <f t="shared" si="15"/>
        <v>69.729833209476439</v>
      </c>
      <c r="BM10" s="24">
        <f t="shared" si="16"/>
        <v>22.270320158160047</v>
      </c>
      <c r="BN10" s="24">
        <f t="shared" si="17"/>
        <v>0</v>
      </c>
      <c r="BO10" s="24">
        <f t="shared" si="18"/>
        <v>0</v>
      </c>
      <c r="BP10">
        <f t="shared" si="19"/>
        <v>100</v>
      </c>
    </row>
    <row r="11" spans="1:68" ht="13.15" x14ac:dyDescent="0.4">
      <c r="A11" s="39" t="s">
        <v>328</v>
      </c>
      <c r="B11" s="39"/>
      <c r="C11" s="39"/>
      <c r="D11" s="39"/>
      <c r="E11" s="1" t="s">
        <v>321</v>
      </c>
      <c r="G11" s="40" t="s">
        <v>329</v>
      </c>
      <c r="H11" s="40"/>
      <c r="I11" s="40"/>
      <c r="J11" s="40"/>
      <c r="K11" s="1" t="s">
        <v>321</v>
      </c>
      <c r="M11" s="41" t="s">
        <v>330</v>
      </c>
      <c r="N11" s="41"/>
      <c r="O11" s="41"/>
      <c r="P11" s="41"/>
      <c r="Q11" s="1" t="s">
        <v>321</v>
      </c>
      <c r="V11" t="s">
        <v>282</v>
      </c>
      <c r="W11">
        <v>619.09685659316096</v>
      </c>
      <c r="X11">
        <v>2399.7690607897498</v>
      </c>
      <c r="Y11">
        <v>5226.5175510480403</v>
      </c>
      <c r="AA11">
        <v>350.681802567001</v>
      </c>
      <c r="AB11" s="1">
        <f t="shared" si="0"/>
        <v>8596.0652709979531</v>
      </c>
      <c r="AD11" t="s">
        <v>282</v>
      </c>
      <c r="AE11" s="24">
        <f t="shared" si="1"/>
        <v>7.2020958086709301</v>
      </c>
      <c r="AF11" s="24">
        <f t="shared" si="2"/>
        <v>27.917064204785298</v>
      </c>
      <c r="AG11" s="24">
        <f t="shared" si="3"/>
        <v>60.801278099663293</v>
      </c>
      <c r="AH11" s="24">
        <f t="shared" si="4"/>
        <v>0</v>
      </c>
      <c r="AI11" s="24">
        <f t="shared" si="5"/>
        <v>4.0795618868804713</v>
      </c>
      <c r="AJ11">
        <f t="shared" si="6"/>
        <v>100</v>
      </c>
      <c r="AL11" t="s">
        <v>206</v>
      </c>
      <c r="AM11">
        <v>184.072994105221</v>
      </c>
      <c r="AN11">
        <v>1805.4689414697</v>
      </c>
      <c r="AO11">
        <v>739.25590483366705</v>
      </c>
      <c r="AP11">
        <v>76.302622374791099</v>
      </c>
      <c r="AR11" s="1">
        <f t="shared" si="7"/>
        <v>2805.100462783379</v>
      </c>
      <c r="AT11" t="s">
        <v>206</v>
      </c>
      <c r="AU11" s="24">
        <f t="shared" si="8"/>
        <v>6.5620820554345993</v>
      </c>
      <c r="AV11" s="24">
        <f t="shared" si="9"/>
        <v>64.363788941741205</v>
      </c>
      <c r="AW11" s="24">
        <f t="shared" si="10"/>
        <v>26.353990334454387</v>
      </c>
      <c r="AX11" s="24">
        <f t="shared" si="11"/>
        <v>2.720138668369807</v>
      </c>
      <c r="AY11" s="24">
        <f t="shared" si="12"/>
        <v>0</v>
      </c>
      <c r="BB11" t="s">
        <v>207</v>
      </c>
      <c r="BC11">
        <v>191.242820117555</v>
      </c>
      <c r="BD11">
        <v>1925.0823088761299</v>
      </c>
      <c r="BE11">
        <v>384.33504168081299</v>
      </c>
      <c r="BG11">
        <v>891.94711337366402</v>
      </c>
      <c r="BH11" s="1">
        <f t="shared" si="13"/>
        <v>3392.607284048162</v>
      </c>
      <c r="BJ11" t="s">
        <v>207</v>
      </c>
      <c r="BK11" s="24">
        <f t="shared" si="14"/>
        <v>5.637045614349983</v>
      </c>
      <c r="BL11" s="24">
        <f t="shared" si="15"/>
        <v>56.743446785832028</v>
      </c>
      <c r="BM11" s="24">
        <f t="shared" si="16"/>
        <v>11.328603917345033</v>
      </c>
      <c r="BN11" s="24">
        <f t="shared" si="17"/>
        <v>0</v>
      </c>
      <c r="BO11" s="24">
        <f t="shared" si="18"/>
        <v>26.290903682472958</v>
      </c>
      <c r="BP11">
        <f t="shared" si="19"/>
        <v>100</v>
      </c>
    </row>
    <row r="12" spans="1:68" ht="13.15" x14ac:dyDescent="0.4">
      <c r="A12" t="s">
        <v>324</v>
      </c>
      <c r="B12" t="s">
        <v>325</v>
      </c>
      <c r="C12" t="s">
        <v>326</v>
      </c>
      <c r="D12" t="s">
        <v>327</v>
      </c>
      <c r="G12" t="s">
        <v>324</v>
      </c>
      <c r="H12" t="s">
        <v>325</v>
      </c>
      <c r="I12" t="s">
        <v>326</v>
      </c>
      <c r="J12" t="s">
        <v>327</v>
      </c>
      <c r="M12" t="s">
        <v>324</v>
      </c>
      <c r="N12" t="s">
        <v>325</v>
      </c>
      <c r="O12" t="s">
        <v>326</v>
      </c>
      <c r="P12" t="s">
        <v>327</v>
      </c>
      <c r="V12" t="s">
        <v>285</v>
      </c>
      <c r="W12">
        <v>777.51563729245095</v>
      </c>
      <c r="X12">
        <v>5767.5766101241597</v>
      </c>
      <c r="Y12">
        <v>5945.9765780838597</v>
      </c>
      <c r="Z12">
        <v>380.714944999365</v>
      </c>
      <c r="AA12">
        <v>264.86896127967799</v>
      </c>
      <c r="AB12" s="1">
        <f t="shared" si="0"/>
        <v>13136.652731779515</v>
      </c>
      <c r="AD12" t="s">
        <v>285</v>
      </c>
      <c r="AE12" s="24">
        <f t="shared" si="1"/>
        <v>5.9186739055035318</v>
      </c>
      <c r="AF12" s="24">
        <f t="shared" si="2"/>
        <v>43.90446126486647</v>
      </c>
      <c r="AG12" s="24">
        <f t="shared" si="3"/>
        <v>45.262493418126667</v>
      </c>
      <c r="AH12" s="24">
        <f t="shared" si="4"/>
        <v>2.8981122723778716</v>
      </c>
      <c r="AI12" s="24">
        <f t="shared" si="5"/>
        <v>2.0162591391254532</v>
      </c>
      <c r="AJ12">
        <f t="shared" si="6"/>
        <v>99.999999999999986</v>
      </c>
      <c r="AL12" t="s">
        <v>209</v>
      </c>
      <c r="AM12">
        <v>432.39460867825699</v>
      </c>
      <c r="AN12">
        <v>3723.6927048196799</v>
      </c>
      <c r="AO12">
        <v>847.93407632420895</v>
      </c>
      <c r="AQ12">
        <v>709.64744480731599</v>
      </c>
      <c r="AR12" s="1">
        <f t="shared" si="7"/>
        <v>5713.6688346294613</v>
      </c>
      <c r="AT12" t="s">
        <v>209</v>
      </c>
      <c r="AU12" s="24">
        <f t="shared" si="8"/>
        <v>7.5677226173416878</v>
      </c>
      <c r="AV12" s="24">
        <f t="shared" si="9"/>
        <v>65.171657871577821</v>
      </c>
      <c r="AW12" s="24">
        <f t="shared" si="10"/>
        <v>14.840448420549709</v>
      </c>
      <c r="AX12" s="24">
        <f t="shared" si="11"/>
        <v>0</v>
      </c>
      <c r="AY12" s="24">
        <f t="shared" si="12"/>
        <v>12.420171090530793</v>
      </c>
      <c r="BB12" t="s">
        <v>210</v>
      </c>
      <c r="BC12">
        <v>548.95534157781299</v>
      </c>
      <c r="BD12">
        <v>3758.1136429631601</v>
      </c>
      <c r="BE12">
        <v>1640.4713356617699</v>
      </c>
      <c r="BG12">
        <v>1066.2217987793699</v>
      </c>
      <c r="BH12" s="1">
        <f t="shared" si="13"/>
        <v>7013.762118982113</v>
      </c>
      <c r="BJ12" t="s">
        <v>210</v>
      </c>
      <c r="BK12" s="24">
        <f t="shared" si="14"/>
        <v>7.8268314816682336</v>
      </c>
      <c r="BL12" s="24">
        <f t="shared" si="15"/>
        <v>53.581994644388708</v>
      </c>
      <c r="BM12" s="24">
        <f t="shared" si="16"/>
        <v>23.389320992538121</v>
      </c>
      <c r="BN12" s="24">
        <f t="shared" si="17"/>
        <v>0</v>
      </c>
      <c r="BO12" s="24">
        <f t="shared" si="18"/>
        <v>15.20185288140493</v>
      </c>
      <c r="BP12">
        <f t="shared" si="19"/>
        <v>100</v>
      </c>
    </row>
    <row r="13" spans="1:68" ht="13.15" x14ac:dyDescent="0.4">
      <c r="A13">
        <v>3</v>
      </c>
      <c r="B13">
        <v>12</v>
      </c>
      <c r="C13">
        <v>7</v>
      </c>
      <c r="D13">
        <v>12</v>
      </c>
      <c r="E13">
        <v>6.37</v>
      </c>
      <c r="G13">
        <v>1</v>
      </c>
      <c r="H13">
        <v>2</v>
      </c>
      <c r="I13">
        <v>2</v>
      </c>
      <c r="J13">
        <v>0</v>
      </c>
      <c r="K13">
        <v>2.8</v>
      </c>
      <c r="M13">
        <v>1</v>
      </c>
      <c r="N13">
        <v>1</v>
      </c>
      <c r="O13">
        <v>2</v>
      </c>
      <c r="P13">
        <v>2</v>
      </c>
      <c r="Q13">
        <v>2.17</v>
      </c>
      <c r="V13" t="s">
        <v>287</v>
      </c>
      <c r="W13">
        <v>725.90147541970805</v>
      </c>
      <c r="X13">
        <v>2555.6833766261302</v>
      </c>
      <c r="Y13">
        <v>5565.3760038259597</v>
      </c>
      <c r="Z13">
        <v>220.01994086536399</v>
      </c>
      <c r="AA13">
        <v>184.703631289691</v>
      </c>
      <c r="AB13" s="1">
        <f t="shared" si="0"/>
        <v>9251.6844280268542</v>
      </c>
      <c r="AD13" t="s">
        <v>287</v>
      </c>
      <c r="AE13" s="24">
        <f t="shared" si="1"/>
        <v>7.8461547307069583</v>
      </c>
      <c r="AF13" s="24">
        <f t="shared" si="2"/>
        <v>27.623979141398273</v>
      </c>
      <c r="AG13" s="24">
        <f t="shared" si="3"/>
        <v>60.155272773532239</v>
      </c>
      <c r="AH13" s="24">
        <f t="shared" si="4"/>
        <v>2.3781608914247045</v>
      </c>
      <c r="AI13" s="24">
        <f t="shared" si="5"/>
        <v>1.996432462937817</v>
      </c>
      <c r="AJ13">
        <f t="shared" si="6"/>
        <v>99.999999999999986</v>
      </c>
      <c r="AL13" t="s">
        <v>214</v>
      </c>
      <c r="AM13">
        <v>510.49644934368303</v>
      </c>
      <c r="AN13">
        <v>2849.7255696038701</v>
      </c>
      <c r="AR13" s="1">
        <f t="shared" si="7"/>
        <v>3360.2220189475529</v>
      </c>
      <c r="AT13" t="s">
        <v>214</v>
      </c>
      <c r="AU13" s="24">
        <f t="shared" si="8"/>
        <v>15.192342841190429</v>
      </c>
      <c r="AV13" s="24">
        <f t="shared" si="9"/>
        <v>84.80765715880959</v>
      </c>
      <c r="AW13" s="24">
        <f t="shared" si="10"/>
        <v>0</v>
      </c>
      <c r="AX13" s="24">
        <f t="shared" si="11"/>
        <v>0</v>
      </c>
      <c r="AY13" s="24">
        <f t="shared" si="12"/>
        <v>0</v>
      </c>
      <c r="BB13" t="s">
        <v>215</v>
      </c>
      <c r="BC13">
        <v>486.55696555614799</v>
      </c>
      <c r="BD13">
        <v>225.93537478051601</v>
      </c>
      <c r="BE13">
        <v>1644.5806050716701</v>
      </c>
      <c r="BG13">
        <v>909.66504804648798</v>
      </c>
      <c r="BH13" s="1">
        <f t="shared" si="13"/>
        <v>3266.7379934548217</v>
      </c>
      <c r="BJ13" t="s">
        <v>215</v>
      </c>
      <c r="BK13" s="24">
        <f t="shared" si="14"/>
        <v>14.89427577390672</v>
      </c>
      <c r="BL13" s="24">
        <f t="shared" si="15"/>
        <v>6.9162380096964045</v>
      </c>
      <c r="BM13" s="24">
        <f t="shared" si="16"/>
        <v>50.343205006545446</v>
      </c>
      <c r="BN13" s="24">
        <f t="shared" si="17"/>
        <v>0</v>
      </c>
      <c r="BO13" s="24">
        <f t="shared" si="18"/>
        <v>27.846281209851441</v>
      </c>
      <c r="BP13">
        <f t="shared" si="19"/>
        <v>100.00000000000001</v>
      </c>
    </row>
    <row r="14" spans="1:68" ht="13.15" x14ac:dyDescent="0.4">
      <c r="V14" t="s">
        <v>291</v>
      </c>
      <c r="W14">
        <v>97.436494788007394</v>
      </c>
      <c r="X14">
        <v>1490.4654387089799</v>
      </c>
      <c r="AB14" s="1">
        <f t="shared" si="0"/>
        <v>1587.9019334969873</v>
      </c>
      <c r="AD14" t="s">
        <v>291</v>
      </c>
      <c r="AE14" s="24">
        <f t="shared" si="1"/>
        <v>6.1361783579056439</v>
      </c>
      <c r="AF14" s="24">
        <f t="shared" si="2"/>
        <v>93.863821642094351</v>
      </c>
      <c r="AG14" s="24">
        <f t="shared" si="3"/>
        <v>0</v>
      </c>
      <c r="AH14" s="24">
        <f t="shared" si="4"/>
        <v>0</v>
      </c>
      <c r="AI14" s="24">
        <f t="shared" si="5"/>
        <v>0</v>
      </c>
      <c r="AJ14">
        <f t="shared" si="6"/>
        <v>100</v>
      </c>
      <c r="AL14" s="17" t="s">
        <v>217</v>
      </c>
      <c r="AM14">
        <v>2243.1145707212299</v>
      </c>
      <c r="AN14">
        <v>2940.9634580121401</v>
      </c>
      <c r="AO14">
        <v>4103.5102287693799</v>
      </c>
      <c r="AP14">
        <v>181.936555214376</v>
      </c>
      <c r="AQ14">
        <v>59.801810171527897</v>
      </c>
      <c r="AR14" s="1">
        <f t="shared" si="7"/>
        <v>9529.3266228886532</v>
      </c>
      <c r="AT14" s="17" t="s">
        <v>217</v>
      </c>
      <c r="AU14" s="24">
        <f t="shared" si="8"/>
        <v>23.539066919308386</v>
      </c>
      <c r="AV14" s="24">
        <f t="shared" si="9"/>
        <v>30.862237956543428</v>
      </c>
      <c r="AW14" s="24">
        <f t="shared" si="10"/>
        <v>43.061911834495085</v>
      </c>
      <c r="AX14" s="24">
        <f t="shared" si="11"/>
        <v>1.9092278228493025</v>
      </c>
      <c r="AY14" s="24">
        <f t="shared" si="12"/>
        <v>0.62755546680380225</v>
      </c>
      <c r="BB14" t="s">
        <v>218</v>
      </c>
      <c r="BC14">
        <v>233.08159539053901</v>
      </c>
      <c r="BD14">
        <v>1948.7517332945999</v>
      </c>
      <c r="BE14">
        <v>10.6309214115877</v>
      </c>
      <c r="BH14" s="1">
        <f t="shared" si="13"/>
        <v>2192.4642500967266</v>
      </c>
      <c r="BJ14" t="s">
        <v>218</v>
      </c>
      <c r="BK14" s="24">
        <f t="shared" si="14"/>
        <v>10.63103288367215</v>
      </c>
      <c r="BL14" s="24">
        <f t="shared" si="15"/>
        <v>88.884082520781149</v>
      </c>
      <c r="BM14" s="24">
        <f t="shared" si="16"/>
        <v>0.48488459554670899</v>
      </c>
      <c r="BN14" s="24">
        <f t="shared" si="17"/>
        <v>0</v>
      </c>
      <c r="BO14" s="24">
        <f t="shared" si="18"/>
        <v>0</v>
      </c>
      <c r="BP14">
        <f t="shared" si="19"/>
        <v>100</v>
      </c>
    </row>
    <row r="15" spans="1:68" ht="13.15" x14ac:dyDescent="0.4">
      <c r="V15" t="s">
        <v>271</v>
      </c>
      <c r="W15">
        <v>989.32043418954004</v>
      </c>
      <c r="X15">
        <v>3785.2860829476199</v>
      </c>
      <c r="Y15">
        <v>4109.8122733364598</v>
      </c>
      <c r="Z15">
        <v>490.91787458621599</v>
      </c>
      <c r="AB15" s="1">
        <f t="shared" si="0"/>
        <v>9375.3366650598364</v>
      </c>
      <c r="AD15" t="s">
        <v>271</v>
      </c>
      <c r="AE15" s="24">
        <f t="shared" si="1"/>
        <v>10.552372352414354</v>
      </c>
      <c r="AF15" s="24">
        <f t="shared" si="2"/>
        <v>40.374934982918404</v>
      </c>
      <c r="AG15" s="24">
        <f t="shared" si="3"/>
        <v>43.836423375098391</v>
      </c>
      <c r="AH15" s="24">
        <f t="shared" si="4"/>
        <v>5.2362692895688436</v>
      </c>
      <c r="AI15" s="24">
        <f t="shared" si="5"/>
        <v>0</v>
      </c>
      <c r="AJ15">
        <f t="shared" si="6"/>
        <v>99.999999999999986</v>
      </c>
      <c r="AL15" t="s">
        <v>220</v>
      </c>
      <c r="AM15">
        <v>482.813589876126</v>
      </c>
      <c r="AN15">
        <v>3067.4152438758101</v>
      </c>
      <c r="AO15">
        <v>1693.22754885576</v>
      </c>
      <c r="AQ15">
        <v>403.68649614600702</v>
      </c>
      <c r="AR15" s="1">
        <f t="shared" si="7"/>
        <v>5647.1428787537034</v>
      </c>
      <c r="AT15" t="s">
        <v>220</v>
      </c>
      <c r="AU15" s="24">
        <f t="shared" si="8"/>
        <v>8.5496967270408533</v>
      </c>
      <c r="AV15" s="24">
        <f t="shared" si="9"/>
        <v>54.318003098812575</v>
      </c>
      <c r="AW15" s="24">
        <f t="shared" si="10"/>
        <v>29.983791542201018</v>
      </c>
      <c r="AX15" s="24">
        <f t="shared" si="11"/>
        <v>0</v>
      </c>
      <c r="AY15" s="24">
        <f t="shared" si="12"/>
        <v>7.1485086319455524</v>
      </c>
      <c r="BB15" t="s">
        <v>221</v>
      </c>
      <c r="BC15">
        <v>625.19606789618297</v>
      </c>
      <c r="BD15">
        <v>4175.5986682218399</v>
      </c>
      <c r="BE15">
        <v>3361.24888065409</v>
      </c>
      <c r="BF15">
        <v>168.99897666271499</v>
      </c>
      <c r="BG15">
        <v>249.45783494749401</v>
      </c>
      <c r="BH15" s="1">
        <f t="shared" si="13"/>
        <v>8580.5004283823218</v>
      </c>
      <c r="BJ15" t="s">
        <v>221</v>
      </c>
      <c r="BK15" s="24">
        <f t="shared" si="14"/>
        <v>7.2862424880042909</v>
      </c>
      <c r="BL15" s="24">
        <f t="shared" si="15"/>
        <v>48.663812828560907</v>
      </c>
      <c r="BM15" s="24">
        <f t="shared" si="16"/>
        <v>39.173110108308506</v>
      </c>
      <c r="BN15" s="24">
        <f t="shared" si="17"/>
        <v>1.9695701675359778</v>
      </c>
      <c r="BO15" s="24">
        <f t="shared" si="18"/>
        <v>2.907264407590318</v>
      </c>
      <c r="BP15">
        <f t="shared" si="19"/>
        <v>100</v>
      </c>
    </row>
    <row r="16" spans="1:68" ht="13.15" x14ac:dyDescent="0.4">
      <c r="A16" s="25"/>
      <c r="V16" t="s">
        <v>273</v>
      </c>
      <c r="W16">
        <v>346.60179902281402</v>
      </c>
      <c r="X16">
        <v>3716.7830401515798</v>
      </c>
      <c r="Y16">
        <v>4750.59460997727</v>
      </c>
      <c r="Z16">
        <v>291.50011540130902</v>
      </c>
      <c r="AB16" s="1">
        <f t="shared" si="0"/>
        <v>9105.4795645529739</v>
      </c>
      <c r="AD16" t="s">
        <v>273</v>
      </c>
      <c r="AE16" s="24">
        <f t="shared" si="1"/>
        <v>3.8065188831142045</v>
      </c>
      <c r="AF16" s="24">
        <f t="shared" si="2"/>
        <v>40.819190398502116</v>
      </c>
      <c r="AG16" s="24">
        <f t="shared" si="3"/>
        <v>52.172920451889418</v>
      </c>
      <c r="AH16" s="24">
        <f t="shared" si="4"/>
        <v>3.20137026649425</v>
      </c>
      <c r="AI16" s="24">
        <f t="shared" si="5"/>
        <v>0</v>
      </c>
      <c r="AJ16">
        <f t="shared" si="6"/>
        <v>100</v>
      </c>
      <c r="AL16" t="s">
        <v>224</v>
      </c>
      <c r="AM16">
        <v>609.16222879310897</v>
      </c>
      <c r="AN16">
        <v>29.5947429633108</v>
      </c>
      <c r="AO16">
        <v>3369.6512438381301</v>
      </c>
      <c r="AQ16">
        <v>455.08240003988197</v>
      </c>
      <c r="AR16" s="1">
        <f t="shared" si="7"/>
        <v>4463.4906156344314</v>
      </c>
      <c r="AT16" t="s">
        <v>224</v>
      </c>
      <c r="AU16" s="24">
        <f t="shared" si="8"/>
        <v>13.647664602662639</v>
      </c>
      <c r="AV16" s="24">
        <f t="shared" si="9"/>
        <v>0.6630403312521419</v>
      </c>
      <c r="AW16" s="24">
        <f t="shared" si="10"/>
        <v>75.493633436466283</v>
      </c>
      <c r="AX16" s="24">
        <f t="shared" si="11"/>
        <v>0</v>
      </c>
      <c r="AY16" s="24">
        <f t="shared" si="12"/>
        <v>10.195661629618941</v>
      </c>
      <c r="BB16" t="s">
        <v>225</v>
      </c>
      <c r="BC16">
        <v>362.45889873453399</v>
      </c>
      <c r="BD16">
        <v>1970.3344271625001</v>
      </c>
      <c r="BE16">
        <v>1999.91363603221</v>
      </c>
      <c r="BH16" s="1">
        <f t="shared" si="13"/>
        <v>4332.7069619292442</v>
      </c>
      <c r="BJ16" t="s">
        <v>225</v>
      </c>
      <c r="BK16" s="24">
        <f t="shared" si="14"/>
        <v>8.3656453556494448</v>
      </c>
      <c r="BL16" s="24">
        <f t="shared" si="15"/>
        <v>45.475829417394074</v>
      </c>
      <c r="BM16" s="24">
        <f t="shared" si="16"/>
        <v>46.158525226956478</v>
      </c>
      <c r="BN16" s="24">
        <f t="shared" si="17"/>
        <v>0</v>
      </c>
      <c r="BO16" s="24">
        <f t="shared" si="18"/>
        <v>0</v>
      </c>
      <c r="BP16">
        <f t="shared" si="19"/>
        <v>100</v>
      </c>
    </row>
    <row r="17" spans="1:68" ht="13.15" x14ac:dyDescent="0.4">
      <c r="A17" s="52" t="s">
        <v>331</v>
      </c>
      <c r="B17" s="52"/>
      <c r="C17" s="52"/>
      <c r="D17" s="52"/>
      <c r="E17" s="52"/>
      <c r="I17" s="52" t="s">
        <v>332</v>
      </c>
      <c r="J17" s="52"/>
      <c r="K17" s="52"/>
      <c r="L17" s="52"/>
      <c r="M17" s="52"/>
      <c r="V17" t="s">
        <v>158</v>
      </c>
      <c r="W17">
        <v>3145.4140227604498</v>
      </c>
      <c r="X17">
        <v>7451.28785740076</v>
      </c>
      <c r="Y17">
        <v>8243.7788344774708</v>
      </c>
      <c r="Z17">
        <v>1253.2208671590099</v>
      </c>
      <c r="AB17" s="1">
        <f t="shared" si="0"/>
        <v>20093.70158179769</v>
      </c>
      <c r="AD17" t="s">
        <v>158</v>
      </c>
      <c r="AE17" s="24">
        <f t="shared" si="1"/>
        <v>15.65373114533457</v>
      </c>
      <c r="AF17" s="24">
        <f t="shared" si="2"/>
        <v>37.082703886429108</v>
      </c>
      <c r="AG17" s="24">
        <f t="shared" si="3"/>
        <v>41.026680927446812</v>
      </c>
      <c r="AH17" s="24">
        <f t="shared" si="4"/>
        <v>6.2368840407895121</v>
      </c>
      <c r="AI17" s="24">
        <f t="shared" si="5"/>
        <v>0</v>
      </c>
      <c r="AJ17">
        <f t="shared" si="6"/>
        <v>100</v>
      </c>
      <c r="AL17" t="s">
        <v>228</v>
      </c>
      <c r="AM17">
        <v>978.95209930943395</v>
      </c>
      <c r="AN17">
        <v>2325.2721410700401</v>
      </c>
      <c r="AO17">
        <v>2505.47685822926</v>
      </c>
      <c r="AP17">
        <v>205.733982228125</v>
      </c>
      <c r="AR17" s="1">
        <f t="shared" si="7"/>
        <v>6015.4350808368581</v>
      </c>
      <c r="AT17" t="s">
        <v>228</v>
      </c>
      <c r="AU17" s="24">
        <f t="shared" si="8"/>
        <v>16.274003229260078</v>
      </c>
      <c r="AV17" s="24">
        <f t="shared" si="9"/>
        <v>38.655094931995372</v>
      </c>
      <c r="AW17" s="24">
        <f t="shared" si="10"/>
        <v>41.650800391992625</v>
      </c>
      <c r="AX17" s="24">
        <f t="shared" si="11"/>
        <v>3.4201014467519379</v>
      </c>
      <c r="AY17" s="24">
        <f t="shared" si="12"/>
        <v>0</v>
      </c>
      <c r="BB17" t="s">
        <v>229</v>
      </c>
      <c r="BC17">
        <v>290.77575851544702</v>
      </c>
      <c r="BD17">
        <v>2274.25424116152</v>
      </c>
      <c r="BE17">
        <v>74.526340405429295</v>
      </c>
      <c r="BH17" s="1">
        <f t="shared" si="13"/>
        <v>2639.5563400823967</v>
      </c>
      <c r="BJ17" t="s">
        <v>229</v>
      </c>
      <c r="BK17" s="24">
        <f t="shared" si="14"/>
        <v>11.016084563149356</v>
      </c>
      <c r="BL17" s="24">
        <f t="shared" si="15"/>
        <v>86.16047350936735</v>
      </c>
      <c r="BM17" s="24">
        <f t="shared" si="16"/>
        <v>2.8234419274832705</v>
      </c>
      <c r="BN17" s="24">
        <f t="shared" si="17"/>
        <v>0</v>
      </c>
      <c r="BO17" s="24">
        <f t="shared" si="18"/>
        <v>0</v>
      </c>
      <c r="BP17">
        <f t="shared" si="19"/>
        <v>99.999999999999986</v>
      </c>
    </row>
    <row r="18" spans="1:68" ht="13.15" x14ac:dyDescent="0.4">
      <c r="A18" s="11" t="s">
        <v>333</v>
      </c>
      <c r="C18" s="26" t="s">
        <v>334</v>
      </c>
      <c r="E18" s="3" t="s">
        <v>335</v>
      </c>
      <c r="I18" s="11" t="s">
        <v>333</v>
      </c>
      <c r="K18" s="26" t="s">
        <v>334</v>
      </c>
      <c r="M18" s="3" t="s">
        <v>335</v>
      </c>
      <c r="N18" s="27"/>
      <c r="O18" s="27"/>
      <c r="P18" s="27"/>
      <c r="V18" t="s">
        <v>168</v>
      </c>
      <c r="W18">
        <v>823.68235630337199</v>
      </c>
      <c r="X18">
        <v>3305.91720656097</v>
      </c>
      <c r="Y18">
        <v>5521.4763181190101</v>
      </c>
      <c r="AB18" s="1">
        <f t="shared" si="0"/>
        <v>9651.0758809833533</v>
      </c>
      <c r="AD18" t="s">
        <v>168</v>
      </c>
      <c r="AE18" s="24">
        <f t="shared" si="1"/>
        <v>8.5346169324641821</v>
      </c>
      <c r="AF18" s="24">
        <f t="shared" si="2"/>
        <v>34.254390363617453</v>
      </c>
      <c r="AG18" s="24">
        <f t="shared" si="3"/>
        <v>57.21099270391835</v>
      </c>
      <c r="AH18" s="24">
        <f t="shared" si="4"/>
        <v>0</v>
      </c>
      <c r="AI18" s="24">
        <f t="shared" si="5"/>
        <v>0</v>
      </c>
      <c r="AJ18">
        <f t="shared" si="6"/>
        <v>99.999999999999986</v>
      </c>
      <c r="AL18" t="s">
        <v>233</v>
      </c>
      <c r="AM18">
        <v>150.029818667923</v>
      </c>
      <c r="AN18">
        <v>3343.8717643985401</v>
      </c>
      <c r="AO18">
        <v>343.97401173904001</v>
      </c>
      <c r="AR18" s="1">
        <f t="shared" si="7"/>
        <v>3837.8755948055032</v>
      </c>
      <c r="AT18" t="s">
        <v>233</v>
      </c>
      <c r="AU18" s="24">
        <f t="shared" si="8"/>
        <v>3.9091892105879018</v>
      </c>
      <c r="AV18" s="24">
        <f t="shared" si="9"/>
        <v>87.128195841585168</v>
      </c>
      <c r="AW18" s="24">
        <f t="shared" si="10"/>
        <v>8.9626149478269372</v>
      </c>
      <c r="AX18" s="24">
        <f t="shared" si="11"/>
        <v>0</v>
      </c>
      <c r="AY18" s="24">
        <f t="shared" si="12"/>
        <v>0</v>
      </c>
      <c r="BB18" t="s">
        <v>234</v>
      </c>
      <c r="BC18">
        <v>141.75939182618299</v>
      </c>
      <c r="BD18">
        <v>2274.4071787235498</v>
      </c>
      <c r="BH18" s="1">
        <f t="shared" si="13"/>
        <v>2416.1665705497326</v>
      </c>
      <c r="BJ18" t="s">
        <v>234</v>
      </c>
      <c r="BK18" s="24">
        <f t="shared" si="14"/>
        <v>5.8671199889140722</v>
      </c>
      <c r="BL18" s="24">
        <f t="shared" si="15"/>
        <v>94.132880011085945</v>
      </c>
      <c r="BM18" s="24">
        <f t="shared" si="16"/>
        <v>0</v>
      </c>
      <c r="BN18" s="24">
        <f t="shared" si="17"/>
        <v>0</v>
      </c>
      <c r="BO18" s="24">
        <f t="shared" si="18"/>
        <v>0</v>
      </c>
      <c r="BP18">
        <f t="shared" si="19"/>
        <v>100.00000000000001</v>
      </c>
    </row>
    <row r="19" spans="1:68" ht="13.15" x14ac:dyDescent="0.4">
      <c r="A19" s="28">
        <v>5.0228310502283102E-2</v>
      </c>
      <c r="C19" s="28">
        <v>1.8957345971564E-2</v>
      </c>
      <c r="D19" s="28"/>
      <c r="E19" s="28">
        <v>6.1867266591675997E-2</v>
      </c>
      <c r="I19" s="29">
        <v>39386.990791096097</v>
      </c>
      <c r="J19" s="29"/>
      <c r="K19" s="29">
        <v>60164.473810207797</v>
      </c>
      <c r="L19" s="29"/>
      <c r="M19" s="29">
        <v>40383.978828692401</v>
      </c>
      <c r="V19" t="s">
        <v>172</v>
      </c>
      <c r="W19">
        <v>412.877290141662</v>
      </c>
      <c r="X19">
        <v>3757.3838732906802</v>
      </c>
      <c r="Y19">
        <v>2468.3072776928402</v>
      </c>
      <c r="AA19">
        <v>127.43778590378901</v>
      </c>
      <c r="AB19" s="1">
        <f t="shared" si="0"/>
        <v>6766.0062270289709</v>
      </c>
      <c r="AD19" t="s">
        <v>172</v>
      </c>
      <c r="AE19" s="24">
        <f t="shared" si="1"/>
        <v>6.1022304190660055</v>
      </c>
      <c r="AF19" s="24">
        <f t="shared" si="2"/>
        <v>55.533260644671174</v>
      </c>
      <c r="AG19" s="24">
        <f t="shared" si="3"/>
        <v>36.481008069906871</v>
      </c>
      <c r="AH19" s="24">
        <f t="shared" si="4"/>
        <v>0</v>
      </c>
      <c r="AI19" s="24">
        <f t="shared" si="5"/>
        <v>1.883500866355962</v>
      </c>
      <c r="AJ19">
        <f t="shared" si="6"/>
        <v>100.00000000000001</v>
      </c>
      <c r="AL19" t="s">
        <v>237</v>
      </c>
      <c r="AM19">
        <v>642.73113543115096</v>
      </c>
      <c r="AN19">
        <v>4478.7420286536899</v>
      </c>
      <c r="AO19">
        <v>613.33458315335304</v>
      </c>
      <c r="AR19" s="1">
        <f t="shared" si="7"/>
        <v>5734.8077472381938</v>
      </c>
      <c r="AT19" t="s">
        <v>237</v>
      </c>
      <c r="AU19" s="24">
        <f t="shared" si="8"/>
        <v>11.207544590150937</v>
      </c>
      <c r="AV19" s="24">
        <f t="shared" si="9"/>
        <v>78.097509560117189</v>
      </c>
      <c r="AW19" s="24">
        <f t="shared" si="10"/>
        <v>10.694945849731871</v>
      </c>
      <c r="AX19" s="24">
        <f t="shared" si="11"/>
        <v>0</v>
      </c>
      <c r="AY19" s="24">
        <f t="shared" si="12"/>
        <v>0</v>
      </c>
      <c r="BB19" t="s">
        <v>238</v>
      </c>
      <c r="BC19">
        <v>677.11723619644101</v>
      </c>
      <c r="BD19">
        <v>3819.7139723550099</v>
      </c>
      <c r="BE19">
        <v>1147.17385191516</v>
      </c>
      <c r="BH19" s="1">
        <f t="shared" si="13"/>
        <v>5644.0050604666103</v>
      </c>
      <c r="BJ19" t="s">
        <v>238</v>
      </c>
      <c r="BK19" s="24">
        <f t="shared" si="14"/>
        <v>11.997105405508998</v>
      </c>
      <c r="BL19" s="24">
        <f t="shared" si="15"/>
        <v>67.677366186472199</v>
      </c>
      <c r="BM19" s="24">
        <f t="shared" si="16"/>
        <v>20.325528408018808</v>
      </c>
      <c r="BN19" s="24">
        <f t="shared" si="17"/>
        <v>0</v>
      </c>
      <c r="BO19" s="24">
        <f t="shared" si="18"/>
        <v>0</v>
      </c>
      <c r="BP19">
        <f t="shared" si="19"/>
        <v>100.00000000000001</v>
      </c>
    </row>
    <row r="20" spans="1:68" ht="13.15" x14ac:dyDescent="0.4">
      <c r="A20" s="28">
        <v>5.4498269896193802E-2</v>
      </c>
      <c r="C20" s="28">
        <v>6.8181818181818205E-2</v>
      </c>
      <c r="D20" s="28"/>
      <c r="E20" s="28">
        <v>3.2500000000000001E-2</v>
      </c>
      <c r="I20" s="29">
        <v>39403.292181069999</v>
      </c>
      <c r="J20" s="29"/>
      <c r="K20" s="29">
        <v>107019.75593770501</v>
      </c>
      <c r="L20" s="29"/>
      <c r="M20" s="29">
        <v>49811.088902390198</v>
      </c>
      <c r="V20" t="s">
        <v>177</v>
      </c>
      <c r="W20">
        <v>888.43068844966103</v>
      </c>
      <c r="X20">
        <v>752.31162909130001</v>
      </c>
      <c r="Y20">
        <v>2954.5055214545901</v>
      </c>
      <c r="Z20">
        <v>504.83328938296302</v>
      </c>
      <c r="AB20" s="1">
        <f t="shared" si="0"/>
        <v>5100.0811283785142</v>
      </c>
      <c r="AD20" t="s">
        <v>177</v>
      </c>
      <c r="AE20" s="24">
        <f t="shared" si="1"/>
        <v>17.419932469429614</v>
      </c>
      <c r="AF20" s="24">
        <f t="shared" si="2"/>
        <v>14.750973762068075</v>
      </c>
      <c r="AG20" s="24">
        <f t="shared" si="3"/>
        <v>57.930559281003546</v>
      </c>
      <c r="AH20" s="24">
        <f t="shared" si="4"/>
        <v>9.8985344874987575</v>
      </c>
      <c r="AI20" s="24">
        <f t="shared" si="5"/>
        <v>0</v>
      </c>
      <c r="AJ20">
        <f t="shared" si="6"/>
        <v>100</v>
      </c>
      <c r="AL20" t="s">
        <v>241</v>
      </c>
      <c r="AM20">
        <v>293.72150935057903</v>
      </c>
      <c r="AN20">
        <v>1854.7912603741099</v>
      </c>
      <c r="AO20">
        <v>103.95282919956399</v>
      </c>
      <c r="AR20" s="1">
        <f t="shared" si="7"/>
        <v>2252.4655989242528</v>
      </c>
      <c r="AT20" t="s">
        <v>241</v>
      </c>
      <c r="AU20" s="24">
        <f t="shared" si="8"/>
        <v>13.039999789157999</v>
      </c>
      <c r="AV20" s="24">
        <f t="shared" si="9"/>
        <v>82.344931760997071</v>
      </c>
      <c r="AW20" s="24">
        <f t="shared" si="10"/>
        <v>4.6150684498449364</v>
      </c>
      <c r="AX20" s="24">
        <f t="shared" si="11"/>
        <v>0</v>
      </c>
      <c r="AY20" s="24">
        <f t="shared" si="12"/>
        <v>0</v>
      </c>
      <c r="BB20" t="s">
        <v>248</v>
      </c>
      <c r="BC20">
        <v>176.04140951781901</v>
      </c>
      <c r="BD20">
        <v>4542.2192158183698</v>
      </c>
      <c r="BE20">
        <v>2058.3105904261301</v>
      </c>
      <c r="BG20">
        <v>612.82055231006098</v>
      </c>
      <c r="BH20" s="1">
        <f t="shared" si="13"/>
        <v>7389.3917680723807</v>
      </c>
      <c r="BJ20" t="s">
        <v>248</v>
      </c>
      <c r="BK20" s="24">
        <f t="shared" si="14"/>
        <v>2.3823531765963155</v>
      </c>
      <c r="BL20" s="24">
        <f t="shared" si="15"/>
        <v>61.46945998240485</v>
      </c>
      <c r="BM20" s="24">
        <f t="shared" si="16"/>
        <v>27.854939283630205</v>
      </c>
      <c r="BN20" s="24">
        <f t="shared" si="17"/>
        <v>0</v>
      </c>
      <c r="BO20" s="24">
        <f t="shared" si="18"/>
        <v>8.2932475573686251</v>
      </c>
      <c r="BP20">
        <f t="shared" si="19"/>
        <v>100</v>
      </c>
    </row>
    <row r="21" spans="1:68" ht="13.15" x14ac:dyDescent="0.4">
      <c r="A21" s="28">
        <v>3.6405005688282102E-2</v>
      </c>
      <c r="C21" s="28">
        <v>4.7486033519553099E-2</v>
      </c>
      <c r="D21" s="28"/>
      <c r="E21" s="28">
        <v>8.4893882646691704E-2</v>
      </c>
      <c r="I21" s="29">
        <v>47604.426750101396</v>
      </c>
      <c r="J21" s="29"/>
      <c r="K21" s="29">
        <v>116215.702510445</v>
      </c>
      <c r="L21" s="29"/>
      <c r="M21" s="29">
        <v>94513.734148665899</v>
      </c>
      <c r="V21" t="s">
        <v>181</v>
      </c>
      <c r="W21">
        <v>170.40955735058799</v>
      </c>
      <c r="X21">
        <v>1827.0811072854599</v>
      </c>
      <c r="Y21">
        <v>318.59120618448299</v>
      </c>
      <c r="AB21" s="1">
        <f t="shared" si="0"/>
        <v>2316.0818708205306</v>
      </c>
      <c r="AD21" t="s">
        <v>181</v>
      </c>
      <c r="AE21" s="24">
        <f t="shared" si="1"/>
        <v>7.3576655254512273</v>
      </c>
      <c r="AF21" s="24">
        <f t="shared" si="2"/>
        <v>78.88672375118459</v>
      </c>
      <c r="AG21" s="24">
        <f t="shared" si="3"/>
        <v>13.755610723364196</v>
      </c>
      <c r="AH21" s="24">
        <f t="shared" si="4"/>
        <v>0</v>
      </c>
      <c r="AI21" s="24">
        <f t="shared" si="5"/>
        <v>0</v>
      </c>
      <c r="AJ21">
        <f t="shared" si="6"/>
        <v>100.00000000000001</v>
      </c>
      <c r="AL21" t="s">
        <v>251</v>
      </c>
      <c r="AM21">
        <v>413.19968270558797</v>
      </c>
      <c r="AN21">
        <v>72.057939690724993</v>
      </c>
      <c r="AO21">
        <v>3381.45330120469</v>
      </c>
      <c r="AR21" s="1">
        <f t="shared" si="7"/>
        <v>3866.7109236010028</v>
      </c>
      <c r="AT21" t="s">
        <v>251</v>
      </c>
      <c r="AU21" s="24">
        <f t="shared" si="8"/>
        <v>10.686076380408135</v>
      </c>
      <c r="AV21" s="24">
        <f t="shared" si="9"/>
        <v>1.8635460760955631</v>
      </c>
      <c r="AW21" s="24">
        <f t="shared" si="10"/>
        <v>87.450377543496302</v>
      </c>
      <c r="AX21" s="24">
        <f t="shared" si="11"/>
        <v>0</v>
      </c>
      <c r="AY21" s="24">
        <f t="shared" si="12"/>
        <v>0</v>
      </c>
      <c r="BB21" t="s">
        <v>252</v>
      </c>
      <c r="BC21">
        <v>354.90586727337302</v>
      </c>
      <c r="BD21">
        <v>4487.0581189361901</v>
      </c>
      <c r="BE21">
        <v>1365.6863108472601</v>
      </c>
      <c r="BH21" s="1">
        <f t="shared" si="13"/>
        <v>6207.6502970568226</v>
      </c>
      <c r="BJ21" t="s">
        <v>252</v>
      </c>
      <c r="BK21" s="24">
        <f t="shared" si="14"/>
        <v>5.7172335793728797</v>
      </c>
      <c r="BL21" s="24">
        <f t="shared" si="15"/>
        <v>72.282714138449435</v>
      </c>
      <c r="BM21" s="24">
        <f t="shared" si="16"/>
        <v>22.000052282177698</v>
      </c>
      <c r="BN21" s="24">
        <f t="shared" si="17"/>
        <v>0</v>
      </c>
      <c r="BO21" s="24">
        <f t="shared" si="18"/>
        <v>0</v>
      </c>
      <c r="BP21">
        <f t="shared" si="19"/>
        <v>100</v>
      </c>
    </row>
    <row r="22" spans="1:68" ht="13.15" x14ac:dyDescent="0.4">
      <c r="A22" s="28">
        <v>9.1903719912472703E-2</v>
      </c>
      <c r="C22" s="28">
        <v>4.5951859956236303E-2</v>
      </c>
      <c r="D22" s="28"/>
      <c r="E22" s="28">
        <v>0.13406408094435099</v>
      </c>
      <c r="I22" s="29">
        <v>81390.015822142901</v>
      </c>
      <c r="J22" s="29"/>
      <c r="K22" s="29">
        <v>149984.362139918</v>
      </c>
      <c r="L22" s="29"/>
      <c r="M22" s="29">
        <v>80334.678472927801</v>
      </c>
      <c r="V22" t="s">
        <v>188</v>
      </c>
      <c r="W22">
        <v>1108.64575389846</v>
      </c>
      <c r="X22">
        <v>2479.7992755062401</v>
      </c>
      <c r="Y22">
        <v>9549.4369293234395</v>
      </c>
      <c r="AA22">
        <v>109.93351890682</v>
      </c>
      <c r="AB22" s="1">
        <f t="shared" si="0"/>
        <v>13247.81547763496</v>
      </c>
      <c r="AD22" t="s">
        <v>188</v>
      </c>
      <c r="AE22" s="24">
        <f t="shared" si="1"/>
        <v>8.3685174795050727</v>
      </c>
      <c r="AF22" s="24">
        <f t="shared" si="2"/>
        <v>18.718552350707569</v>
      </c>
      <c r="AG22" s="24">
        <f t="shared" si="3"/>
        <v>72.083106421921826</v>
      </c>
      <c r="AH22" s="24">
        <f t="shared" si="4"/>
        <v>0</v>
      </c>
      <c r="AI22" s="24">
        <f t="shared" si="5"/>
        <v>0.82982374786552848</v>
      </c>
      <c r="AJ22">
        <f t="shared" si="6"/>
        <v>100</v>
      </c>
      <c r="AR22" s="1">
        <f>AVERAGE(AR4:AR21)</f>
        <v>4144.2022813184822</v>
      </c>
      <c r="AT22" t="s">
        <v>256</v>
      </c>
      <c r="AU22" s="1">
        <f>AVERAGE(AU4:AU21)</f>
        <v>12.206228570110008</v>
      </c>
      <c r="AV22" s="1">
        <f>AVERAGE(AV4:AV21)</f>
        <v>59.181139922596948</v>
      </c>
      <c r="AW22" s="1">
        <f>AVERAGE(AW4:AW21)</f>
        <v>26.350664834665192</v>
      </c>
      <c r="AX22" s="1">
        <f>AVERAGE(AX4:AX21)</f>
        <v>0.573527960466791</v>
      </c>
      <c r="AY22" s="1">
        <f>AVERAGE(AY4:AY21)</f>
        <v>1.6884387121610607</v>
      </c>
      <c r="BB22" t="s">
        <v>257</v>
      </c>
      <c r="BC22">
        <v>312.47231335458298</v>
      </c>
      <c r="BD22">
        <v>1101.75057616754</v>
      </c>
      <c r="BE22">
        <v>1165.30844045411</v>
      </c>
      <c r="BH22" s="1">
        <f t="shared" si="13"/>
        <v>2579.5313299762329</v>
      </c>
      <c r="BJ22" t="s">
        <v>257</v>
      </c>
      <c r="BK22" s="24">
        <f t="shared" si="14"/>
        <v>12.113530458940463</v>
      </c>
      <c r="BL22" s="24">
        <f t="shared" si="15"/>
        <v>42.711269421863982</v>
      </c>
      <c r="BM22" s="24">
        <f t="shared" si="16"/>
        <v>45.175200119195566</v>
      </c>
      <c r="BN22" s="24">
        <f t="shared" si="17"/>
        <v>0</v>
      </c>
      <c r="BO22" s="24">
        <f t="shared" si="18"/>
        <v>0</v>
      </c>
      <c r="BP22">
        <f t="shared" si="19"/>
        <v>100.00000000000001</v>
      </c>
    </row>
    <row r="23" spans="1:68" ht="13.15" x14ac:dyDescent="0.4">
      <c r="A23" s="28">
        <v>6.2250598563447702E-2</v>
      </c>
      <c r="C23" s="28">
        <v>4.7182175622542601E-2</v>
      </c>
      <c r="D23" s="28"/>
      <c r="E23" s="28">
        <v>4.4350580781415003E-2</v>
      </c>
      <c r="I23" s="29">
        <v>30031.799280195901</v>
      </c>
      <c r="J23" s="29"/>
      <c r="K23" s="29">
        <v>87796.806662700794</v>
      </c>
      <c r="L23" s="29"/>
      <c r="M23" s="29">
        <v>41925.360869380602</v>
      </c>
      <c r="V23" t="s">
        <v>193</v>
      </c>
      <c r="W23">
        <v>1003.54882452023</v>
      </c>
      <c r="X23">
        <v>2138.0193097061701</v>
      </c>
      <c r="Y23">
        <v>7305.06148295807</v>
      </c>
      <c r="Z23">
        <v>873.58652065475599</v>
      </c>
      <c r="AB23" s="1">
        <f t="shared" si="0"/>
        <v>11320.216137839227</v>
      </c>
      <c r="AD23" t="s">
        <v>193</v>
      </c>
      <c r="AE23" s="24">
        <f t="shared" si="1"/>
        <v>8.8651030360254648</v>
      </c>
      <c r="AF23" s="24">
        <f t="shared" si="2"/>
        <v>18.886735762575906</v>
      </c>
      <c r="AG23" s="24">
        <f t="shared" si="3"/>
        <v>64.531113134315476</v>
      </c>
      <c r="AH23" s="24">
        <f t="shared" si="4"/>
        <v>7.7170480670831427</v>
      </c>
      <c r="AI23" s="24">
        <f t="shared" si="5"/>
        <v>0</v>
      </c>
      <c r="AJ23">
        <f t="shared" si="6"/>
        <v>99.999999999999986</v>
      </c>
      <c r="AT23" t="s">
        <v>281</v>
      </c>
      <c r="AU23" s="1">
        <f>STDEV(AU4:AU21)</f>
        <v>5.6554757790540435</v>
      </c>
      <c r="AV23" s="1">
        <f>STDEV(AV4:AV21)</f>
        <v>27.948113209330657</v>
      </c>
      <c r="AW23" s="1">
        <f>STDEV(AW4:AW21)</f>
        <v>24.65716911865254</v>
      </c>
      <c r="AX23" s="1">
        <f>STDEV(AX4:AX21)</f>
        <v>1.1373813616197106</v>
      </c>
      <c r="AY23" s="1">
        <f>STDEV(AY4:AY21)</f>
        <v>3.8986597424335336</v>
      </c>
      <c r="BB23" t="s">
        <v>260</v>
      </c>
      <c r="BC23">
        <v>410.94545248874903</v>
      </c>
      <c r="BD23">
        <v>402.44548658606601</v>
      </c>
      <c r="BE23">
        <v>1482.78384584234</v>
      </c>
      <c r="BH23" s="1">
        <f t="shared" si="13"/>
        <v>2296.1747849171552</v>
      </c>
      <c r="BJ23" t="s">
        <v>260</v>
      </c>
      <c r="BK23" s="24">
        <f t="shared" si="14"/>
        <v>17.896958680502873</v>
      </c>
      <c r="BL23" s="24">
        <f t="shared" si="15"/>
        <v>17.52677928655967</v>
      </c>
      <c r="BM23" s="24">
        <f t="shared" si="16"/>
        <v>64.57626203293745</v>
      </c>
      <c r="BN23" s="24">
        <f t="shared" si="17"/>
        <v>0</v>
      </c>
      <c r="BO23" s="24">
        <f t="shared" si="18"/>
        <v>0</v>
      </c>
      <c r="BP23">
        <f t="shared" si="19"/>
        <v>100</v>
      </c>
    </row>
    <row r="24" spans="1:68" ht="13.15" x14ac:dyDescent="0.4">
      <c r="A24" s="28">
        <v>8.8586030664395202E-2</v>
      </c>
      <c r="C24" s="28">
        <v>5.3935860058308999E-2</v>
      </c>
      <c r="D24" s="28"/>
      <c r="E24" s="28">
        <v>9.5972579263067695E-2</v>
      </c>
      <c r="I24" s="29">
        <v>33983.523536138498</v>
      </c>
      <c r="J24" s="29"/>
      <c r="K24" s="29">
        <v>42066.295813472098</v>
      </c>
      <c r="L24" s="29"/>
      <c r="M24" s="29">
        <v>45152.170281345498</v>
      </c>
      <c r="V24" t="s">
        <v>197</v>
      </c>
      <c r="W24">
        <v>722.89869641568498</v>
      </c>
      <c r="X24">
        <v>532.81977146881002</v>
      </c>
      <c r="Y24">
        <v>4247.85194883037</v>
      </c>
      <c r="Z24">
        <v>194.261662503541</v>
      </c>
      <c r="AA24">
        <v>79.673980690689504</v>
      </c>
      <c r="AB24" s="1">
        <f t="shared" si="0"/>
        <v>5777.5060599090957</v>
      </c>
      <c r="AD24" t="s">
        <v>197</v>
      </c>
      <c r="AE24" s="24">
        <f t="shared" si="1"/>
        <v>12.512296636640121</v>
      </c>
      <c r="AF24" s="24">
        <f t="shared" si="2"/>
        <v>9.2223143678916966</v>
      </c>
      <c r="AG24" s="24">
        <f t="shared" si="3"/>
        <v>73.52397219116385</v>
      </c>
      <c r="AH24" s="24">
        <f t="shared" si="4"/>
        <v>3.3623792080729995</v>
      </c>
      <c r="AI24" s="24">
        <f t="shared" si="5"/>
        <v>1.3790375962313246</v>
      </c>
      <c r="AJ24">
        <f t="shared" si="6"/>
        <v>99.999999999999986</v>
      </c>
      <c r="AT24" t="s">
        <v>284</v>
      </c>
      <c r="AU24" s="1">
        <f>STDEV(AU5:AU22)/SQRT(18)</f>
        <v>1.3217006272923708</v>
      </c>
      <c r="AV24" s="1">
        <f>STDEV(AV5:AV22)/SQRT(18)</f>
        <v>6.5151791541150654</v>
      </c>
      <c r="AW24" s="1">
        <f>STDEV(AW5:AW22)/SQRT(18)</f>
        <v>5.7563645003338806</v>
      </c>
      <c r="AX24" s="1">
        <f>STDEV(AX5:AX22)/SQRT(18)</f>
        <v>0.24878424227421445</v>
      </c>
      <c r="AY24" s="1">
        <f>STDEV(AY5:AY22)/SQRT(18)</f>
        <v>0.91355641313948432</v>
      </c>
      <c r="BB24" t="s">
        <v>264</v>
      </c>
      <c r="BC24">
        <v>442.71708010853303</v>
      </c>
      <c r="BD24">
        <v>2856.3046847389701</v>
      </c>
      <c r="BE24">
        <v>12.6</v>
      </c>
      <c r="BG24">
        <v>204.97882887516499</v>
      </c>
      <c r="BH24" s="1">
        <f t="shared" si="13"/>
        <v>3516.6005937226682</v>
      </c>
      <c r="BJ24" t="s">
        <v>264</v>
      </c>
      <c r="BK24" s="24">
        <f t="shared" si="14"/>
        <v>12.58934781785592</v>
      </c>
      <c r="BL24" s="24">
        <f t="shared" si="15"/>
        <v>81.22346023138472</v>
      </c>
      <c r="BM24" s="24">
        <f t="shared" si="16"/>
        <v>0.35830057079816557</v>
      </c>
      <c r="BN24" s="24">
        <f t="shared" si="17"/>
        <v>0</v>
      </c>
      <c r="BO24" s="24">
        <f t="shared" si="18"/>
        <v>5.8288913799611999</v>
      </c>
      <c r="BP24">
        <f t="shared" si="19"/>
        <v>100.00000000000001</v>
      </c>
    </row>
    <row r="25" spans="1:68" ht="13.15" x14ac:dyDescent="0.4">
      <c r="A25" s="28">
        <v>2.3634881825590901E-2</v>
      </c>
      <c r="C25" s="28">
        <v>1.82149362477231E-2</v>
      </c>
      <c r="D25" s="28"/>
      <c r="E25" s="28">
        <v>4.0883977900552503E-2</v>
      </c>
      <c r="I25" s="29">
        <v>62388.367321323298</v>
      </c>
      <c r="J25" s="29"/>
      <c r="K25" s="29">
        <v>43054.873852180201</v>
      </c>
      <c r="L25" s="29"/>
      <c r="M25" s="29">
        <v>30943.8671552571</v>
      </c>
      <c r="V25" t="s">
        <v>201</v>
      </c>
      <c r="W25">
        <v>143.196139822139</v>
      </c>
      <c r="X25">
        <v>2532.2171706418999</v>
      </c>
      <c r="Y25">
        <v>2066.26184657157</v>
      </c>
      <c r="AA25">
        <v>76.3042413508539</v>
      </c>
      <c r="AB25" s="1">
        <f t="shared" si="0"/>
        <v>4817.979398386462</v>
      </c>
      <c r="AD25" t="s">
        <v>201</v>
      </c>
      <c r="AE25" s="24">
        <f t="shared" si="1"/>
        <v>2.9721202184902515</v>
      </c>
      <c r="AF25" s="24">
        <f t="shared" si="2"/>
        <v>52.557658745696124</v>
      </c>
      <c r="AG25" s="24">
        <f t="shared" si="3"/>
        <v>42.886481566599464</v>
      </c>
      <c r="AH25" s="24">
        <f t="shared" si="4"/>
        <v>0</v>
      </c>
      <c r="AI25" s="24">
        <f t="shared" si="5"/>
        <v>1.5837394692141717</v>
      </c>
      <c r="AJ25">
        <f t="shared" si="6"/>
        <v>100.00000000000001</v>
      </c>
      <c r="BB25" t="s">
        <v>269</v>
      </c>
      <c r="BC25">
        <v>404.93734188606402</v>
      </c>
      <c r="BD25">
        <v>501.21968512206502</v>
      </c>
      <c r="BE25">
        <v>1868.8843837774</v>
      </c>
      <c r="BF25">
        <v>155.23148584177301</v>
      </c>
      <c r="BH25" s="1">
        <f t="shared" si="13"/>
        <v>2930.2728966273021</v>
      </c>
      <c r="BJ25" t="s">
        <v>269</v>
      </c>
      <c r="BK25" s="24">
        <f t="shared" si="14"/>
        <v>13.819100000963751</v>
      </c>
      <c r="BL25" s="24">
        <f t="shared" si="15"/>
        <v>17.104880767213217</v>
      </c>
      <c r="BM25" s="24">
        <f t="shared" si="16"/>
        <v>63.778509705647437</v>
      </c>
      <c r="BN25" s="24">
        <f t="shared" si="17"/>
        <v>5.2975095261755998</v>
      </c>
      <c r="BO25" s="24">
        <f t="shared" si="18"/>
        <v>0</v>
      </c>
      <c r="BP25">
        <f t="shared" si="19"/>
        <v>100.00000000000001</v>
      </c>
    </row>
    <row r="26" spans="1:68" ht="13.15" x14ac:dyDescent="0.4">
      <c r="A26" s="28">
        <v>3.5302104548540401E-2</v>
      </c>
      <c r="C26" s="28">
        <v>5.16129032258065E-2</v>
      </c>
      <c r="D26" s="28"/>
      <c r="E26" s="28">
        <v>7.1311475409836095E-2</v>
      </c>
      <c r="I26" s="29">
        <v>51858.3587494682</v>
      </c>
      <c r="J26" s="29"/>
      <c r="K26" s="29">
        <v>49763.653979238799</v>
      </c>
      <c r="L26" s="29"/>
      <c r="M26" s="29">
        <v>64480.619599125101</v>
      </c>
      <c r="V26" s="17" t="s">
        <v>205</v>
      </c>
      <c r="W26">
        <v>1465.42203886122</v>
      </c>
      <c r="X26">
        <v>3552.1827205712698</v>
      </c>
      <c r="Y26">
        <v>1735.3718666484101</v>
      </c>
      <c r="AB26" s="1">
        <f t="shared" si="0"/>
        <v>6752.9766260809001</v>
      </c>
      <c r="AD26" s="17" t="s">
        <v>205</v>
      </c>
      <c r="AE26" s="24">
        <f t="shared" si="1"/>
        <v>21.700386659144709</v>
      </c>
      <c r="AF26" s="24">
        <f t="shared" si="2"/>
        <v>52.601732795168644</v>
      </c>
      <c r="AG26" s="24">
        <f t="shared" si="3"/>
        <v>25.697880545686647</v>
      </c>
      <c r="AH26" s="24">
        <f t="shared" si="4"/>
        <v>0</v>
      </c>
      <c r="AI26" s="24">
        <f t="shared" si="5"/>
        <v>0</v>
      </c>
      <c r="AJ26">
        <f t="shared" si="6"/>
        <v>100</v>
      </c>
      <c r="BB26" t="s">
        <v>274</v>
      </c>
      <c r="BC26">
        <v>477.96997478038401</v>
      </c>
      <c r="BD26">
        <v>2044.4138118370799</v>
      </c>
      <c r="BE26">
        <v>599.072216057481</v>
      </c>
      <c r="BH26" s="1">
        <f t="shared" si="13"/>
        <v>3121.456002674945</v>
      </c>
      <c r="BJ26" t="s">
        <v>274</v>
      </c>
      <c r="BK26" s="24">
        <f t="shared" si="14"/>
        <v>15.312404671755283</v>
      </c>
      <c r="BL26" s="24">
        <f t="shared" si="15"/>
        <v>65.495519081002925</v>
      </c>
      <c r="BM26" s="24">
        <f t="shared" si="16"/>
        <v>19.192076247241783</v>
      </c>
      <c r="BN26" s="24">
        <f t="shared" si="17"/>
        <v>0</v>
      </c>
      <c r="BO26" s="24">
        <f t="shared" si="18"/>
        <v>0</v>
      </c>
      <c r="BP26">
        <f t="shared" si="19"/>
        <v>100</v>
      </c>
    </row>
    <row r="27" spans="1:68" ht="13.15" x14ac:dyDescent="0.4">
      <c r="A27" s="28">
        <v>9.5473251028806605E-2</v>
      </c>
      <c r="C27" s="28">
        <v>2.6246719160105E-3</v>
      </c>
      <c r="D27" s="28"/>
      <c r="E27" s="28">
        <v>0.104519774011299</v>
      </c>
      <c r="I27" s="29">
        <v>38314.692782849597</v>
      </c>
      <c r="J27" s="29"/>
      <c r="K27" s="29">
        <v>55290.485808134901</v>
      </c>
      <c r="L27" s="29"/>
      <c r="M27" s="29">
        <v>31942.7050473046</v>
      </c>
      <c r="V27" s="17" t="s">
        <v>208</v>
      </c>
      <c r="W27">
        <v>1174.1985909605601</v>
      </c>
      <c r="X27">
        <v>2748.9599473989701</v>
      </c>
      <c r="Y27">
        <v>2658.0842252751199</v>
      </c>
      <c r="Z27">
        <v>174.48029926805799</v>
      </c>
      <c r="AB27" s="1">
        <f t="shared" si="0"/>
        <v>6755.7230629027081</v>
      </c>
      <c r="AD27" s="17" t="s">
        <v>208</v>
      </c>
      <c r="AE27" s="24">
        <f t="shared" si="1"/>
        <v>17.380798177005886</v>
      </c>
      <c r="AF27" s="24">
        <f t="shared" si="2"/>
        <v>40.690832377279747</v>
      </c>
      <c r="AG27" s="24">
        <f t="shared" si="3"/>
        <v>39.345665897278955</v>
      </c>
      <c r="AH27" s="24">
        <f t="shared" si="4"/>
        <v>2.5827035484354157</v>
      </c>
      <c r="AI27" s="24">
        <f t="shared" si="5"/>
        <v>0</v>
      </c>
      <c r="AJ27">
        <f t="shared" si="6"/>
        <v>100.00000000000001</v>
      </c>
      <c r="BB27" t="s">
        <v>276</v>
      </c>
      <c r="BC27">
        <v>148.36775468110801</v>
      </c>
      <c r="BD27">
        <v>2079.0109388798501</v>
      </c>
      <c r="BE27">
        <v>219.93104131358501</v>
      </c>
      <c r="BH27" s="1">
        <f t="shared" si="13"/>
        <v>2447.3097348745432</v>
      </c>
      <c r="BJ27" t="s">
        <v>276</v>
      </c>
      <c r="BK27" s="24">
        <f t="shared" si="14"/>
        <v>6.0624837374217293</v>
      </c>
      <c r="BL27" s="24">
        <f t="shared" si="15"/>
        <v>84.9508711240601</v>
      </c>
      <c r="BM27" s="24">
        <f t="shared" si="16"/>
        <v>8.9866451385181687</v>
      </c>
      <c r="BN27" s="24">
        <f t="shared" si="17"/>
        <v>0</v>
      </c>
      <c r="BO27" s="24">
        <f t="shared" si="18"/>
        <v>0</v>
      </c>
      <c r="BP27">
        <f t="shared" si="19"/>
        <v>100</v>
      </c>
    </row>
    <row r="28" spans="1:68" ht="13.15" x14ac:dyDescent="0.4">
      <c r="A28" s="28">
        <v>5.31914893617021E-3</v>
      </c>
      <c r="C28" s="28">
        <v>2.0942408376963401E-2</v>
      </c>
      <c r="D28" s="28"/>
      <c r="E28" s="28">
        <v>8.4558823529411797E-2</v>
      </c>
      <c r="I28" s="29">
        <v>38854.6361396551</v>
      </c>
      <c r="J28" s="29"/>
      <c r="K28" s="29">
        <v>111375.85733882</v>
      </c>
      <c r="L28" s="29"/>
      <c r="M28" s="29">
        <v>36757.562697294103</v>
      </c>
      <c r="V28" s="17" t="s">
        <v>213</v>
      </c>
      <c r="W28">
        <v>918.70175934148597</v>
      </c>
      <c r="X28">
        <v>1761.49584536164</v>
      </c>
      <c r="Y28">
        <v>4679.8715488411299</v>
      </c>
      <c r="Z28">
        <v>191.6330588571</v>
      </c>
      <c r="AA28">
        <v>232.530331394483</v>
      </c>
      <c r="AB28" s="1">
        <f t="shared" si="0"/>
        <v>7784.2325437958389</v>
      </c>
      <c r="AD28" s="17" t="s">
        <v>213</v>
      </c>
      <c r="AE28" s="24">
        <f t="shared" si="1"/>
        <v>11.802085230273683</v>
      </c>
      <c r="AF28" s="24">
        <f t="shared" si="2"/>
        <v>22.62902393333022</v>
      </c>
      <c r="AG28" s="24">
        <f t="shared" si="3"/>
        <v>60.119883655981788</v>
      </c>
      <c r="AH28" s="24">
        <f t="shared" si="4"/>
        <v>2.4618105610145817</v>
      </c>
      <c r="AI28" s="24">
        <f t="shared" si="5"/>
        <v>2.987196619399731</v>
      </c>
      <c r="AJ28">
        <f t="shared" si="6"/>
        <v>100.00000000000001</v>
      </c>
      <c r="BH28" s="1">
        <f>AVERAGE(BH4:BH27)</f>
        <v>4382.7201277510203</v>
      </c>
      <c r="BJ28" t="s">
        <v>256</v>
      </c>
      <c r="BK28" s="1">
        <f>AVERAGE(BK4:BK27)</f>
        <v>12.019193172998607</v>
      </c>
      <c r="BL28" s="1">
        <f>AVERAGE(BL4:BL27)</f>
        <v>57.418174921395</v>
      </c>
      <c r="BM28" s="1">
        <f>AVERAGE(BM4:BM27)</f>
        <v>26.302624443882319</v>
      </c>
      <c r="BN28" s="1">
        <f>AVERAGE(BN4:BN27)</f>
        <v>0.30279498723798243</v>
      </c>
      <c r="BO28" s="1">
        <f>AVERAGE(BO4:BO27)</f>
        <v>3.9572124744860933</v>
      </c>
    </row>
    <row r="29" spans="1:68" ht="13.15" x14ac:dyDescent="0.4">
      <c r="A29" s="28">
        <v>8.2083662194159399E-2</v>
      </c>
      <c r="C29" s="28">
        <v>8.3798882681564192E-3</v>
      </c>
      <c r="D29" s="28"/>
      <c r="E29" s="28">
        <v>9.1530054644808803E-2</v>
      </c>
      <c r="I29" s="29">
        <v>160789.59778211001</v>
      </c>
      <c r="J29" s="29"/>
      <c r="K29" s="29">
        <v>28641.375054400301</v>
      </c>
      <c r="L29" s="29"/>
      <c r="M29" s="29">
        <v>67921.840759678598</v>
      </c>
      <c r="V29" s="17" t="s">
        <v>216</v>
      </c>
      <c r="W29">
        <v>585.587509937802</v>
      </c>
      <c r="X29">
        <v>2054.3516844175701</v>
      </c>
      <c r="Y29">
        <v>5703.88174325821</v>
      </c>
      <c r="Z29">
        <v>415.69023008583099</v>
      </c>
      <c r="AB29" s="1">
        <f t="shared" si="0"/>
        <v>8759.5111676994129</v>
      </c>
      <c r="AD29" s="17" t="s">
        <v>216</v>
      </c>
      <c r="AE29" s="24">
        <f t="shared" si="1"/>
        <v>6.6851619768138271</v>
      </c>
      <c r="AF29" s="24">
        <f t="shared" si="2"/>
        <v>23.452811978743359</v>
      </c>
      <c r="AG29" s="24">
        <f t="shared" si="3"/>
        <v>65.116438966265633</v>
      </c>
      <c r="AH29" s="24">
        <f t="shared" si="4"/>
        <v>4.7455870781771869</v>
      </c>
      <c r="AI29" s="24">
        <f t="shared" si="5"/>
        <v>0</v>
      </c>
      <c r="AJ29">
        <f t="shared" si="6"/>
        <v>100</v>
      </c>
      <c r="BJ29" t="s">
        <v>281</v>
      </c>
      <c r="BK29" s="1">
        <f>STDEV(BK4:BK27)</f>
        <v>6.7491107020997942</v>
      </c>
      <c r="BL29" s="1">
        <f>STDEV(BL4:BL27)</f>
        <v>27.356815963728735</v>
      </c>
      <c r="BM29" s="1">
        <f>STDEV(BM4:BM27)</f>
        <v>22.39713211627755</v>
      </c>
      <c r="BN29" s="1">
        <f>STDEV(BN4:BN27)</f>
        <v>1.1371661673853262</v>
      </c>
      <c r="BO29" s="1">
        <f>STDEV(BO4:BO27)</f>
        <v>8.0949282325657759</v>
      </c>
    </row>
    <row r="30" spans="1:68" ht="13.15" x14ac:dyDescent="0.4">
      <c r="A30" s="28">
        <v>4.0348101265822799E-2</v>
      </c>
      <c r="C30" s="28">
        <v>5.5714285714285702E-2</v>
      </c>
      <c r="D30" s="28"/>
      <c r="E30" s="28">
        <v>8.5329341317365304E-2</v>
      </c>
      <c r="I30" s="29">
        <v>39617.329721039801</v>
      </c>
      <c r="J30" s="29"/>
      <c r="K30" s="29">
        <v>40888.612093952601</v>
      </c>
      <c r="L30" s="29"/>
      <c r="M30" s="29">
        <v>122154.687935813</v>
      </c>
      <c r="V30" s="17" t="s">
        <v>219</v>
      </c>
      <c r="W30">
        <v>2038.8196054617699</v>
      </c>
      <c r="X30">
        <v>3925.01686532135</v>
      </c>
      <c r="Y30">
        <v>4722.4761506672203</v>
      </c>
      <c r="AA30">
        <v>1740.9262753020801</v>
      </c>
      <c r="AB30" s="1">
        <f t="shared" si="0"/>
        <v>12427.238896752418</v>
      </c>
      <c r="AD30" s="17" t="s">
        <v>219</v>
      </c>
      <c r="AE30" s="24">
        <f t="shared" si="1"/>
        <v>16.406054654622999</v>
      </c>
      <c r="AF30" s="24">
        <f t="shared" si="2"/>
        <v>31.583981751143977</v>
      </c>
      <c r="AG30" s="24">
        <f t="shared" si="3"/>
        <v>38.001008831505878</v>
      </c>
      <c r="AH30" s="24">
        <f t="shared" si="4"/>
        <v>0</v>
      </c>
      <c r="AI30" s="24">
        <f t="shared" si="5"/>
        <v>14.008954762727159</v>
      </c>
      <c r="AJ30">
        <f t="shared" si="6"/>
        <v>100.00000000000001</v>
      </c>
      <c r="BJ30" t="s">
        <v>284</v>
      </c>
      <c r="BK30" s="1">
        <f>STDEV(BK5:BK28)/SQRT(24)</f>
        <v>1.3589230637646976</v>
      </c>
      <c r="BL30" s="1">
        <f>STDEV(BL5:BL28)/SQRT(24)</f>
        <v>5.4370564152971035</v>
      </c>
      <c r="BM30" s="1">
        <f>STDEV(BM5:BM28)/SQRT(24)</f>
        <v>4.4026565887250442</v>
      </c>
      <c r="BN30" s="1">
        <f>STDEV(BN5:BN28)/SQRT(24)</f>
        <v>0.23175008996284649</v>
      </c>
      <c r="BO30" s="1">
        <f>STDEV(BO5:BO28)/SQRT(24)</f>
        <v>1.6434040538423669</v>
      </c>
    </row>
    <row r="31" spans="1:68" ht="13.15" x14ac:dyDescent="0.4">
      <c r="A31" s="28">
        <v>4.3478260869565202E-2</v>
      </c>
      <c r="C31" s="28">
        <v>1.8348623853211E-2</v>
      </c>
      <c r="D31" s="28"/>
      <c r="E31" s="28">
        <v>5.2744886975242197E-2</v>
      </c>
      <c r="I31" s="29">
        <v>41863.028015677199</v>
      </c>
      <c r="J31" s="29"/>
      <c r="K31" s="29">
        <v>44523.9049640597</v>
      </c>
      <c r="L31" s="29"/>
      <c r="M31" s="29">
        <v>24111.815070274501</v>
      </c>
      <c r="V31" t="s">
        <v>223</v>
      </c>
      <c r="W31">
        <v>702.28964504496298</v>
      </c>
      <c r="X31">
        <v>3372.85148025017</v>
      </c>
      <c r="Y31">
        <v>3562.5201177129602</v>
      </c>
      <c r="Z31">
        <v>46.800070312728899</v>
      </c>
      <c r="AB31" s="1">
        <f t="shared" si="0"/>
        <v>7684.4613133208222</v>
      </c>
      <c r="AD31" t="s">
        <v>223</v>
      </c>
      <c r="AE31" s="24">
        <f t="shared" si="1"/>
        <v>9.1390875223428001</v>
      </c>
      <c r="AF31" s="24">
        <f t="shared" si="2"/>
        <v>43.891840204900454</v>
      </c>
      <c r="AG31" s="24">
        <f t="shared" si="3"/>
        <v>46.360050138289076</v>
      </c>
      <c r="AH31" s="24">
        <f t="shared" si="4"/>
        <v>0.60902213446767095</v>
      </c>
      <c r="AI31" s="24">
        <f t="shared" si="5"/>
        <v>0</v>
      </c>
      <c r="AJ31">
        <f t="shared" si="6"/>
        <v>100</v>
      </c>
    </row>
    <row r="32" spans="1:68" ht="13.15" x14ac:dyDescent="0.4">
      <c r="A32" s="28">
        <v>0.1015625</v>
      </c>
      <c r="C32" s="28">
        <v>5.8931860036832401E-2</v>
      </c>
      <c r="D32" s="28"/>
      <c r="E32" s="28">
        <v>8.2706766917293201E-2</v>
      </c>
      <c r="I32" s="29">
        <v>33772.7725858739</v>
      </c>
      <c r="J32" s="29"/>
      <c r="K32" s="29">
        <v>54116.214553404599</v>
      </c>
      <c r="L32" s="29"/>
      <c r="M32" s="29">
        <v>56607.852669507301</v>
      </c>
      <c r="V32" s="18" t="s">
        <v>227</v>
      </c>
      <c r="W32">
        <v>1212.05951766064</v>
      </c>
      <c r="X32">
        <v>5478.4856098897599</v>
      </c>
      <c r="Y32">
        <v>4561.1326668096999</v>
      </c>
      <c r="Z32">
        <v>178.116471459048</v>
      </c>
      <c r="AB32" s="1">
        <f t="shared" si="0"/>
        <v>11429.79426581915</v>
      </c>
      <c r="AD32" s="18" t="s">
        <v>227</v>
      </c>
      <c r="AE32" s="24">
        <f t="shared" si="1"/>
        <v>10.604386128675205</v>
      </c>
      <c r="AF32" s="24">
        <f t="shared" si="2"/>
        <v>47.931620486583874</v>
      </c>
      <c r="AG32" s="24">
        <f t="shared" si="3"/>
        <v>39.905641000466538</v>
      </c>
      <c r="AH32" s="24">
        <f t="shared" si="4"/>
        <v>1.5583523842743705</v>
      </c>
      <c r="AI32" s="24">
        <f t="shared" si="5"/>
        <v>0</v>
      </c>
      <c r="AJ32">
        <f t="shared" si="6"/>
        <v>100</v>
      </c>
    </row>
    <row r="33" spans="1:36" ht="13.15" x14ac:dyDescent="0.4">
      <c r="A33" s="28">
        <v>2.78917145200984E-2</v>
      </c>
      <c r="C33" s="28">
        <v>2.8089887640449398E-3</v>
      </c>
      <c r="D33" s="28"/>
      <c r="E33" s="28">
        <v>3.4440344403443998E-2</v>
      </c>
      <c r="I33" s="29">
        <v>53235.013826180701</v>
      </c>
      <c r="J33" s="29"/>
      <c r="K33" s="29">
        <v>66781.538146936393</v>
      </c>
      <c r="L33" s="29"/>
      <c r="M33" s="29">
        <v>96290.695016536905</v>
      </c>
      <c r="V33" s="18" t="s">
        <v>232</v>
      </c>
      <c r="W33">
        <v>272.50753273558502</v>
      </c>
      <c r="X33">
        <v>1507.5385106864101</v>
      </c>
      <c r="Y33">
        <v>1802.402465008</v>
      </c>
      <c r="AB33" s="1">
        <f t="shared" si="0"/>
        <v>3582.4485084299949</v>
      </c>
      <c r="AD33" s="18" t="s">
        <v>232</v>
      </c>
      <c r="AE33" s="24">
        <f t="shared" si="1"/>
        <v>7.606739694774042</v>
      </c>
      <c r="AF33" s="24">
        <f t="shared" si="2"/>
        <v>42.081233188389568</v>
      </c>
      <c r="AG33" s="24">
        <f t="shared" si="3"/>
        <v>50.312027116836397</v>
      </c>
      <c r="AH33" s="24">
        <f t="shared" si="4"/>
        <v>0</v>
      </c>
      <c r="AI33" s="24">
        <f t="shared" si="5"/>
        <v>0</v>
      </c>
      <c r="AJ33">
        <f t="shared" si="6"/>
        <v>100</v>
      </c>
    </row>
    <row r="34" spans="1:36" ht="13.15" x14ac:dyDescent="0.4">
      <c r="A34" s="28">
        <v>8.3133493205435699E-2</v>
      </c>
      <c r="C34" s="28">
        <v>1.4767932489451499E-2</v>
      </c>
      <c r="D34" s="28"/>
      <c r="E34" s="28">
        <v>7.9102715466351795E-2</v>
      </c>
      <c r="I34" s="29">
        <v>35710.059171597597</v>
      </c>
      <c r="J34" s="29"/>
      <c r="K34" s="29">
        <v>45102.122768544199</v>
      </c>
      <c r="L34" s="29"/>
      <c r="M34" s="29">
        <v>91244.516555495502</v>
      </c>
      <c r="V34" t="s">
        <v>236</v>
      </c>
      <c r="W34">
        <v>603.16292884685004</v>
      </c>
      <c r="X34">
        <v>3017.6849228545798</v>
      </c>
      <c r="Y34">
        <v>5135.0738922611899</v>
      </c>
      <c r="Z34">
        <v>140.12358993105701</v>
      </c>
      <c r="AA34">
        <v>427.054979336553</v>
      </c>
      <c r="AB34" s="1">
        <f t="shared" si="0"/>
        <v>9323.1003132302303</v>
      </c>
      <c r="AD34" t="s">
        <v>236</v>
      </c>
      <c r="AE34" s="24">
        <f t="shared" si="1"/>
        <v>6.4695531377144277</v>
      </c>
      <c r="AF34" s="24">
        <f t="shared" si="2"/>
        <v>32.367826382520434</v>
      </c>
      <c r="AG34" s="24">
        <f t="shared" si="3"/>
        <v>55.079037227284857</v>
      </c>
      <c r="AH34" s="24">
        <f t="shared" si="4"/>
        <v>1.5029720288669461</v>
      </c>
      <c r="AI34" s="24">
        <f t="shared" si="5"/>
        <v>4.5806112236133254</v>
      </c>
      <c r="AJ34">
        <f t="shared" si="6"/>
        <v>100</v>
      </c>
    </row>
    <row r="35" spans="1:36" ht="13.15" x14ac:dyDescent="0.4">
      <c r="A35" s="28">
        <v>3.5301668806161798E-2</v>
      </c>
      <c r="C35" s="28">
        <v>2.42214532871972E-2</v>
      </c>
      <c r="D35" s="28"/>
      <c r="E35" s="28">
        <v>4.6296296296296301E-2</v>
      </c>
      <c r="I35" s="29">
        <v>29665.593044978799</v>
      </c>
      <c r="J35" s="29"/>
      <c r="K35" s="29">
        <v>76439.226824457597</v>
      </c>
      <c r="L35" s="29"/>
      <c r="M35" s="29">
        <v>88154.635108481307</v>
      </c>
      <c r="V35" t="s">
        <v>240</v>
      </c>
      <c r="W35">
        <v>625.77209297250397</v>
      </c>
      <c r="X35">
        <v>2592.4490074415598</v>
      </c>
      <c r="Y35">
        <v>2018.88883349767</v>
      </c>
      <c r="Z35">
        <v>129.90146545503501</v>
      </c>
      <c r="AB35" s="1">
        <f t="shared" si="0"/>
        <v>5367.0113993667683</v>
      </c>
      <c r="AD35" t="s">
        <v>240</v>
      </c>
      <c r="AE35" s="24">
        <f t="shared" si="1"/>
        <v>11.659600593476217</v>
      </c>
      <c r="AF35" s="24">
        <f t="shared" si="2"/>
        <v>48.303400431521951</v>
      </c>
      <c r="AG35" s="24">
        <f t="shared" si="3"/>
        <v>37.616630248556405</v>
      </c>
      <c r="AH35" s="24">
        <f t="shared" si="4"/>
        <v>2.4203687264454397</v>
      </c>
      <c r="AI35" s="24">
        <f t="shared" si="5"/>
        <v>0</v>
      </c>
      <c r="AJ35">
        <f t="shared" si="6"/>
        <v>100.00000000000001</v>
      </c>
    </row>
    <row r="36" spans="1:36" ht="13.15" x14ac:dyDescent="0.4">
      <c r="A36" s="28">
        <v>4.0935672514619902E-2</v>
      </c>
      <c r="C36" s="28">
        <v>5.5232558139534899E-2</v>
      </c>
      <c r="D36" s="28"/>
      <c r="E36" s="28">
        <v>0.10664993726474301</v>
      </c>
      <c r="I36" s="29">
        <v>28884.326574232899</v>
      </c>
      <c r="J36" s="29"/>
      <c r="K36" s="29">
        <v>56505.6550867552</v>
      </c>
      <c r="L36" s="29"/>
      <c r="M36" s="29">
        <v>82275.140004869696</v>
      </c>
      <c r="V36" t="s">
        <v>246</v>
      </c>
      <c r="W36">
        <v>549.46606894908098</v>
      </c>
      <c r="X36">
        <v>2902.6766825914101</v>
      </c>
      <c r="Y36">
        <v>5298.1517802858398</v>
      </c>
      <c r="AA36">
        <v>763.69048142413897</v>
      </c>
      <c r="AB36" s="1">
        <f t="shared" si="0"/>
        <v>9513.9850132504689</v>
      </c>
      <c r="AD36" t="s">
        <v>246</v>
      </c>
      <c r="AE36" s="24">
        <f t="shared" si="1"/>
        <v>5.7753514240753985</v>
      </c>
      <c r="AF36" s="24">
        <f t="shared" si="2"/>
        <v>30.509578042731288</v>
      </c>
      <c r="AG36" s="24">
        <f t="shared" si="3"/>
        <v>55.688040005391152</v>
      </c>
      <c r="AH36" s="24">
        <f t="shared" si="4"/>
        <v>0</v>
      </c>
      <c r="AI36" s="24">
        <f t="shared" si="5"/>
        <v>8.0270305278021752</v>
      </c>
      <c r="AJ36">
        <f t="shared" si="6"/>
        <v>100</v>
      </c>
    </row>
    <row r="37" spans="1:36" ht="13.15" x14ac:dyDescent="0.4">
      <c r="A37" s="28">
        <v>3.70634354953671E-2</v>
      </c>
      <c r="C37" s="28">
        <v>6.3897763578274801E-3</v>
      </c>
      <c r="D37" s="28"/>
      <c r="E37" s="28">
        <v>7.6142131979695396E-2</v>
      </c>
      <c r="I37" s="29">
        <v>48211.248511913203</v>
      </c>
      <c r="J37" s="29"/>
      <c r="K37" s="29"/>
      <c r="L37" s="29"/>
      <c r="M37" s="29">
        <v>94107.6737465638</v>
      </c>
      <c r="V37" t="s">
        <v>293</v>
      </c>
      <c r="W37">
        <v>1008.92357736244</v>
      </c>
      <c r="X37">
        <v>3311.4701835628898</v>
      </c>
      <c r="Y37">
        <v>3392.3693487861601</v>
      </c>
      <c r="AA37">
        <v>2588.80759114595</v>
      </c>
      <c r="AB37" s="1">
        <f t="shared" si="0"/>
        <v>10301.570700857439</v>
      </c>
      <c r="AD37" t="s">
        <v>293</v>
      </c>
      <c r="AE37" s="24">
        <f t="shared" si="1"/>
        <v>9.7938810173720725</v>
      </c>
      <c r="AF37" s="24">
        <f t="shared" si="2"/>
        <v>32.145293952962561</v>
      </c>
      <c r="AG37" s="24">
        <f t="shared" si="3"/>
        <v>32.930602985657323</v>
      </c>
      <c r="AH37" s="24">
        <f t="shared" si="4"/>
        <v>0</v>
      </c>
      <c r="AI37" s="24">
        <f t="shared" si="5"/>
        <v>25.130222044008043</v>
      </c>
      <c r="AJ37">
        <f t="shared" si="6"/>
        <v>100</v>
      </c>
    </row>
    <row r="38" spans="1:36" ht="13.15" x14ac:dyDescent="0.4">
      <c r="A38" s="28">
        <v>1.01925254813137E-2</v>
      </c>
      <c r="C38" s="28">
        <v>2.95566502463054E-2</v>
      </c>
      <c r="D38" s="28"/>
      <c r="E38" s="28">
        <v>9.9616858237547901E-2</v>
      </c>
      <c r="I38" s="29">
        <v>36192.202367503698</v>
      </c>
      <c r="J38" s="29"/>
      <c r="K38" s="29"/>
      <c r="L38" s="29"/>
      <c r="M38" s="29">
        <v>81061.604538557993</v>
      </c>
      <c r="AB38" s="1">
        <f>AVERAGE(AB3:AB37)</f>
        <v>8387.5251033736695</v>
      </c>
      <c r="AD38" t="s">
        <v>256</v>
      </c>
      <c r="AE38" s="1">
        <f>AVERAGE(AE4:AE37)</f>
        <v>10.432511926752129</v>
      </c>
      <c r="AF38" s="1">
        <f>AVERAGE(AF4:AF37)</f>
        <v>37.222523807979165</v>
      </c>
      <c r="AG38" s="1">
        <f>AVERAGE(AG4:AG37)</f>
        <v>47.860068124549308</v>
      </c>
      <c r="AH38" s="1">
        <f>AVERAGE(AH4:AH37)</f>
        <v>2.3596745005495907</v>
      </c>
      <c r="AI38" s="1">
        <f>AVERAGE(AI4:AI37)</f>
        <v>2.1252216401698174</v>
      </c>
      <c r="AJ38">
        <f t="shared" si="6"/>
        <v>100</v>
      </c>
    </row>
    <row r="39" spans="1:36" ht="13.15" x14ac:dyDescent="0.4">
      <c r="A39" s="28">
        <v>5.8536585365853697E-2</v>
      </c>
      <c r="C39" s="28">
        <v>5.12091038406828E-2</v>
      </c>
      <c r="D39" s="28"/>
      <c r="E39" s="28">
        <v>0.14602215508559899</v>
      </c>
      <c r="I39" s="29">
        <v>87865.414306686507</v>
      </c>
      <c r="J39" s="29"/>
      <c r="K39" s="29"/>
      <c r="L39" s="29"/>
      <c r="M39" s="29">
        <v>80814.714488063604</v>
      </c>
      <c r="AD39" t="s">
        <v>281</v>
      </c>
      <c r="AE39" s="1">
        <f>STDEV(AE4:AE37)</f>
        <v>4.9806169317812881</v>
      </c>
      <c r="AF39" s="1">
        <f>STDEV(AF4:AF37)</f>
        <v>19.695801963958608</v>
      </c>
      <c r="AG39" s="1">
        <f>STDEV(AG4:AG37)</f>
        <v>18.692729698175718</v>
      </c>
      <c r="AH39" s="1">
        <f>STDEV(AH4:AH37)</f>
        <v>2.9967526538617566</v>
      </c>
      <c r="AI39" s="1">
        <f>STDEV(AI4:AI37)</f>
        <v>4.9726386238324611</v>
      </c>
    </row>
    <row r="40" spans="1:36" ht="13.15" x14ac:dyDescent="0.4">
      <c r="A40" s="28">
        <v>2.4316109422492401E-2</v>
      </c>
      <c r="C40" s="28">
        <v>6.5916398713826402E-2</v>
      </c>
      <c r="D40" s="28"/>
      <c r="E40" s="28">
        <v>6.2863795110593701E-2</v>
      </c>
      <c r="I40" s="29">
        <v>44889.586091003999</v>
      </c>
      <c r="J40" s="29"/>
      <c r="K40" s="29"/>
      <c r="L40" s="29"/>
      <c r="M40" s="29">
        <v>42740.496389375003</v>
      </c>
      <c r="AD40" t="s">
        <v>284</v>
      </c>
      <c r="AE40" s="1">
        <f>STDEV(AE5:AE38)/SQRT(34)</f>
        <v>0.83976823506964315</v>
      </c>
      <c r="AF40" s="1">
        <f>STDEV(AF5:AF38)/SQRT(34)</f>
        <v>3.3743408150568008</v>
      </c>
      <c r="AG40" s="1">
        <f>STDEV(AG5:AG38)/SQRT(34)</f>
        <v>3.2031049914097642</v>
      </c>
      <c r="AH40" s="1">
        <f>STDEV(AH5:AH38)/SQRT(34)</f>
        <v>0.50917858717153142</v>
      </c>
      <c r="AI40" s="1">
        <f>STDEV(AI5:AI38)/SQRT(34)</f>
        <v>0.85036745958923243</v>
      </c>
    </row>
    <row r="41" spans="1:36" x14ac:dyDescent="0.35">
      <c r="A41" s="28">
        <v>4.6766169154228897E-2</v>
      </c>
      <c r="C41" s="28">
        <v>5.7203389830508503E-2</v>
      </c>
      <c r="D41" s="28"/>
      <c r="E41" s="28">
        <v>8.2191780821917804E-2</v>
      </c>
      <c r="I41" s="29">
        <v>59412.687473387698</v>
      </c>
      <c r="J41" s="29"/>
      <c r="K41" s="29"/>
      <c r="L41" s="29"/>
      <c r="M41" s="29">
        <v>67200.051909468995</v>
      </c>
    </row>
    <row r="42" spans="1:36" x14ac:dyDescent="0.35">
      <c r="A42" s="28">
        <v>8.4880636604774504E-2</v>
      </c>
      <c r="C42" s="28">
        <v>5.7142857142857099E-2</v>
      </c>
      <c r="D42" s="28"/>
      <c r="E42" s="28">
        <v>2.7450980392156901E-2</v>
      </c>
      <c r="I42" s="29">
        <v>48931.058749302298</v>
      </c>
      <c r="J42" s="29"/>
      <c r="K42" s="29"/>
      <c r="L42" s="29"/>
      <c r="M42" s="29">
        <v>62134.438843840602</v>
      </c>
    </row>
    <row r="43" spans="1:36" x14ac:dyDescent="0.35">
      <c r="A43" s="28">
        <v>4.8349961627014597E-2</v>
      </c>
      <c r="C43" s="28">
        <v>3.2051282051282097E-2</v>
      </c>
      <c r="D43" s="28"/>
      <c r="E43" s="28">
        <v>6.9811320754716993E-2</v>
      </c>
      <c r="I43" s="29">
        <v>25583.3306718684</v>
      </c>
      <c r="J43" s="29"/>
      <c r="K43" s="29"/>
      <c r="L43" s="29"/>
      <c r="M43" s="29"/>
    </row>
    <row r="44" spans="1:36" x14ac:dyDescent="0.35">
      <c r="A44" s="28">
        <v>1.6799292661361601E-2</v>
      </c>
      <c r="C44" s="28">
        <v>2.0066889632107E-2</v>
      </c>
      <c r="D44" s="28"/>
      <c r="E44" s="28">
        <v>4.0918163672654703E-2</v>
      </c>
      <c r="I44" s="29">
        <v>40532.656496702199</v>
      </c>
      <c r="J44" s="29"/>
      <c r="K44" s="29"/>
      <c r="L44" s="29"/>
      <c r="M44" s="29"/>
    </row>
    <row r="45" spans="1:36" x14ac:dyDescent="0.35">
      <c r="A45" s="28">
        <v>5.4294175715696003E-2</v>
      </c>
      <c r="C45" s="28">
        <v>4.08805031446541E-2</v>
      </c>
      <c r="D45" s="28"/>
      <c r="E45" s="28">
        <v>4.7256097560975603E-2</v>
      </c>
      <c r="I45" s="29">
        <v>52843.074686138702</v>
      </c>
      <c r="J45" s="29"/>
      <c r="K45" s="29"/>
      <c r="L45" s="29"/>
      <c r="M45" s="29"/>
    </row>
    <row r="46" spans="1:36" x14ac:dyDescent="0.35">
      <c r="A46" s="28">
        <v>2.3346303501945501E-2</v>
      </c>
      <c r="C46" s="28">
        <v>2.87878787878788E-2</v>
      </c>
      <c r="D46" s="28"/>
      <c r="E46" s="28">
        <v>4.7159699892818902E-2</v>
      </c>
      <c r="I46" s="29">
        <v>40906.098097706497</v>
      </c>
      <c r="J46" s="29"/>
      <c r="K46" s="29"/>
      <c r="L46" s="29"/>
      <c r="M46" s="29"/>
    </row>
    <row r="47" spans="1:36" x14ac:dyDescent="0.35">
      <c r="A47" s="28">
        <v>6.5100671140939606E-2</v>
      </c>
      <c r="C47" s="28">
        <v>6.6445182724252502E-3</v>
      </c>
      <c r="D47" s="28"/>
      <c r="E47" s="28">
        <v>2.8938906752411599E-2</v>
      </c>
      <c r="I47" s="29">
        <v>108038.959087494</v>
      </c>
      <c r="J47" s="29"/>
      <c r="K47" s="29"/>
      <c r="L47" s="29"/>
      <c r="M47" s="29"/>
    </row>
    <row r="48" spans="1:36" x14ac:dyDescent="0.35">
      <c r="A48" s="28">
        <v>0.118959107806691</v>
      </c>
      <c r="C48" s="28">
        <v>7.7405857740585796E-2</v>
      </c>
      <c r="D48" s="28"/>
      <c r="E48" s="28">
        <v>3.28879753340185E-2</v>
      </c>
      <c r="I48" s="29">
        <v>33798.510089817297</v>
      </c>
      <c r="J48" s="29"/>
      <c r="K48" s="29"/>
      <c r="L48" s="29"/>
      <c r="M48" s="29"/>
    </row>
    <row r="49" spans="1:13" x14ac:dyDescent="0.35">
      <c r="A49" s="28">
        <v>6.1569016881827199E-2</v>
      </c>
      <c r="C49" s="28">
        <v>3.3175355450236997E-2</v>
      </c>
      <c r="D49" s="28"/>
      <c r="E49" s="28">
        <v>2.7122641509434001E-2</v>
      </c>
      <c r="I49" s="29">
        <v>32110.922512672001</v>
      </c>
      <c r="J49" s="29"/>
      <c r="K49" s="29"/>
      <c r="L49" s="29"/>
      <c r="M49" s="29"/>
    </row>
    <row r="50" spans="1:13" x14ac:dyDescent="0.35">
      <c r="A50" s="28">
        <v>4.9473684210526302E-2</v>
      </c>
      <c r="C50" s="28">
        <v>7.1770334928229701E-3</v>
      </c>
      <c r="D50" s="28"/>
      <c r="E50" s="28">
        <v>7.7634011090572996E-2</v>
      </c>
      <c r="I50" s="29">
        <v>61372.9959903454</v>
      </c>
      <c r="J50" s="29"/>
      <c r="K50" s="29"/>
      <c r="L50" s="29"/>
      <c r="M50" s="29"/>
    </row>
    <row r="51" spans="1:13" x14ac:dyDescent="0.35">
      <c r="A51" s="28">
        <v>7.7355836849507696E-3</v>
      </c>
      <c r="C51" s="28">
        <v>1.7208413001912001E-2</v>
      </c>
      <c r="D51" s="28"/>
      <c r="E51" s="28">
        <v>3.7578288100208801E-2</v>
      </c>
      <c r="I51" s="29">
        <v>57305.169510877902</v>
      </c>
      <c r="J51" s="29"/>
      <c r="K51" s="29"/>
      <c r="L51" s="29"/>
      <c r="M51" s="29"/>
    </row>
    <row r="52" spans="1:13" x14ac:dyDescent="0.35">
      <c r="A52" s="28">
        <v>0.13098729227761499</v>
      </c>
      <c r="C52" s="28">
        <v>3.35570469798658E-2</v>
      </c>
      <c r="D52" s="28"/>
      <c r="E52" s="28">
        <v>3.9855072463768099E-2</v>
      </c>
      <c r="I52" s="29">
        <v>34828.545347578001</v>
      </c>
      <c r="J52" s="29"/>
      <c r="K52" s="29"/>
      <c r="L52" s="29"/>
      <c r="M52" s="29"/>
    </row>
    <row r="53" spans="1:13" x14ac:dyDescent="0.35">
      <c r="A53" s="28">
        <v>1.55502392344498E-2</v>
      </c>
      <c r="C53" s="28">
        <v>0.170940170940171</v>
      </c>
      <c r="D53" s="28"/>
      <c r="E53" s="28">
        <v>5.6250000000000001E-2</v>
      </c>
      <c r="I53" s="29"/>
      <c r="J53" s="29"/>
      <c r="K53" s="29"/>
      <c r="L53" s="29"/>
      <c r="M53" s="29"/>
    </row>
    <row r="54" spans="1:13" x14ac:dyDescent="0.35">
      <c r="A54" s="28">
        <v>4.28779069767442E-2</v>
      </c>
      <c r="C54" s="28">
        <v>7.1742313323572504E-2</v>
      </c>
      <c r="D54" s="28"/>
      <c r="E54" s="28">
        <v>5.2434456928839003E-2</v>
      </c>
      <c r="I54" s="29"/>
      <c r="J54" s="29"/>
      <c r="K54" s="29"/>
      <c r="L54" s="29"/>
      <c r="M54" s="29"/>
    </row>
    <row r="55" spans="1:13" x14ac:dyDescent="0.35">
      <c r="A55" s="28">
        <v>5.5740432612312797E-2</v>
      </c>
      <c r="C55" s="28">
        <v>8.7893864013267001E-2</v>
      </c>
      <c r="D55" s="28"/>
      <c r="E55" s="28">
        <v>3.4548944337811902E-2</v>
      </c>
      <c r="I55" s="29"/>
      <c r="J55" s="29"/>
      <c r="K55" s="29"/>
      <c r="L55" s="29"/>
      <c r="M55" s="29"/>
    </row>
    <row r="56" spans="1:13" x14ac:dyDescent="0.35">
      <c r="A56" s="28">
        <v>5.3726169844020802E-2</v>
      </c>
      <c r="C56" s="28">
        <v>4.0169133192389003E-2</v>
      </c>
      <c r="D56" s="28"/>
      <c r="E56" s="28">
        <v>3.5532994923857898E-2</v>
      </c>
    </row>
    <row r="57" spans="1:13" x14ac:dyDescent="0.35">
      <c r="A57" s="28">
        <v>7.5675675675675694E-2</v>
      </c>
      <c r="C57" s="28">
        <v>0.11005692599620499</v>
      </c>
      <c r="D57" s="28"/>
      <c r="E57" s="28">
        <v>4.8780487804878099E-2</v>
      </c>
    </row>
    <row r="58" spans="1:13" x14ac:dyDescent="0.35">
      <c r="A58" s="28">
        <v>9.1791044776119393E-2</v>
      </c>
      <c r="C58" s="28">
        <v>4.6511627906976702E-2</v>
      </c>
      <c r="D58" s="28"/>
      <c r="E58" s="28">
        <v>5.0724637681159403E-2</v>
      </c>
    </row>
    <row r="59" spans="1:13" x14ac:dyDescent="0.35">
      <c r="A59" s="28">
        <v>6.6386554621848698E-2</v>
      </c>
      <c r="C59" s="28">
        <v>3.4168564920273398E-2</v>
      </c>
      <c r="D59" s="28"/>
      <c r="E59" s="28">
        <v>3.6053130929791302E-2</v>
      </c>
    </row>
    <row r="60" spans="1:13" x14ac:dyDescent="0.35">
      <c r="A60" s="28">
        <v>3.2738095238095198E-2</v>
      </c>
      <c r="C60" s="28">
        <v>3.6392405063291097E-2</v>
      </c>
      <c r="D60" s="28"/>
      <c r="E60" s="28">
        <v>3.5185185185185201E-2</v>
      </c>
    </row>
    <row r="61" spans="1:13" x14ac:dyDescent="0.35">
      <c r="A61" s="28">
        <v>5.0561797752809001E-2</v>
      </c>
      <c r="C61" s="28">
        <v>5.4945054945055E-2</v>
      </c>
      <c r="D61" s="28"/>
      <c r="E61" s="28">
        <v>5.4224464060529602E-2</v>
      </c>
    </row>
    <row r="62" spans="1:13" x14ac:dyDescent="0.35">
      <c r="A62" s="28">
        <v>0.10202286719437099</v>
      </c>
      <c r="C62" s="28">
        <v>3.4542314335060498E-2</v>
      </c>
      <c r="D62" s="28"/>
      <c r="E62" s="28">
        <v>4.0885860306643998E-2</v>
      </c>
    </row>
    <row r="63" spans="1:13" x14ac:dyDescent="0.35">
      <c r="A63" s="28">
        <v>3.1971580817051502E-2</v>
      </c>
      <c r="C63" s="28">
        <v>8.0851063829787198E-2</v>
      </c>
      <c r="D63" s="28"/>
      <c r="E63" s="28">
        <v>2.2151898734177201E-2</v>
      </c>
    </row>
    <row r="64" spans="1:13" x14ac:dyDescent="0.35">
      <c r="A64" s="28">
        <v>2.2051773729626099E-2</v>
      </c>
      <c r="C64" s="28">
        <v>3.3546325878594303E-2</v>
      </c>
      <c r="D64" s="28"/>
      <c r="E64" s="28">
        <v>7.4162679425837305E-2</v>
      </c>
    </row>
    <row r="65" spans="1:5" x14ac:dyDescent="0.35">
      <c r="A65" s="28">
        <v>4.8415492957746498E-2</v>
      </c>
      <c r="C65" s="28">
        <v>1.9704433497536901E-2</v>
      </c>
      <c r="D65" s="28"/>
      <c r="E65" s="28">
        <v>2.0971302428256101E-2</v>
      </c>
    </row>
    <row r="66" spans="1:5" x14ac:dyDescent="0.35">
      <c r="A66" s="28">
        <v>8.8383838383838398E-2</v>
      </c>
      <c r="C66" s="28">
        <v>6.0606060606060601E-2</v>
      </c>
      <c r="D66" s="28"/>
      <c r="E66" s="28">
        <v>3.6429872495446297E-2</v>
      </c>
    </row>
    <row r="67" spans="1:5" x14ac:dyDescent="0.35">
      <c r="A67" s="28">
        <v>2.5115664243225401E-2</v>
      </c>
      <c r="C67" s="28">
        <v>4.9132947976878602E-2</v>
      </c>
      <c r="D67" s="28"/>
      <c r="E67" s="28">
        <v>3.8694074969770301E-2</v>
      </c>
    </row>
    <row r="68" spans="1:5" x14ac:dyDescent="0.35">
      <c r="A68" s="28">
        <v>3.8183694530443797E-2</v>
      </c>
      <c r="C68" s="28">
        <v>5.3929121725731902E-2</v>
      </c>
      <c r="D68" s="28"/>
      <c r="E68" s="28">
        <v>4.60921843687375E-2</v>
      </c>
    </row>
    <row r="69" spans="1:5" x14ac:dyDescent="0.35">
      <c r="A69" s="28">
        <v>6.1737804878048801E-2</v>
      </c>
      <c r="C69" s="28">
        <v>5.3726169844020802E-2</v>
      </c>
      <c r="D69" s="28"/>
      <c r="E69" s="28">
        <v>3.7426900584795302E-2</v>
      </c>
    </row>
    <row r="70" spans="1:5" x14ac:dyDescent="0.35">
      <c r="A70" s="28">
        <v>1.9656019656019701E-2</v>
      </c>
      <c r="C70" s="28">
        <v>9.0909090909090905E-3</v>
      </c>
      <c r="D70" s="28"/>
      <c r="E70" s="28">
        <v>1.75675675675676E-2</v>
      </c>
    </row>
    <row r="71" spans="1:5" x14ac:dyDescent="0.35">
      <c r="A71" s="28">
        <v>5.6818181818181802E-2</v>
      </c>
      <c r="C71" s="28">
        <v>6.7594433399602402E-2</v>
      </c>
      <c r="D71" s="28"/>
      <c r="E71" s="28">
        <v>8.3916083916083906E-2</v>
      </c>
    </row>
    <row r="72" spans="1:5" x14ac:dyDescent="0.35">
      <c r="A72" s="28">
        <v>8.5812356979404994E-2</v>
      </c>
      <c r="C72" s="28">
        <v>1.13636363636364E-2</v>
      </c>
      <c r="D72" s="28"/>
      <c r="E72" s="28">
        <v>7.6704545454545497E-2</v>
      </c>
    </row>
    <row r="73" spans="1:5" x14ac:dyDescent="0.35">
      <c r="A73" s="28">
        <v>5.20722635494155E-2</v>
      </c>
      <c r="C73" s="28">
        <v>4.6728971962616802E-3</v>
      </c>
      <c r="D73" s="28"/>
      <c r="E73" s="28">
        <v>3.9354187689202798E-2</v>
      </c>
    </row>
    <row r="74" spans="1:5" x14ac:dyDescent="0.35">
      <c r="A74" s="28">
        <v>6.2131762185323999E-2</v>
      </c>
      <c r="C74" s="28">
        <v>8.3056478405315604E-3</v>
      </c>
      <c r="D74" s="28"/>
      <c r="E74" s="28">
        <v>5.0847457627118599E-2</v>
      </c>
    </row>
    <row r="75" spans="1:5" x14ac:dyDescent="0.35">
      <c r="A75" s="28">
        <v>7.1487263763352502E-2</v>
      </c>
      <c r="C75" s="28">
        <v>5.0505050505050497E-2</v>
      </c>
      <c r="D75" s="28"/>
      <c r="E75" s="28">
        <v>6.7307692307692304E-2</v>
      </c>
    </row>
    <row r="76" spans="1:5" x14ac:dyDescent="0.35">
      <c r="A76" s="28">
        <v>2.9328287606433301E-2</v>
      </c>
      <c r="C76" s="28">
        <v>1.2867647058823499E-2</v>
      </c>
      <c r="D76" s="28"/>
      <c r="E76" s="28">
        <v>4.2079207920792103E-2</v>
      </c>
    </row>
    <row r="77" spans="1:5" x14ac:dyDescent="0.35">
      <c r="A77" s="28">
        <v>3.4979423868312799E-2</v>
      </c>
      <c r="C77" s="28">
        <v>0.103117505995204</v>
      </c>
      <c r="D77" s="28"/>
      <c r="E77" s="28">
        <v>5.5555555555555601E-2</v>
      </c>
    </row>
    <row r="78" spans="1:5" x14ac:dyDescent="0.35">
      <c r="A78" s="28">
        <v>1.2534818941504201E-2</v>
      </c>
      <c r="C78" s="28">
        <v>3.3500837520937998E-3</v>
      </c>
      <c r="D78" s="28"/>
      <c r="E78" s="28">
        <v>4.5356371490280802E-2</v>
      </c>
    </row>
    <row r="79" spans="1:5" x14ac:dyDescent="0.35">
      <c r="A79" s="28">
        <v>4.0245566166439303E-2</v>
      </c>
      <c r="C79" s="28">
        <v>1.9498607242339799E-2</v>
      </c>
      <c r="D79" s="28"/>
      <c r="E79" s="28">
        <v>3.5874439461883401E-2</v>
      </c>
    </row>
    <row r="80" spans="1:5" x14ac:dyDescent="0.35">
      <c r="A80" s="28">
        <v>5.3284671532846703E-2</v>
      </c>
      <c r="C80" s="28">
        <v>1.27388535031847E-2</v>
      </c>
      <c r="D80" s="28"/>
      <c r="E80" s="28">
        <v>4.6454767726161403E-2</v>
      </c>
    </row>
    <row r="81" spans="1:5" x14ac:dyDescent="0.35">
      <c r="A81" s="28">
        <v>5.4450261780104703E-2</v>
      </c>
      <c r="C81" s="28">
        <v>9.4575799721835899E-2</v>
      </c>
      <c r="D81" s="28"/>
      <c r="E81" s="28">
        <v>2.0833333333333301E-2</v>
      </c>
    </row>
    <row r="82" spans="1:5" x14ac:dyDescent="0.35">
      <c r="A82" s="28">
        <v>6.8571428571428603E-2</v>
      </c>
      <c r="C82" s="28">
        <v>8.0547112462006104E-2</v>
      </c>
      <c r="D82" s="28"/>
      <c r="E82" s="28">
        <v>2.1337126600284501E-2</v>
      </c>
    </row>
    <row r="83" spans="1:5" x14ac:dyDescent="0.35">
      <c r="A83" s="28">
        <v>2.46636771300448E-2</v>
      </c>
      <c r="C83" s="28">
        <v>3.40264650283554E-2</v>
      </c>
      <c r="D83" s="28"/>
      <c r="E83" s="28">
        <v>6.7099567099567103E-2</v>
      </c>
    </row>
    <row r="84" spans="1:5" x14ac:dyDescent="0.35">
      <c r="A84" s="28">
        <v>0.02</v>
      </c>
      <c r="C84" s="28">
        <v>6.3122923588039906E-2</v>
      </c>
      <c r="D84" s="28"/>
      <c r="E84" s="28">
        <v>7.63358778625954E-3</v>
      </c>
    </row>
    <row r="85" spans="1:5" x14ac:dyDescent="0.35">
      <c r="A85" s="28">
        <v>5.4698457223001401E-2</v>
      </c>
      <c r="C85" s="28">
        <v>2.7777777777777801E-2</v>
      </c>
      <c r="D85" s="28"/>
      <c r="E85" s="28">
        <v>5.3318824809575602E-2</v>
      </c>
    </row>
    <row r="86" spans="1:5" x14ac:dyDescent="0.35">
      <c r="A86" s="28">
        <v>8.2524271844660199E-2</v>
      </c>
      <c r="C86" s="28">
        <v>6.0572687224669602E-2</v>
      </c>
      <c r="D86" s="28"/>
      <c r="E86" s="28">
        <v>3.37837837837838E-2</v>
      </c>
    </row>
    <row r="87" spans="1:5" x14ac:dyDescent="0.35">
      <c r="A87" s="28">
        <v>0.13215859030836999</v>
      </c>
      <c r="C87" s="28">
        <v>4.1055718475073298E-2</v>
      </c>
      <c r="D87" s="28"/>
      <c r="E87" s="28">
        <v>8.8057901085645401E-2</v>
      </c>
    </row>
    <row r="88" spans="1:5" x14ac:dyDescent="0.35">
      <c r="A88" s="28">
        <v>8.5051546391752594E-2</v>
      </c>
      <c r="C88" s="28">
        <v>0.109923664122137</v>
      </c>
      <c r="D88" s="28"/>
      <c r="E88" s="28">
        <v>5.2141527001862198E-2</v>
      </c>
    </row>
    <row r="89" spans="1:5" x14ac:dyDescent="0.35">
      <c r="A89" s="28">
        <v>0.120702267739576</v>
      </c>
      <c r="C89" s="28">
        <v>3.1545741324921099E-2</v>
      </c>
      <c r="D89" s="28"/>
      <c r="E89" s="28">
        <v>2.9900332225913599E-2</v>
      </c>
    </row>
    <row r="90" spans="1:5" x14ac:dyDescent="0.35">
      <c r="A90" s="28">
        <v>0.10853355426677699</v>
      </c>
      <c r="C90" s="28">
        <v>6.8311195445920306E-2</v>
      </c>
      <c r="D90" s="28"/>
      <c r="E90" s="28">
        <v>4.7368421052631601E-2</v>
      </c>
    </row>
    <row r="91" spans="1:5" x14ac:dyDescent="0.35">
      <c r="A91" s="28">
        <v>1.32802124833997E-2</v>
      </c>
      <c r="C91" s="28">
        <v>4.4642857142857102E-2</v>
      </c>
      <c r="D91" s="28"/>
      <c r="E91" s="28">
        <v>6.2761506276150597E-2</v>
      </c>
    </row>
    <row r="92" spans="1:5" x14ac:dyDescent="0.35">
      <c r="A92" s="28">
        <v>8.4185680566483095E-2</v>
      </c>
      <c r="C92" s="28">
        <v>1.29589632829374E-2</v>
      </c>
      <c r="D92" s="28"/>
      <c r="E92" s="28">
        <v>8.7628865979381507E-2</v>
      </c>
    </row>
    <row r="93" spans="1:5" x14ac:dyDescent="0.35">
      <c r="A93" s="28">
        <v>0.133790737564322</v>
      </c>
      <c r="C93" s="28">
        <v>4.8824593128390603E-2</v>
      </c>
      <c r="D93" s="28"/>
      <c r="E93" s="28">
        <v>5.2993130520117802E-2</v>
      </c>
    </row>
    <row r="94" spans="1:5" x14ac:dyDescent="0.35">
      <c r="A94" s="28">
        <v>4.5879354290569198E-2</v>
      </c>
      <c r="C94" s="28">
        <v>9.7872340425531903E-2</v>
      </c>
      <c r="D94" s="28"/>
      <c r="E94" s="28">
        <v>8.0935251798561203E-2</v>
      </c>
    </row>
    <row r="95" spans="1:5" x14ac:dyDescent="0.35">
      <c r="A95" s="28">
        <v>6.8738229755178903E-2</v>
      </c>
      <c r="C95" s="28">
        <v>3.82775119617225E-2</v>
      </c>
      <c r="D95" s="28"/>
      <c r="E95" s="28">
        <v>0.13785046728972</v>
      </c>
    </row>
    <row r="96" spans="1:5" x14ac:dyDescent="0.35">
      <c r="A96" s="28">
        <v>3.7037037037037E-2</v>
      </c>
      <c r="C96" s="28">
        <v>8.0989876265466804E-2</v>
      </c>
      <c r="D96" s="28"/>
      <c r="E96" s="28">
        <v>3.11111111111111E-2</v>
      </c>
    </row>
    <row r="97" spans="1:5" x14ac:dyDescent="0.35">
      <c r="A97" s="28">
        <v>9.7502014504431897E-2</v>
      </c>
      <c r="C97" s="28">
        <v>4.0662650602409603E-2</v>
      </c>
      <c r="D97" s="28"/>
      <c r="E97" s="28">
        <v>0.116424116424116</v>
      </c>
    </row>
    <row r="98" spans="1:5" x14ac:dyDescent="0.35">
      <c r="A98" s="28">
        <v>4.1131105398457601E-2</v>
      </c>
      <c r="C98" s="28">
        <v>3.3816425120772903E-2</v>
      </c>
      <c r="D98" s="28"/>
      <c r="E98" s="28">
        <v>2.9296875E-2</v>
      </c>
    </row>
    <row r="99" spans="1:5" x14ac:dyDescent="0.35">
      <c r="A99" s="28">
        <v>8.8056680161943304E-2</v>
      </c>
      <c r="C99" s="28">
        <v>2.07920792079208E-2</v>
      </c>
      <c r="D99" s="28"/>
      <c r="E99" s="28">
        <v>8.3690987124463503E-2</v>
      </c>
    </row>
    <row r="100" spans="1:5" x14ac:dyDescent="0.35">
      <c r="A100" s="28">
        <v>8.0561714708056203E-2</v>
      </c>
      <c r="C100" s="28">
        <v>0.12809472551130199</v>
      </c>
      <c r="D100" s="28"/>
      <c r="E100" s="28">
        <v>8.7759815242494196E-2</v>
      </c>
    </row>
    <row r="101" spans="1:5" x14ac:dyDescent="0.35">
      <c r="A101" s="28">
        <v>2.5085518814139101E-2</v>
      </c>
      <c r="C101" s="28">
        <v>2.30849947534103E-2</v>
      </c>
      <c r="D101" s="28"/>
      <c r="E101" s="28">
        <v>8.0357142857142905E-2</v>
      </c>
    </row>
    <row r="102" spans="1:5" x14ac:dyDescent="0.35">
      <c r="A102" s="28">
        <v>5.8139534883720902E-2</v>
      </c>
      <c r="C102" s="28">
        <v>9.9502487562189101E-2</v>
      </c>
      <c r="D102" s="28"/>
      <c r="E102" s="28">
        <v>6.13668061366806E-2</v>
      </c>
    </row>
    <row r="103" spans="1:5" x14ac:dyDescent="0.35">
      <c r="A103" s="28">
        <v>8.4132055378061801E-2</v>
      </c>
      <c r="C103" s="28">
        <v>4.1751527494908403E-2</v>
      </c>
      <c r="D103" s="28"/>
      <c r="E103" s="28">
        <v>6.5606361829025905E-2</v>
      </c>
    </row>
    <row r="104" spans="1:5" x14ac:dyDescent="0.35">
      <c r="A104" s="28">
        <v>9.4008264462809896E-2</v>
      </c>
      <c r="C104" s="28">
        <v>7.6530612244898001E-3</v>
      </c>
      <c r="D104" s="28"/>
      <c r="E104" s="28">
        <v>5.5452865064695003E-2</v>
      </c>
    </row>
    <row r="105" spans="1:5" x14ac:dyDescent="0.35">
      <c r="A105" s="28">
        <v>0.106199460916442</v>
      </c>
      <c r="C105" s="28">
        <v>5.6271981242672901E-2</v>
      </c>
      <c r="D105" s="28"/>
      <c r="E105" s="28">
        <v>7.8295341922695702E-2</v>
      </c>
    </row>
    <row r="106" spans="1:5" x14ac:dyDescent="0.35">
      <c r="A106" s="28">
        <v>8.0251770259638103E-2</v>
      </c>
      <c r="C106" s="28">
        <v>4.6235138705416103E-2</v>
      </c>
      <c r="D106" s="28"/>
      <c r="E106" s="28">
        <v>8.2482325216025096E-2</v>
      </c>
    </row>
    <row r="107" spans="1:5" x14ac:dyDescent="0.35">
      <c r="A107" s="28">
        <v>3.9532794249775398E-2</v>
      </c>
      <c r="C107" s="28">
        <v>7.6642335766423403E-2</v>
      </c>
      <c r="D107" s="28"/>
      <c r="E107" s="28">
        <v>3.17145688800793E-2</v>
      </c>
    </row>
    <row r="108" spans="1:5" x14ac:dyDescent="0.35">
      <c r="A108" s="28">
        <v>6.22529644268775E-2</v>
      </c>
      <c r="C108" s="28">
        <v>4.2372881355932202E-2</v>
      </c>
      <c r="D108" s="28"/>
      <c r="E108" s="28">
        <v>8.8235294117647106E-2</v>
      </c>
    </row>
    <row r="109" spans="1:5" x14ac:dyDescent="0.35">
      <c r="A109" s="28">
        <v>1.27226463104326E-2</v>
      </c>
      <c r="C109" s="28">
        <v>5.3182214472537098E-2</v>
      </c>
      <c r="D109" s="28"/>
      <c r="E109" s="28">
        <v>0.108979947689625</v>
      </c>
    </row>
    <row r="110" spans="1:5" x14ac:dyDescent="0.35">
      <c r="A110" s="28">
        <v>6.7649028801071695E-2</v>
      </c>
      <c r="C110" s="28">
        <v>3.1317494600431997E-2</v>
      </c>
      <c r="D110" s="28"/>
      <c r="E110" s="28">
        <v>8.3700440528634401E-2</v>
      </c>
    </row>
    <row r="111" spans="1:5" x14ac:dyDescent="0.35">
      <c r="A111" s="28">
        <v>9.8039215686274495E-2</v>
      </c>
      <c r="C111" s="28">
        <v>0.107061503416857</v>
      </c>
      <c r="D111" s="28"/>
      <c r="E111" s="28">
        <v>4.6620046620046603E-2</v>
      </c>
    </row>
    <row r="112" spans="1:5" x14ac:dyDescent="0.35">
      <c r="A112" s="28">
        <v>7.2781655034895296E-2</v>
      </c>
      <c r="C112" s="28">
        <v>3.3333333333333298E-2</v>
      </c>
      <c r="D112" s="28"/>
      <c r="E112" s="28">
        <v>8.6255259467040699E-2</v>
      </c>
    </row>
    <row r="113" spans="1:5" x14ac:dyDescent="0.35">
      <c r="A113" s="28">
        <v>7.1504802561366099E-2</v>
      </c>
      <c r="C113" s="28">
        <v>8.7483176312247696E-2</v>
      </c>
      <c r="D113" s="28"/>
      <c r="E113" s="28">
        <v>7.2709163346613495E-2</v>
      </c>
    </row>
    <row r="114" spans="1:5" x14ac:dyDescent="0.35">
      <c r="A114" s="28">
        <v>2.4182076813655799E-2</v>
      </c>
      <c r="C114" s="28">
        <v>6.0470324748040302E-2</v>
      </c>
      <c r="D114" s="28"/>
      <c r="E114" s="28">
        <v>4.1081081081081099E-2</v>
      </c>
    </row>
    <row r="115" spans="1:5" x14ac:dyDescent="0.35">
      <c r="A115" s="28">
        <v>7.6507650765076499E-2</v>
      </c>
      <c r="C115" s="28">
        <v>1.4204545454545499E-2</v>
      </c>
      <c r="D115" s="28"/>
      <c r="E115" s="28">
        <v>4.2128603104212903E-2</v>
      </c>
    </row>
    <row r="116" spans="1:5" x14ac:dyDescent="0.35">
      <c r="A116" s="28">
        <v>3.3099297893680997E-2</v>
      </c>
      <c r="C116" s="28">
        <v>1.9777503090234901E-2</v>
      </c>
      <c r="D116" s="28"/>
      <c r="E116" s="28">
        <v>5.1921079958463102E-2</v>
      </c>
    </row>
    <row r="117" spans="1:5" x14ac:dyDescent="0.35">
      <c r="A117" s="28">
        <v>5.1668460710441302E-2</v>
      </c>
      <c r="C117" s="28">
        <v>2.12464589235127E-2</v>
      </c>
      <c r="D117" s="28"/>
      <c r="E117" s="28">
        <v>5.46792849631966E-2</v>
      </c>
    </row>
    <row r="118" spans="1:5" x14ac:dyDescent="0.35">
      <c r="A118" s="28">
        <v>5.5248618784530398E-2</v>
      </c>
      <c r="C118" s="28">
        <v>5.6206088992974197E-2</v>
      </c>
      <c r="D118" s="28"/>
      <c r="E118" s="28">
        <v>8.1587651598676994E-2</v>
      </c>
    </row>
    <row r="119" spans="1:5" x14ac:dyDescent="0.35">
      <c r="A119" s="28">
        <v>4.8843187660668398E-2</v>
      </c>
      <c r="C119" s="28">
        <v>5.3481331987890998E-2</v>
      </c>
      <c r="D119" s="28"/>
      <c r="E119" s="28">
        <v>3.6105032822757101E-2</v>
      </c>
    </row>
    <row r="120" spans="1:5" x14ac:dyDescent="0.35">
      <c r="A120" s="28">
        <v>8.0797481636935994E-2</v>
      </c>
      <c r="C120" s="28">
        <v>3.9421813403416599E-2</v>
      </c>
      <c r="D120" s="28"/>
      <c r="E120" s="28">
        <v>0.11368909512761</v>
      </c>
    </row>
    <row r="121" spans="1:5" x14ac:dyDescent="0.35">
      <c r="A121" s="28">
        <v>7.8199052132701397E-2</v>
      </c>
      <c r="C121" s="28">
        <v>1.5075376884422099E-2</v>
      </c>
      <c r="D121" s="28"/>
      <c r="E121" s="28">
        <v>0.12968036529680399</v>
      </c>
    </row>
    <row r="122" spans="1:5" x14ac:dyDescent="0.35">
      <c r="A122" s="28">
        <v>3.7827352085354003E-2</v>
      </c>
      <c r="C122" s="28">
        <v>3.6671368124118503E-2</v>
      </c>
      <c r="D122" s="28"/>
      <c r="E122" s="28">
        <v>6.9767441860465101E-2</v>
      </c>
    </row>
    <row r="123" spans="1:5" x14ac:dyDescent="0.35">
      <c r="A123" s="28">
        <v>7.1881606765327705E-2</v>
      </c>
      <c r="C123" s="28">
        <v>4.7154471544715401E-2</v>
      </c>
      <c r="D123" s="28"/>
      <c r="E123" s="28">
        <v>0.13311688311688299</v>
      </c>
    </row>
    <row r="124" spans="1:5" x14ac:dyDescent="0.35">
      <c r="A124" s="28">
        <v>0.110709987966306</v>
      </c>
      <c r="C124" s="28">
        <v>5.6680161943319797E-2</v>
      </c>
      <c r="D124" s="28"/>
      <c r="E124" s="28">
        <v>2.8169014084507001E-2</v>
      </c>
    </row>
    <row r="125" spans="1:5" x14ac:dyDescent="0.35">
      <c r="A125" s="28">
        <v>6.29820051413882E-2</v>
      </c>
      <c r="C125" s="28">
        <v>2.4208566108007399E-2</v>
      </c>
      <c r="D125" s="28"/>
      <c r="E125" s="28">
        <v>3.1626506024096397E-2</v>
      </c>
    </row>
    <row r="126" spans="1:5" x14ac:dyDescent="0.35">
      <c r="A126" s="28">
        <v>2.8077753779697599E-2</v>
      </c>
      <c r="C126" s="28">
        <v>5.0874403815580303E-2</v>
      </c>
      <c r="D126" s="28"/>
      <c r="E126" s="28">
        <v>6.5989847715736002E-2</v>
      </c>
    </row>
    <row r="127" spans="1:5" x14ac:dyDescent="0.35">
      <c r="A127" s="28">
        <v>3.8423645320197E-2</v>
      </c>
      <c r="C127" s="28">
        <v>1.6822429906542102E-2</v>
      </c>
      <c r="D127" s="28"/>
      <c r="E127" s="28">
        <v>4.5662100456621002E-2</v>
      </c>
    </row>
    <row r="128" spans="1:5" x14ac:dyDescent="0.35">
      <c r="A128" s="28">
        <v>6.8403908794788304E-2</v>
      </c>
      <c r="C128" s="28">
        <v>4.3119266055045902E-2</v>
      </c>
      <c r="D128" s="28"/>
      <c r="E128" s="28">
        <v>3.1198686371100199E-2</v>
      </c>
    </row>
    <row r="129" spans="1:5" x14ac:dyDescent="0.35">
      <c r="A129" s="28">
        <v>2.95302013422819E-2</v>
      </c>
      <c r="C129" s="28">
        <v>4.4917257683215098E-2</v>
      </c>
      <c r="D129" s="28"/>
      <c r="E129" s="28">
        <v>6.0665362035224997E-2</v>
      </c>
    </row>
    <row r="130" spans="1:5" x14ac:dyDescent="0.35">
      <c r="A130" s="28">
        <v>6.7530064754856595E-2</v>
      </c>
      <c r="C130" s="28">
        <v>6.75355450236967E-2</v>
      </c>
      <c r="D130" s="28"/>
      <c r="E130" s="28">
        <v>3.5590277777777797E-2</v>
      </c>
    </row>
    <row r="131" spans="1:5" x14ac:dyDescent="0.35">
      <c r="A131" s="28">
        <v>1.7211703958691899E-2</v>
      </c>
      <c r="C131" s="28">
        <v>3.5000000000000003E-2</v>
      </c>
      <c r="D131" s="28"/>
      <c r="E131" s="28">
        <v>4.3415340086830699E-2</v>
      </c>
    </row>
    <row r="132" spans="1:5" x14ac:dyDescent="0.35">
      <c r="A132" s="28">
        <v>3.0223390275952701E-2</v>
      </c>
      <c r="C132" s="28">
        <v>0.101644245142003</v>
      </c>
      <c r="D132" s="28"/>
      <c r="E132" s="28">
        <v>3.0560271646859101E-2</v>
      </c>
    </row>
    <row r="133" spans="1:5" x14ac:dyDescent="0.35">
      <c r="A133" s="28">
        <v>4.8744460856720802E-2</v>
      </c>
      <c r="C133" s="28">
        <v>3.54609929078014E-2</v>
      </c>
      <c r="D133" s="28"/>
      <c r="E133" s="28">
        <v>6.18181818181818E-2</v>
      </c>
    </row>
    <row r="134" spans="1:5" x14ac:dyDescent="0.35">
      <c r="A134" s="28">
        <v>4.5961002785515299E-2</v>
      </c>
      <c r="C134" s="28">
        <v>1.4195583596214501E-2</v>
      </c>
      <c r="D134" s="28"/>
      <c r="E134" s="28">
        <v>2.6562499999999999E-2</v>
      </c>
    </row>
    <row r="135" spans="1:5" x14ac:dyDescent="0.35">
      <c r="A135" s="28">
        <v>8.3229813664596294E-2</v>
      </c>
      <c r="C135" s="28">
        <v>3.2876712328767099E-2</v>
      </c>
      <c r="D135" s="28"/>
      <c r="E135" s="28">
        <v>5.7189542483660101E-2</v>
      </c>
    </row>
    <row r="136" spans="1:5" x14ac:dyDescent="0.35">
      <c r="A136" s="28">
        <v>5.3412462908011903E-2</v>
      </c>
      <c r="C136" s="28">
        <v>0.02</v>
      </c>
      <c r="D136" s="28"/>
      <c r="E136" s="28">
        <v>5.0420168067226899E-2</v>
      </c>
    </row>
    <row r="137" spans="1:5" x14ac:dyDescent="0.35">
      <c r="A137" s="28">
        <v>4.8148148148148197E-2</v>
      </c>
      <c r="C137" s="28">
        <v>2.1630615640599E-2</v>
      </c>
      <c r="D137" s="28"/>
      <c r="E137" s="28">
        <v>2.6041666666666699E-2</v>
      </c>
    </row>
    <row r="138" spans="1:5" x14ac:dyDescent="0.35">
      <c r="A138" s="28">
        <v>2.4032042723631498E-2</v>
      </c>
      <c r="C138" s="28">
        <v>3.4426229508196703E-2</v>
      </c>
      <c r="D138" s="28"/>
      <c r="E138" s="28">
        <v>3.78006872852234E-2</v>
      </c>
    </row>
    <row r="139" spans="1:5" x14ac:dyDescent="0.35">
      <c r="A139" s="28">
        <v>4.0511727078891301E-2</v>
      </c>
      <c r="C139" s="28">
        <v>9.0415913200723296E-3</v>
      </c>
      <c r="D139" s="28"/>
      <c r="E139" s="28">
        <v>5.1312649164677801E-2</v>
      </c>
    </row>
    <row r="140" spans="1:5" x14ac:dyDescent="0.35">
      <c r="A140" s="28">
        <v>3.9611964430072803E-2</v>
      </c>
      <c r="C140" s="28">
        <v>7.3563218390804597E-2</v>
      </c>
      <c r="D140" s="28"/>
      <c r="E140" s="28">
        <v>3.6334913112164302E-2</v>
      </c>
    </row>
    <row r="141" spans="1:5" x14ac:dyDescent="0.35">
      <c r="A141" s="28">
        <v>5.70676031606673E-2</v>
      </c>
      <c r="C141" s="28">
        <v>6.8783068783068793E-2</v>
      </c>
      <c r="D141" s="28"/>
      <c r="E141" s="28">
        <v>2.0679468242245199E-2</v>
      </c>
    </row>
    <row r="142" spans="1:5" x14ac:dyDescent="0.35">
      <c r="A142" s="28">
        <v>2.4E-2</v>
      </c>
      <c r="C142" s="28">
        <v>5.3908355795148303E-3</v>
      </c>
      <c r="D142" s="28"/>
      <c r="E142" s="28">
        <v>3.6131774707757698E-2</v>
      </c>
    </row>
    <row r="143" spans="1:5" x14ac:dyDescent="0.35">
      <c r="A143" s="28">
        <v>8.0745341614906804E-2</v>
      </c>
      <c r="C143" s="28">
        <v>1.2552301255230099E-2</v>
      </c>
      <c r="D143" s="28"/>
      <c r="E143" s="28">
        <v>3.8759689922480599E-2</v>
      </c>
    </row>
    <row r="144" spans="1:5" x14ac:dyDescent="0.35">
      <c r="A144" s="28">
        <v>1.8901890189018899E-2</v>
      </c>
      <c r="C144" s="28">
        <v>2.8109028960817701E-2</v>
      </c>
      <c r="D144" s="28"/>
      <c r="E144" s="28">
        <v>6.0686015831134602E-2</v>
      </c>
    </row>
    <row r="145" spans="1:5" x14ac:dyDescent="0.35">
      <c r="A145" s="28">
        <v>0.103071672354949</v>
      </c>
      <c r="C145" s="28">
        <v>3.8167938931297697E-2</v>
      </c>
      <c r="D145" s="28"/>
      <c r="E145" s="28">
        <v>4.1997729852440401E-2</v>
      </c>
    </row>
    <row r="146" spans="1:5" x14ac:dyDescent="0.35">
      <c r="A146" s="28">
        <v>8.7682672233820494E-2</v>
      </c>
      <c r="C146" s="28">
        <v>2.2202486678508E-2</v>
      </c>
      <c r="D146" s="28"/>
      <c r="E146" s="28">
        <v>5.7179161372299898E-2</v>
      </c>
    </row>
    <row r="147" spans="1:5" x14ac:dyDescent="0.35">
      <c r="A147" s="28">
        <v>0.128111273792094</v>
      </c>
      <c r="C147" s="28">
        <v>3.81978452497551E-2</v>
      </c>
      <c r="D147" s="28"/>
      <c r="E147" s="28">
        <v>5.6267806267806302E-2</v>
      </c>
    </row>
    <row r="148" spans="1:5" x14ac:dyDescent="0.35">
      <c r="A148" s="28">
        <v>7.0372560615020702E-2</v>
      </c>
      <c r="C148" s="28">
        <v>5.54577464788732E-2</v>
      </c>
      <c r="D148" s="28"/>
      <c r="E148" s="28">
        <v>3.79876796714579E-2</v>
      </c>
    </row>
    <row r="149" spans="1:5" x14ac:dyDescent="0.35">
      <c r="A149" s="28">
        <v>0.14366595895258299</v>
      </c>
      <c r="C149" s="28">
        <v>2.54777070063694E-2</v>
      </c>
      <c r="D149" s="28"/>
      <c r="E149" s="28">
        <v>7.2966507177033499E-2</v>
      </c>
    </row>
    <row r="150" spans="1:5" x14ac:dyDescent="0.35">
      <c r="A150" s="28">
        <v>2.1589793915603499E-2</v>
      </c>
      <c r="C150" s="28">
        <v>4.1586073500967102E-2</v>
      </c>
      <c r="D150" s="28"/>
      <c r="E150" s="28">
        <v>1.3921113689095099E-2</v>
      </c>
    </row>
    <row r="151" spans="1:5" x14ac:dyDescent="0.35">
      <c r="A151" s="28">
        <v>5.5449330783938801E-2</v>
      </c>
      <c r="C151" s="28">
        <v>1.67539267015707E-2</v>
      </c>
      <c r="D151" s="28"/>
      <c r="E151" s="28">
        <v>0.114117647058824</v>
      </c>
    </row>
    <row r="152" spans="1:5" x14ac:dyDescent="0.35">
      <c r="A152" s="28">
        <v>0.10573600552868</v>
      </c>
      <c r="C152" s="28">
        <v>5.39906103286385E-2</v>
      </c>
      <c r="D152" s="28"/>
      <c r="E152" s="28">
        <v>2.5164113785557999E-2</v>
      </c>
    </row>
    <row r="153" spans="1:5" x14ac:dyDescent="0.35">
      <c r="A153" s="28">
        <v>7.6319543509272503E-2</v>
      </c>
      <c r="C153" s="28">
        <v>2.1518987341772201E-2</v>
      </c>
      <c r="D153" s="28"/>
      <c r="E153" s="28">
        <v>7.0175438596491196E-2</v>
      </c>
    </row>
    <row r="154" spans="1:5" x14ac:dyDescent="0.35">
      <c r="A154" s="28">
        <v>6.3205417607223494E-2</v>
      </c>
      <c r="C154" s="28">
        <v>1.1764705882352899E-2</v>
      </c>
      <c r="D154" s="28"/>
      <c r="E154" s="28">
        <v>3.7691401648998799E-2</v>
      </c>
    </row>
    <row r="155" spans="1:5" x14ac:dyDescent="0.35">
      <c r="A155" s="28">
        <v>6.6574202496532606E-2</v>
      </c>
      <c r="C155" s="28">
        <v>1.71184022824536E-2</v>
      </c>
      <c r="D155" s="28"/>
      <c r="E155" s="28">
        <v>7.0658682634730505E-2</v>
      </c>
    </row>
    <row r="156" spans="1:5" x14ac:dyDescent="0.35">
      <c r="A156" s="28">
        <v>9.3333333333333296E-2</v>
      </c>
      <c r="C156" s="28">
        <v>4.9681528662420399E-2</v>
      </c>
      <c r="D156" s="28"/>
      <c r="E156" s="28">
        <v>7.1363220494053095E-2</v>
      </c>
    </row>
    <row r="157" spans="1:5" x14ac:dyDescent="0.35">
      <c r="A157" s="28">
        <v>5.9151785714285698E-2</v>
      </c>
      <c r="C157" s="28">
        <v>5.7803468208092498E-2</v>
      </c>
      <c r="D157" s="28"/>
      <c r="E157" s="28">
        <v>4.0704070407040702E-2</v>
      </c>
    </row>
    <row r="158" spans="1:5" x14ac:dyDescent="0.35">
      <c r="A158" s="28">
        <v>4.4787644787644798E-2</v>
      </c>
      <c r="C158" s="28">
        <v>6.7357512953367907E-2</v>
      </c>
      <c r="D158" s="28"/>
      <c r="E158" s="28">
        <v>5.4838709677419398E-2</v>
      </c>
    </row>
    <row r="159" spans="1:5" x14ac:dyDescent="0.35">
      <c r="A159" s="28">
        <v>6.8796068796068796E-2</v>
      </c>
      <c r="C159" s="28">
        <v>6.88124306326304E-2</v>
      </c>
      <c r="D159" s="28"/>
      <c r="E159" s="28">
        <v>4.1536863966770497E-2</v>
      </c>
    </row>
    <row r="160" spans="1:5" x14ac:dyDescent="0.35">
      <c r="A160" s="28">
        <v>4.8085485307212801E-2</v>
      </c>
      <c r="C160" s="28">
        <v>2.0979020979021001E-2</v>
      </c>
      <c r="D160" s="28"/>
      <c r="E160" s="28">
        <v>4.9516908212560398E-2</v>
      </c>
    </row>
    <row r="161" spans="1:5" x14ac:dyDescent="0.35">
      <c r="A161" s="28">
        <v>5.7098765432098797E-2</v>
      </c>
      <c r="C161" s="28">
        <v>5.9193954659949602E-2</v>
      </c>
      <c r="D161" s="28"/>
      <c r="E161" s="28">
        <v>2.10896309314587E-2</v>
      </c>
    </row>
    <row r="162" spans="1:5" x14ac:dyDescent="0.35">
      <c r="A162" s="28">
        <v>4.8543689320388397E-2</v>
      </c>
      <c r="C162" s="28">
        <v>2.4556616643929101E-2</v>
      </c>
      <c r="D162" s="28"/>
      <c r="E162" s="28">
        <v>1.6427104722792601E-2</v>
      </c>
    </row>
    <row r="163" spans="1:5" x14ac:dyDescent="0.35">
      <c r="A163" s="28">
        <v>4.8627450980392201E-2</v>
      </c>
      <c r="C163" s="28">
        <v>2.2988505747126398E-2</v>
      </c>
      <c r="D163" s="28"/>
      <c r="E163" s="28">
        <v>4.7531992687385803E-2</v>
      </c>
    </row>
    <row r="164" spans="1:5" x14ac:dyDescent="0.35">
      <c r="A164" s="28">
        <v>0.114299378287901</v>
      </c>
      <c r="C164" s="28">
        <v>3.1397174254317102E-2</v>
      </c>
      <c r="D164" s="28"/>
      <c r="E164" s="28">
        <v>5.3124999999999999E-2</v>
      </c>
    </row>
    <row r="165" spans="1:5" x14ac:dyDescent="0.35">
      <c r="A165" s="28">
        <v>0.155353393981805</v>
      </c>
      <c r="C165" s="28">
        <v>9.8712446351931299E-2</v>
      </c>
      <c r="D165" s="28"/>
      <c r="E165" s="28">
        <v>2.5641025641025599E-2</v>
      </c>
    </row>
    <row r="166" spans="1:5" x14ac:dyDescent="0.35">
      <c r="A166" s="28">
        <v>7.7327327327327305E-2</v>
      </c>
      <c r="C166" s="28">
        <v>3.9011703511053299E-2</v>
      </c>
      <c r="D166" s="28"/>
      <c r="E166" s="28">
        <v>3.4682080924855502E-2</v>
      </c>
    </row>
    <row r="167" spans="1:5" x14ac:dyDescent="0.35">
      <c r="A167" s="28">
        <v>7.2107765451664002E-2</v>
      </c>
      <c r="C167" s="28">
        <v>1.4336917562724E-2</v>
      </c>
      <c r="D167" s="28"/>
      <c r="E167" s="28">
        <v>4.4520547945205498E-2</v>
      </c>
    </row>
    <row r="168" spans="1:5" x14ac:dyDescent="0.35">
      <c r="A168" s="28">
        <v>2.0912547528517102E-2</v>
      </c>
      <c r="C168" s="28">
        <v>2.8875379939209699E-2</v>
      </c>
      <c r="D168" s="28"/>
      <c r="E168" s="28">
        <v>2.04081632653061E-2</v>
      </c>
    </row>
    <row r="169" spans="1:5" x14ac:dyDescent="0.35">
      <c r="A169" s="28">
        <v>0.153419593345656</v>
      </c>
      <c r="C169" s="28">
        <v>2.84495021337127E-3</v>
      </c>
      <c r="D169" s="28"/>
      <c r="E169" s="28">
        <v>8.8512241054613902E-2</v>
      </c>
    </row>
    <row r="170" spans="1:5" x14ac:dyDescent="0.35">
      <c r="A170" s="28">
        <v>0.132911392405063</v>
      </c>
      <c r="C170" s="28">
        <v>3.9490445859872603E-2</v>
      </c>
      <c r="D170" s="28"/>
      <c r="E170" s="28">
        <v>5.2224371373307599E-2</v>
      </c>
    </row>
    <row r="171" spans="1:5" x14ac:dyDescent="0.35">
      <c r="A171" s="28">
        <v>0.10983606557377</v>
      </c>
      <c r="C171" s="28">
        <v>4.8561151079136701E-2</v>
      </c>
      <c r="D171" s="28"/>
      <c r="E171" s="28">
        <v>1.6423357664233602E-2</v>
      </c>
    </row>
    <row r="172" spans="1:5" x14ac:dyDescent="0.35">
      <c r="A172" s="28">
        <v>7.1906354515050203E-2</v>
      </c>
      <c r="C172" s="28"/>
      <c r="D172" s="28"/>
      <c r="E172" s="28">
        <v>3.0902348578492E-2</v>
      </c>
    </row>
    <row r="173" spans="1:5" x14ac:dyDescent="0.35">
      <c r="A173" s="28">
        <v>2.8126870137642101E-2</v>
      </c>
      <c r="C173" s="28"/>
      <c r="D173" s="28"/>
      <c r="E173" s="28">
        <v>2.87162162162162E-2</v>
      </c>
    </row>
    <row r="174" spans="1:5" x14ac:dyDescent="0.35">
      <c r="A174" s="28">
        <v>0.120288692862871</v>
      </c>
      <c r="C174" s="28"/>
      <c r="D174" s="28"/>
      <c r="E174" s="28">
        <v>2.3847376788553299E-2</v>
      </c>
    </row>
    <row r="175" spans="1:5" x14ac:dyDescent="0.35">
      <c r="A175" s="28">
        <v>0.15643397813288501</v>
      </c>
      <c r="C175" s="28"/>
      <c r="D175" s="28"/>
      <c r="E175" s="28">
        <v>6.8398268398268403E-2</v>
      </c>
    </row>
    <row r="176" spans="1:5" x14ac:dyDescent="0.35">
      <c r="A176" s="28">
        <v>9.7463284379172205E-2</v>
      </c>
      <c r="C176" s="28"/>
      <c r="D176" s="28"/>
      <c r="E176" s="28">
        <v>4.6460176991150397E-2</v>
      </c>
    </row>
    <row r="177" spans="1:5" x14ac:dyDescent="0.35">
      <c r="A177" s="28">
        <v>0.107715813598167</v>
      </c>
      <c r="C177" s="28"/>
      <c r="D177" s="28"/>
      <c r="E177" s="28">
        <v>4.1162227602905603E-2</v>
      </c>
    </row>
    <row r="178" spans="1:5" x14ac:dyDescent="0.35">
      <c r="A178" s="28">
        <v>2.2196261682243E-2</v>
      </c>
      <c r="C178" s="28"/>
      <c r="D178" s="28"/>
      <c r="E178" s="28">
        <v>7.4679943100995697E-2</v>
      </c>
    </row>
    <row r="179" spans="1:5" x14ac:dyDescent="0.35">
      <c r="A179" s="28">
        <v>0.12537764350453201</v>
      </c>
      <c r="C179" s="28"/>
      <c r="D179" s="28"/>
      <c r="E179" s="28">
        <v>5.9123343527013303E-2</v>
      </c>
    </row>
    <row r="180" spans="1:5" x14ac:dyDescent="0.35">
      <c r="A180" s="28">
        <v>0.11943793911007</v>
      </c>
      <c r="C180" s="28"/>
      <c r="D180" s="28"/>
      <c r="E180" s="28">
        <v>3.0066815144766099E-2</v>
      </c>
    </row>
    <row r="181" spans="1:5" x14ac:dyDescent="0.35">
      <c r="A181" s="28">
        <v>6.3341250989706999E-2</v>
      </c>
      <c r="C181" s="28"/>
      <c r="D181" s="28"/>
      <c r="E181" s="28">
        <v>5.2508751458576398E-2</v>
      </c>
    </row>
    <row r="182" spans="1:5" x14ac:dyDescent="0.35">
      <c r="A182" s="28">
        <v>0.112399643175736</v>
      </c>
      <c r="C182" s="28"/>
      <c r="D182" s="28"/>
      <c r="E182" s="28">
        <v>4.7261009667024699E-2</v>
      </c>
    </row>
    <row r="183" spans="1:5" x14ac:dyDescent="0.35">
      <c r="A183" s="28">
        <v>5.3763440860215103E-2</v>
      </c>
      <c r="C183" s="28"/>
      <c r="D183" s="28"/>
      <c r="E183" s="28">
        <v>5.23446019629226E-2</v>
      </c>
    </row>
    <row r="184" spans="1:5" x14ac:dyDescent="0.35">
      <c r="A184" s="28">
        <v>0.109939759036145</v>
      </c>
      <c r="C184" s="28"/>
      <c r="D184" s="28"/>
      <c r="E184" s="28">
        <v>5.4809843400447401E-2</v>
      </c>
    </row>
    <row r="185" spans="1:5" x14ac:dyDescent="0.35">
      <c r="A185" s="28">
        <v>5.7387057387057398E-2</v>
      </c>
      <c r="C185" s="28"/>
      <c r="D185" s="28"/>
      <c r="E185" s="28">
        <v>3.06122448979592E-2</v>
      </c>
    </row>
    <row r="186" spans="1:5" x14ac:dyDescent="0.35">
      <c r="A186" s="28">
        <v>8.3029197080291994E-2</v>
      </c>
      <c r="C186" s="28"/>
      <c r="D186" s="28"/>
      <c r="E186" s="28">
        <v>4.6538024971623203E-2</v>
      </c>
    </row>
    <row r="187" spans="1:5" x14ac:dyDescent="0.35">
      <c r="A187" s="28">
        <v>0.107670654468684</v>
      </c>
      <c r="C187" s="28"/>
      <c r="D187" s="28"/>
      <c r="E187" s="28">
        <v>7.4372759856630805E-2</v>
      </c>
    </row>
    <row r="188" spans="1:5" x14ac:dyDescent="0.35">
      <c r="A188" s="28">
        <v>4.6583850931677002E-2</v>
      </c>
      <c r="C188" s="28"/>
      <c r="D188" s="28"/>
      <c r="E188" s="28">
        <v>5.4112554112554098E-2</v>
      </c>
    </row>
    <row r="189" spans="1:5" x14ac:dyDescent="0.35">
      <c r="A189" s="28">
        <v>4.0622299049265301E-2</v>
      </c>
      <c r="C189" s="28"/>
      <c r="D189" s="28"/>
      <c r="E189" s="28">
        <v>4.8856548856548901E-2</v>
      </c>
    </row>
    <row r="190" spans="1:5" x14ac:dyDescent="0.35">
      <c r="A190" s="28">
        <v>4.8237476808905402E-2</v>
      </c>
      <c r="C190" s="28"/>
      <c r="D190" s="28"/>
      <c r="E190" s="28">
        <v>6.0052219321148799E-2</v>
      </c>
    </row>
    <row r="191" spans="1:5" x14ac:dyDescent="0.35">
      <c r="A191" s="28">
        <v>7.4311926605504605E-2</v>
      </c>
      <c r="C191" s="28"/>
      <c r="D191" s="28"/>
      <c r="E191" s="28">
        <v>6.14035087719298E-2</v>
      </c>
    </row>
    <row r="192" spans="1:5" x14ac:dyDescent="0.35">
      <c r="A192" s="28">
        <v>0.13954713006845701</v>
      </c>
      <c r="C192" s="28"/>
      <c r="D192" s="28"/>
      <c r="E192" s="28">
        <v>7.6622361219702895E-2</v>
      </c>
    </row>
    <row r="193" spans="1:5" x14ac:dyDescent="0.35">
      <c r="A193" s="28">
        <v>0.163793103448276</v>
      </c>
      <c r="C193" s="28"/>
      <c r="D193" s="28"/>
      <c r="E193" s="28">
        <v>2.60770975056689E-2</v>
      </c>
    </row>
    <row r="194" spans="1:5" x14ac:dyDescent="0.35">
      <c r="A194" s="28">
        <v>8.3689154568744706E-2</v>
      </c>
      <c r="C194" s="28"/>
      <c r="D194" s="28"/>
      <c r="E194" s="28">
        <v>6.0321715817694403E-2</v>
      </c>
    </row>
    <row r="195" spans="1:5" x14ac:dyDescent="0.35">
      <c r="A195" s="28">
        <v>5.8876003568242602E-2</v>
      </c>
      <c r="C195" s="28"/>
      <c r="D195" s="28"/>
      <c r="E195" s="28">
        <v>2.9490616621983899E-2</v>
      </c>
    </row>
    <row r="196" spans="1:5" x14ac:dyDescent="0.35">
      <c r="A196" s="28">
        <v>4.4879171461449902E-2</v>
      </c>
      <c r="C196" s="28"/>
      <c r="D196" s="28"/>
      <c r="E196" s="28">
        <v>5.9193954659949602E-2</v>
      </c>
    </row>
    <row r="197" spans="1:5" x14ac:dyDescent="0.35">
      <c r="A197" s="28">
        <v>0.116492146596859</v>
      </c>
      <c r="C197" s="28"/>
      <c r="D197" s="28"/>
      <c r="E197" s="28">
        <v>4.6599496221662498E-2</v>
      </c>
    </row>
    <row r="198" spans="1:5" x14ac:dyDescent="0.35">
      <c r="A198" s="28">
        <v>0.146083274523641</v>
      </c>
      <c r="C198" s="28"/>
      <c r="D198" s="28"/>
      <c r="E198" s="28">
        <v>4.2525773195876297E-2</v>
      </c>
    </row>
    <row r="199" spans="1:5" x14ac:dyDescent="0.35">
      <c r="A199" s="28">
        <v>0.121813031161473</v>
      </c>
      <c r="C199" s="28"/>
      <c r="D199" s="28"/>
      <c r="E199" s="28">
        <v>6.0191518467852298E-2</v>
      </c>
    </row>
    <row r="200" spans="1:5" x14ac:dyDescent="0.35">
      <c r="A200" s="28">
        <v>6.0836501901140698E-2</v>
      </c>
      <c r="C200" s="28"/>
      <c r="D200" s="28"/>
      <c r="E200" s="28">
        <v>6.1994609164420497E-2</v>
      </c>
    </row>
    <row r="201" spans="1:5" x14ac:dyDescent="0.35">
      <c r="A201" s="28">
        <v>5.3632043448744102E-2</v>
      </c>
      <c r="C201" s="28"/>
      <c r="D201" s="28"/>
      <c r="E201" s="28">
        <v>0.1198738170347</v>
      </c>
    </row>
    <row r="202" spans="1:5" x14ac:dyDescent="0.35">
      <c r="A202" s="28">
        <v>0.10350584307178599</v>
      </c>
      <c r="C202" s="28"/>
      <c r="D202" s="28"/>
      <c r="E202" s="28">
        <v>6.5989847715736002E-2</v>
      </c>
    </row>
    <row r="203" spans="1:5" x14ac:dyDescent="0.35">
      <c r="A203" s="28">
        <v>0.157933042212518</v>
      </c>
      <c r="C203" s="28"/>
      <c r="D203" s="28"/>
      <c r="E203" s="28">
        <v>8.9663760896637607E-2</v>
      </c>
    </row>
    <row r="204" spans="1:5" x14ac:dyDescent="0.35">
      <c r="A204" s="28">
        <v>0.104347826086957</v>
      </c>
      <c r="C204" s="28"/>
      <c r="D204" s="28"/>
      <c r="E204" s="28">
        <v>4.7846889952153103E-2</v>
      </c>
    </row>
    <row r="205" spans="1:5" x14ac:dyDescent="0.35">
      <c r="A205" s="28">
        <v>2.1118012422360301E-2</v>
      </c>
      <c r="C205" s="28"/>
      <c r="D205" s="28"/>
      <c r="E205" s="28">
        <v>6.0370009737098398E-2</v>
      </c>
    </row>
    <row r="206" spans="1:5" x14ac:dyDescent="0.35">
      <c r="A206" s="28">
        <v>0.112229102167183</v>
      </c>
      <c r="C206" s="28"/>
      <c r="D206" s="28"/>
      <c r="E206" s="28">
        <v>7.86713286713287E-2</v>
      </c>
    </row>
    <row r="207" spans="1:5" x14ac:dyDescent="0.35">
      <c r="A207" s="28">
        <v>9.9522292993630607E-2</v>
      </c>
      <c r="C207" s="28"/>
      <c r="D207" s="28"/>
      <c r="E207" s="28">
        <v>6.11814345991561E-2</v>
      </c>
    </row>
    <row r="208" spans="1:5" x14ac:dyDescent="0.35">
      <c r="A208" s="28">
        <v>7.6794657762938201E-2</v>
      </c>
      <c r="C208" s="28"/>
      <c r="D208" s="28"/>
      <c r="E208" s="28">
        <v>4.1214750542299297E-2</v>
      </c>
    </row>
    <row r="209" spans="1:5" x14ac:dyDescent="0.35">
      <c r="A209" s="28">
        <v>0.16944172380019601</v>
      </c>
      <c r="C209" s="28"/>
      <c r="D209" s="28"/>
      <c r="E209" s="28">
        <v>3.94736842105263E-2</v>
      </c>
    </row>
    <row r="210" spans="1:5" x14ac:dyDescent="0.35">
      <c r="A210" s="28">
        <v>6.4568200161420494E-2</v>
      </c>
      <c r="C210" s="28"/>
      <c r="D210" s="28"/>
      <c r="E210" s="28">
        <v>6.8897637795275593E-2</v>
      </c>
    </row>
    <row r="211" spans="1:5" x14ac:dyDescent="0.35">
      <c r="A211" s="28">
        <v>8.7222647283856203E-2</v>
      </c>
      <c r="C211" s="28"/>
      <c r="D211" s="28"/>
      <c r="E211" s="28">
        <v>7.8674948240165604E-2</v>
      </c>
    </row>
    <row r="212" spans="1:5" x14ac:dyDescent="0.35">
      <c r="A212" s="28">
        <v>6.5355329949238594E-2</v>
      </c>
      <c r="C212" s="28"/>
      <c r="D212" s="28"/>
      <c r="E212" s="28">
        <v>7.7433628318584094E-2</v>
      </c>
    </row>
    <row r="213" spans="1:5" x14ac:dyDescent="0.35">
      <c r="A213" s="28">
        <v>0.147773279352227</v>
      </c>
      <c r="C213" s="28"/>
      <c r="D213" s="28"/>
      <c r="E213" s="28">
        <v>4.3841336116910198E-2</v>
      </c>
    </row>
    <row r="214" spans="1:5" x14ac:dyDescent="0.35">
      <c r="A214" s="28">
        <v>0.14792452830188699</v>
      </c>
      <c r="C214" s="28"/>
      <c r="D214" s="28"/>
      <c r="E214" s="28">
        <v>6.4383561643835602E-2</v>
      </c>
    </row>
    <row r="215" spans="1:5" x14ac:dyDescent="0.35">
      <c r="A215" s="28">
        <v>0.101149425287356</v>
      </c>
      <c r="C215" s="28"/>
      <c r="D215" s="28"/>
      <c r="E215" s="28">
        <v>8.4479371316306506E-2</v>
      </c>
    </row>
    <row r="216" spans="1:5" x14ac:dyDescent="0.35">
      <c r="A216" s="28">
        <v>0.11639185257032</v>
      </c>
      <c r="C216" s="28"/>
      <c r="D216" s="28"/>
      <c r="E216" s="28">
        <v>4.07801418439716E-2</v>
      </c>
    </row>
    <row r="217" spans="1:5" x14ac:dyDescent="0.35">
      <c r="A217" s="28">
        <v>6.0039370078740197E-2</v>
      </c>
      <c r="C217" s="28"/>
      <c r="D217" s="28"/>
      <c r="E217" s="28">
        <v>3.61570247933884E-2</v>
      </c>
    </row>
    <row r="218" spans="1:5" x14ac:dyDescent="0.35">
      <c r="A218" s="28">
        <v>0.113545816733068</v>
      </c>
      <c r="C218" s="28"/>
      <c r="D218" s="28"/>
      <c r="E218" s="28">
        <v>6.4128256513026102E-2</v>
      </c>
    </row>
    <row r="219" spans="1:5" x14ac:dyDescent="0.35">
      <c r="A219" s="28">
        <v>0.19332956472583401</v>
      </c>
      <c r="C219" s="28"/>
      <c r="D219" s="28"/>
      <c r="E219" s="28">
        <v>8.59375E-2</v>
      </c>
    </row>
    <row r="220" spans="1:5" x14ac:dyDescent="0.35">
      <c r="A220" s="28">
        <v>0.15670436187399001</v>
      </c>
      <c r="C220" s="28"/>
      <c r="D220" s="28"/>
      <c r="E220" s="28">
        <v>7.6726342710997401E-3</v>
      </c>
    </row>
    <row r="221" spans="1:5" x14ac:dyDescent="0.35">
      <c r="A221" s="28">
        <v>9.6483318304779103E-2</v>
      </c>
      <c r="C221" s="28"/>
      <c r="D221" s="28"/>
      <c r="E221" s="28">
        <v>7.6036866359446995E-2</v>
      </c>
    </row>
    <row r="222" spans="1:5" x14ac:dyDescent="0.35">
      <c r="A222" s="28">
        <v>3.8461538461538498E-2</v>
      </c>
      <c r="C222" s="28"/>
      <c r="D222" s="28"/>
      <c r="E222" s="28">
        <v>0</v>
      </c>
    </row>
    <row r="223" spans="1:5" x14ac:dyDescent="0.35">
      <c r="A223" s="28">
        <v>8.6404066073697605E-2</v>
      </c>
      <c r="C223" s="28"/>
      <c r="D223" s="28"/>
      <c r="E223" s="28">
        <v>2.8368794326241099E-2</v>
      </c>
    </row>
    <row r="224" spans="1:5" x14ac:dyDescent="0.35">
      <c r="A224" s="28">
        <v>0.13764624913971099</v>
      </c>
      <c r="C224" s="28"/>
      <c r="D224" s="28"/>
      <c r="E224" s="28">
        <v>6.9333333333333302E-2</v>
      </c>
    </row>
    <row r="225" spans="1:5" x14ac:dyDescent="0.35">
      <c r="A225" s="28">
        <v>0.119743406985032</v>
      </c>
      <c r="C225" s="28"/>
      <c r="D225" s="28"/>
      <c r="E225" s="28">
        <v>6.4267352185089999E-2</v>
      </c>
    </row>
    <row r="226" spans="1:5" x14ac:dyDescent="0.35">
      <c r="A226" s="28">
        <v>0.11383709519136399</v>
      </c>
      <c r="C226" s="28"/>
      <c r="D226" s="28"/>
      <c r="E226" s="28">
        <v>6.30769230769231E-2</v>
      </c>
    </row>
    <row r="227" spans="1:5" x14ac:dyDescent="0.35">
      <c r="A227" s="28">
        <v>7.0493454179254803E-2</v>
      </c>
      <c r="C227" s="28"/>
      <c r="D227" s="28"/>
      <c r="E227" s="28">
        <v>4.25055928411633E-2</v>
      </c>
    </row>
    <row r="228" spans="1:5" x14ac:dyDescent="0.35">
      <c r="A228" s="28">
        <v>7.9971181556195994E-2</v>
      </c>
      <c r="C228" s="28"/>
      <c r="D228" s="28"/>
      <c r="E228" s="28">
        <v>3.0864197530864199E-2</v>
      </c>
    </row>
    <row r="229" spans="1:5" x14ac:dyDescent="0.35">
      <c r="A229" s="28">
        <v>0.17089552238805999</v>
      </c>
      <c r="C229" s="28"/>
      <c r="D229" s="28"/>
      <c r="E229" s="28">
        <v>4.1409691629956003E-2</v>
      </c>
    </row>
    <row r="230" spans="1:5" x14ac:dyDescent="0.35">
      <c r="A230" s="28">
        <v>0.15062761506276101</v>
      </c>
      <c r="C230" s="28"/>
      <c r="D230" s="28"/>
      <c r="E230" s="28">
        <v>4.3988269794721403E-2</v>
      </c>
    </row>
    <row r="231" spans="1:5" x14ac:dyDescent="0.35">
      <c r="A231" s="28">
        <v>2.5641025641025599E-2</v>
      </c>
      <c r="C231" s="28"/>
      <c r="D231" s="28"/>
      <c r="E231" s="28">
        <v>3.5678889990089203E-2</v>
      </c>
    </row>
    <row r="232" spans="1:5" x14ac:dyDescent="0.35">
      <c r="A232" s="28">
        <v>0.13109512390087899</v>
      </c>
      <c r="C232" s="28"/>
      <c r="D232" s="28"/>
      <c r="E232" s="28">
        <v>5.2730696798493397E-2</v>
      </c>
    </row>
    <row r="233" spans="1:5" x14ac:dyDescent="0.35">
      <c r="A233" s="28">
        <v>0.14877430262045599</v>
      </c>
      <c r="C233" s="28"/>
      <c r="D233" s="28"/>
      <c r="E233" s="28">
        <v>5.5238095238095197E-2</v>
      </c>
    </row>
    <row r="234" spans="1:5" x14ac:dyDescent="0.35">
      <c r="A234" s="28">
        <v>0.11228070175438599</v>
      </c>
      <c r="C234" s="28"/>
      <c r="D234" s="28"/>
      <c r="E234" s="28">
        <v>4.6242774566474E-2</v>
      </c>
    </row>
    <row r="235" spans="1:5" x14ac:dyDescent="0.35">
      <c r="A235" s="28">
        <v>7.8196872125115002E-2</v>
      </c>
      <c r="C235" s="28"/>
      <c r="D235" s="28"/>
      <c r="E235" s="28">
        <v>3.9525691699604702E-2</v>
      </c>
    </row>
    <row r="236" spans="1:5" x14ac:dyDescent="0.35">
      <c r="A236" s="28">
        <v>0.12294372294372299</v>
      </c>
      <c r="C236" s="28"/>
      <c r="D236" s="28"/>
      <c r="E236" s="28">
        <v>4.1055718475073298E-2</v>
      </c>
    </row>
    <row r="237" spans="1:5" x14ac:dyDescent="0.35">
      <c r="A237" s="28">
        <v>0.101574803149606</v>
      </c>
      <c r="C237" s="28"/>
      <c r="D237" s="28"/>
      <c r="E237" s="28">
        <v>7.1029529130087796E-2</v>
      </c>
    </row>
    <row r="238" spans="1:5" x14ac:dyDescent="0.35">
      <c r="A238" s="28">
        <v>7.8776041666666699E-2</v>
      </c>
      <c r="C238" s="28"/>
      <c r="D238" s="28"/>
      <c r="E238" s="28">
        <v>5.9772296015180297E-2</v>
      </c>
    </row>
    <row r="239" spans="1:5" x14ac:dyDescent="0.35">
      <c r="A239" s="28">
        <v>6.20821394460363E-2</v>
      </c>
      <c r="C239" s="28"/>
      <c r="D239" s="28"/>
      <c r="E239" s="28">
        <v>8.4745762711864403E-2</v>
      </c>
    </row>
    <row r="240" spans="1:5" x14ac:dyDescent="0.35">
      <c r="A240" s="28">
        <v>0.178459119496855</v>
      </c>
      <c r="C240" s="28"/>
      <c r="D240" s="28"/>
      <c r="E240" s="28">
        <v>2.7586206896551699E-2</v>
      </c>
    </row>
    <row r="241" spans="1:5" x14ac:dyDescent="0.35">
      <c r="A241" s="28">
        <v>9.6018735362997695E-2</v>
      </c>
      <c r="C241" s="28"/>
      <c r="D241" s="28"/>
      <c r="E241" s="28">
        <v>5.3308823529411797E-2</v>
      </c>
    </row>
    <row r="242" spans="1:5" x14ac:dyDescent="0.35">
      <c r="A242" s="28">
        <v>6.3088512241054606E-2</v>
      </c>
      <c r="C242" s="28"/>
      <c r="D242" s="28"/>
      <c r="E242" s="28">
        <v>6.25E-2</v>
      </c>
    </row>
    <row r="243" spans="1:5" x14ac:dyDescent="0.35">
      <c r="A243" s="28">
        <v>7.7630234933605699E-2</v>
      </c>
      <c r="C243" s="28"/>
      <c r="D243" s="28"/>
      <c r="E243" s="28">
        <v>1.1128775834658201E-2</v>
      </c>
    </row>
    <row r="244" spans="1:5" x14ac:dyDescent="0.35">
      <c r="A244" s="28">
        <v>8.6223984142715607E-2</v>
      </c>
      <c r="C244" s="28"/>
      <c r="D244" s="28"/>
      <c r="E244" s="28">
        <v>9.0586145648312605E-2</v>
      </c>
    </row>
    <row r="245" spans="1:5" x14ac:dyDescent="0.35">
      <c r="A245" s="28">
        <v>0.14215418261345</v>
      </c>
      <c r="C245" s="28"/>
      <c r="D245" s="28"/>
      <c r="E245" s="28">
        <v>3.7567084078712003E-2</v>
      </c>
    </row>
    <row r="246" spans="1:5" x14ac:dyDescent="0.35">
      <c r="A246" s="28">
        <v>0.21761658031088099</v>
      </c>
      <c r="C246" s="28"/>
      <c r="D246" s="28"/>
      <c r="E246" s="28">
        <v>5.7040998217468802E-2</v>
      </c>
    </row>
    <row r="247" spans="1:5" x14ac:dyDescent="0.35">
      <c r="A247" s="28">
        <v>0.104532839962997</v>
      </c>
      <c r="C247" s="28"/>
      <c r="D247" s="28"/>
      <c r="E247" s="28">
        <v>6.22710622710623E-2</v>
      </c>
    </row>
    <row r="248" spans="1:5" x14ac:dyDescent="0.35">
      <c r="A248" s="28">
        <v>5.1039697542533097E-2</v>
      </c>
      <c r="C248" s="28"/>
      <c r="D248" s="28"/>
      <c r="E248" s="28">
        <v>6.6115702479338803E-2</v>
      </c>
    </row>
    <row r="249" spans="1:5" x14ac:dyDescent="0.35">
      <c r="A249" s="28">
        <v>4.9118387909319897E-2</v>
      </c>
      <c r="C249" s="28"/>
      <c r="D249" s="28"/>
      <c r="E249" s="28">
        <v>3.3434650455927098E-2</v>
      </c>
    </row>
    <row r="250" spans="1:5" x14ac:dyDescent="0.35">
      <c r="A250" s="28">
        <v>0.186181818181818</v>
      </c>
      <c r="C250" s="28"/>
      <c r="D250" s="28"/>
      <c r="E250" s="28">
        <v>1.54867256637168E-2</v>
      </c>
    </row>
    <row r="251" spans="1:5" x14ac:dyDescent="0.35">
      <c r="A251" s="28">
        <v>9.7802976612331699E-2</v>
      </c>
      <c r="C251" s="28"/>
      <c r="D251" s="28"/>
      <c r="E251" s="28">
        <v>0.16157205240174699</v>
      </c>
    </row>
    <row r="252" spans="1:5" x14ac:dyDescent="0.35">
      <c r="A252" s="28">
        <v>0.136874361593463</v>
      </c>
      <c r="C252" s="28"/>
      <c r="D252" s="28"/>
      <c r="E252" s="28">
        <v>1.953125E-2</v>
      </c>
    </row>
    <row r="253" spans="1:5" x14ac:dyDescent="0.35">
      <c r="A253" s="28">
        <v>6.8788501026694093E-2</v>
      </c>
      <c r="C253" s="28"/>
      <c r="D253" s="28"/>
      <c r="E253" s="28">
        <v>8.4598698481561804E-2</v>
      </c>
    </row>
    <row r="254" spans="1:5" x14ac:dyDescent="0.35">
      <c r="A254" s="28">
        <v>8.6029411764705896E-2</v>
      </c>
      <c r="C254" s="28"/>
      <c r="D254" s="28"/>
      <c r="E254" s="28">
        <v>0.10165484633569701</v>
      </c>
    </row>
    <row r="255" spans="1:5" x14ac:dyDescent="0.35">
      <c r="A255" s="28">
        <v>0.107816711590297</v>
      </c>
      <c r="C255" s="28"/>
      <c r="D255" s="28"/>
      <c r="E255" s="28">
        <v>3.2327586206896602E-2</v>
      </c>
    </row>
    <row r="256" spans="1:5" x14ac:dyDescent="0.35">
      <c r="A256" s="28">
        <v>2.00381679389313E-2</v>
      </c>
      <c r="C256" s="28"/>
      <c r="D256" s="28"/>
      <c r="E256" s="28">
        <v>4.7091412742382301E-2</v>
      </c>
    </row>
    <row r="257" spans="1:5" x14ac:dyDescent="0.35">
      <c r="A257" s="28">
        <v>0.107166337935569</v>
      </c>
      <c r="C257" s="28"/>
      <c r="D257" s="28"/>
      <c r="E257" s="28">
        <v>3.1067961165048501E-2</v>
      </c>
    </row>
    <row r="258" spans="1:5" x14ac:dyDescent="0.35">
      <c r="A258" s="28">
        <v>0.184</v>
      </c>
      <c r="C258" s="28"/>
      <c r="D258" s="28"/>
      <c r="E258" s="28">
        <v>5.7943925233644902E-2</v>
      </c>
    </row>
    <row r="259" spans="1:5" x14ac:dyDescent="0.35">
      <c r="A259" s="28">
        <v>9.7073518915060705E-2</v>
      </c>
      <c r="C259" s="28"/>
      <c r="D259" s="28"/>
      <c r="E259" s="28">
        <v>1.1928429423459201E-2</v>
      </c>
    </row>
    <row r="260" spans="1:5" x14ac:dyDescent="0.35">
      <c r="A260" s="28">
        <v>6.8198665678280201E-2</v>
      </c>
      <c r="C260" s="28"/>
      <c r="D260" s="28"/>
      <c r="E260" s="28">
        <v>9.1903719912472606E-2</v>
      </c>
    </row>
    <row r="261" spans="1:5" x14ac:dyDescent="0.35">
      <c r="A261" s="28">
        <v>0.10985116938341601</v>
      </c>
      <c r="C261" s="28"/>
      <c r="D261" s="28"/>
      <c r="E261" s="28">
        <v>3.470715835141E-2</v>
      </c>
    </row>
    <row r="262" spans="1:5" x14ac:dyDescent="0.35">
      <c r="A262" s="28">
        <v>8.2414016872160906E-2</v>
      </c>
      <c r="C262" s="28"/>
      <c r="D262" s="28"/>
      <c r="E262" s="28">
        <v>2.07373271889401E-2</v>
      </c>
    </row>
    <row r="263" spans="1:5" x14ac:dyDescent="0.35">
      <c r="A263" s="28">
        <v>7.7783995523223307E-2</v>
      </c>
      <c r="C263" s="28"/>
      <c r="D263" s="28"/>
      <c r="E263" s="28">
        <v>2.1978021978022E-3</v>
      </c>
    </row>
    <row r="264" spans="1:5" x14ac:dyDescent="0.35">
      <c r="A264" s="28">
        <v>7.9749804534792801E-2</v>
      </c>
      <c r="C264" s="28"/>
      <c r="D264" s="28"/>
      <c r="E264" s="28">
        <v>1.5235457063711899E-2</v>
      </c>
    </row>
    <row r="265" spans="1:5" x14ac:dyDescent="0.35">
      <c r="A265" s="28">
        <v>0.18897108271688001</v>
      </c>
      <c r="C265" s="28"/>
      <c r="D265" s="28"/>
      <c r="E265" s="28">
        <v>6.7226890756302504E-2</v>
      </c>
    </row>
    <row r="266" spans="1:5" x14ac:dyDescent="0.35">
      <c r="A266" s="28">
        <v>6.4487632508833895E-2</v>
      </c>
      <c r="C266" s="28"/>
      <c r="D266" s="28"/>
      <c r="E266" s="28">
        <v>1.87617260787993E-2</v>
      </c>
    </row>
    <row r="267" spans="1:5" x14ac:dyDescent="0.35">
      <c r="A267" s="28">
        <v>6.6361556064073193E-2</v>
      </c>
      <c r="C267" s="28"/>
      <c r="D267" s="28"/>
      <c r="E267" s="28">
        <v>2.32558139534884E-2</v>
      </c>
    </row>
    <row r="268" spans="1:5" x14ac:dyDescent="0.35">
      <c r="A268" s="28">
        <v>0.11354079058032</v>
      </c>
      <c r="C268" s="28"/>
      <c r="D268" s="28"/>
      <c r="E268" s="28">
        <v>9.3439363817097401E-2</v>
      </c>
    </row>
    <row r="269" spans="1:5" x14ac:dyDescent="0.35">
      <c r="A269" s="28">
        <v>0.107954545454545</v>
      </c>
      <c r="C269" s="28"/>
      <c r="D269" s="28"/>
      <c r="E269" s="28">
        <v>6.3917525773195899E-2</v>
      </c>
    </row>
    <row r="270" spans="1:5" x14ac:dyDescent="0.35">
      <c r="A270" s="28">
        <v>0.15249266862170099</v>
      </c>
      <c r="C270" s="28"/>
      <c r="D270" s="28"/>
      <c r="E270" s="28">
        <v>7.08502024291498E-2</v>
      </c>
    </row>
    <row r="271" spans="1:5" x14ac:dyDescent="0.35">
      <c r="A271" s="28">
        <v>0.122326203208556</v>
      </c>
      <c r="C271" s="28"/>
      <c r="D271" s="28"/>
      <c r="E271" s="28">
        <v>5.3594771241830097E-2</v>
      </c>
    </row>
    <row r="272" spans="1:5" x14ac:dyDescent="0.35">
      <c r="A272" s="28">
        <v>9.2606422703510105E-2</v>
      </c>
      <c r="C272" s="28"/>
      <c r="D272" s="28"/>
      <c r="E272" s="28">
        <v>4.6846846846846903E-2</v>
      </c>
    </row>
    <row r="273" spans="1:5" x14ac:dyDescent="0.35">
      <c r="A273" s="28">
        <v>5.1789794364051803E-2</v>
      </c>
      <c r="C273" s="28"/>
      <c r="D273" s="28"/>
      <c r="E273" s="28">
        <v>4.9403747870528099E-2</v>
      </c>
    </row>
    <row r="274" spans="1:5" x14ac:dyDescent="0.35">
      <c r="A274" s="28">
        <v>5.0524308865586301E-2</v>
      </c>
      <c r="C274" s="28"/>
      <c r="D274" s="28"/>
      <c r="E274" s="28">
        <v>5.2631578947368397E-2</v>
      </c>
    </row>
    <row r="275" spans="1:5" x14ac:dyDescent="0.35">
      <c r="A275" s="28">
        <v>0.114369501466276</v>
      </c>
      <c r="C275" s="28"/>
      <c r="D275" s="28"/>
      <c r="E275" s="28">
        <v>1.81086519114688E-2</v>
      </c>
    </row>
    <row r="276" spans="1:5" x14ac:dyDescent="0.35">
      <c r="A276" s="28">
        <v>8.6670651524207998E-2</v>
      </c>
      <c r="C276" s="28"/>
      <c r="D276" s="28"/>
      <c r="E276" s="28">
        <v>1.1695906432748499E-2</v>
      </c>
    </row>
    <row r="277" spans="1:5" x14ac:dyDescent="0.35">
      <c r="A277" s="28">
        <v>7.29813664596273E-2</v>
      </c>
      <c r="C277" s="28"/>
      <c r="D277" s="28"/>
      <c r="E277" s="28">
        <v>4.7368421052631601E-2</v>
      </c>
    </row>
    <row r="278" spans="1:5" x14ac:dyDescent="0.35">
      <c r="A278" s="28">
        <v>7.8189300411522597E-2</v>
      </c>
      <c r="C278" s="28"/>
      <c r="D278" s="28"/>
      <c r="E278" s="28">
        <v>9.3869731800766298E-2</v>
      </c>
    </row>
    <row r="279" spans="1:5" x14ac:dyDescent="0.35">
      <c r="A279" s="28">
        <v>7.6448828606658498E-2</v>
      </c>
      <c r="C279" s="28"/>
      <c r="D279" s="28"/>
      <c r="E279" s="28">
        <v>2.8862478777589101E-2</v>
      </c>
    </row>
    <row r="280" spans="1:5" x14ac:dyDescent="0.35">
      <c r="A280" s="28">
        <v>3.9192399049881199E-2</v>
      </c>
      <c r="C280" s="28"/>
      <c r="D280" s="28"/>
      <c r="E280" s="28">
        <v>8.2774049217002196E-2</v>
      </c>
    </row>
    <row r="281" spans="1:5" x14ac:dyDescent="0.35">
      <c r="A281" s="28">
        <v>0.12793338380015101</v>
      </c>
      <c r="C281" s="28"/>
      <c r="D281" s="28"/>
      <c r="E281" s="28">
        <v>7.1120689655172403E-2</v>
      </c>
    </row>
    <row r="282" spans="1:5" x14ac:dyDescent="0.35">
      <c r="A282" s="28">
        <v>0.10392609699769099</v>
      </c>
      <c r="C282" s="28"/>
      <c r="D282" s="28"/>
      <c r="E282" s="28">
        <v>0.108882521489971</v>
      </c>
    </row>
    <row r="283" spans="1:5" x14ac:dyDescent="0.35">
      <c r="A283" s="28">
        <v>7.9581993569131801E-2</v>
      </c>
      <c r="C283" s="28"/>
      <c r="D283" s="28"/>
      <c r="E283" s="28">
        <v>7.0175438596491196E-2</v>
      </c>
    </row>
    <row r="284" spans="1:5" x14ac:dyDescent="0.35">
      <c r="A284" s="28">
        <v>8.9082969432314404E-2</v>
      </c>
      <c r="C284" s="28"/>
      <c r="D284" s="28"/>
      <c r="E284" s="28">
        <v>9.1588785046729002E-2</v>
      </c>
    </row>
    <row r="285" spans="1:5" x14ac:dyDescent="0.35">
      <c r="A285" s="28">
        <v>5.9459459459459497E-2</v>
      </c>
      <c r="C285" s="28"/>
      <c r="D285" s="28"/>
      <c r="E285" s="28">
        <v>3.3482142857142898E-2</v>
      </c>
    </row>
    <row r="286" spans="1:5" x14ac:dyDescent="0.35">
      <c r="A286" s="28">
        <v>0.15156249999999999</v>
      </c>
      <c r="C286" s="28"/>
      <c r="D286" s="28"/>
      <c r="E286" s="28">
        <v>7.5581395348837205E-2</v>
      </c>
    </row>
    <row r="287" spans="1:5" x14ac:dyDescent="0.35">
      <c r="A287" s="28">
        <v>8.9993706733794795E-2</v>
      </c>
      <c r="C287" s="28"/>
      <c r="D287" s="28"/>
      <c r="E287" s="28">
        <v>4.0404040404040401E-2</v>
      </c>
    </row>
    <row r="288" spans="1:5" x14ac:dyDescent="0.35">
      <c r="A288" s="28">
        <v>5.9821428571428602E-2</v>
      </c>
      <c r="C288" s="28"/>
      <c r="D288" s="28"/>
      <c r="E288" s="28">
        <v>3.9697542533081297E-2</v>
      </c>
    </row>
    <row r="289" spans="1:5" x14ac:dyDescent="0.35">
      <c r="A289" s="28">
        <v>8.9273356401384105E-2</v>
      </c>
      <c r="C289" s="28"/>
      <c r="D289" s="28"/>
      <c r="E289" s="28">
        <v>0.100877192982456</v>
      </c>
    </row>
    <row r="290" spans="1:5" x14ac:dyDescent="0.35">
      <c r="A290" s="28">
        <v>4.8755186721991702E-2</v>
      </c>
      <c r="C290" s="28"/>
      <c r="D290" s="28"/>
      <c r="E290" s="28">
        <v>4.1420118343195297E-2</v>
      </c>
    </row>
    <row r="291" spans="1:5" x14ac:dyDescent="0.35">
      <c r="A291" s="28">
        <v>6.0792951541850201E-2</v>
      </c>
      <c r="C291" s="28"/>
      <c r="D291" s="28"/>
      <c r="E291" s="28">
        <v>9.3203883495145606E-2</v>
      </c>
    </row>
    <row r="292" spans="1:5" x14ac:dyDescent="0.35">
      <c r="A292" s="28">
        <v>6.2030075187969901E-2</v>
      </c>
      <c r="C292" s="28"/>
      <c r="D292" s="28"/>
      <c r="E292" s="28">
        <v>8.9309878213802402E-2</v>
      </c>
    </row>
    <row r="293" spans="1:5" x14ac:dyDescent="0.35">
      <c r="A293" s="28">
        <v>7.5298438934802606E-2</v>
      </c>
      <c r="C293" s="28"/>
      <c r="D293" s="28"/>
      <c r="E293" s="28">
        <v>7.9691516709511606E-2</v>
      </c>
    </row>
    <row r="294" spans="1:5" x14ac:dyDescent="0.35">
      <c r="A294" s="28">
        <v>0.14679385267620601</v>
      </c>
      <c r="C294" s="28"/>
      <c r="D294" s="28"/>
      <c r="E294" s="28">
        <v>3.70994940978078E-2</v>
      </c>
    </row>
    <row r="295" spans="1:5" x14ac:dyDescent="0.35">
      <c r="A295" s="28">
        <v>0.173913043478261</v>
      </c>
      <c r="C295" s="28"/>
      <c r="D295" s="28"/>
      <c r="E295" s="28"/>
    </row>
    <row r="296" spans="1:5" x14ac:dyDescent="0.35">
      <c r="A296" s="28">
        <v>5.1367025683512799E-2</v>
      </c>
      <c r="C296" s="28"/>
      <c r="D296" s="28"/>
      <c r="E296" s="28"/>
    </row>
    <row r="297" spans="1:5" x14ac:dyDescent="0.35">
      <c r="A297" s="28">
        <v>7.6155938349954697E-2</v>
      </c>
      <c r="C297" s="28"/>
      <c r="D297" s="28"/>
      <c r="E297" s="28"/>
    </row>
    <row r="298" spans="1:5" x14ac:dyDescent="0.35">
      <c r="A298" s="28">
        <v>2.5988700564971799E-2</v>
      </c>
      <c r="C298" s="28"/>
      <c r="D298" s="28"/>
      <c r="E298" s="28"/>
    </row>
    <row r="299" spans="1:5" x14ac:dyDescent="0.35">
      <c r="A299" s="28">
        <v>0.15037086985839501</v>
      </c>
      <c r="C299" s="28"/>
      <c r="D299" s="28"/>
      <c r="E299" s="28"/>
    </row>
    <row r="300" spans="1:5" x14ac:dyDescent="0.35">
      <c r="A300" s="28">
        <v>0.16</v>
      </c>
    </row>
    <row r="301" spans="1:5" x14ac:dyDescent="0.35">
      <c r="A301" s="28">
        <v>0.116541353383459</v>
      </c>
    </row>
    <row r="302" spans="1:5" x14ac:dyDescent="0.35">
      <c r="A302" s="28">
        <v>9.41176470588235E-2</v>
      </c>
    </row>
    <row r="303" spans="1:5" x14ac:dyDescent="0.35">
      <c r="A303" s="28">
        <v>4.7233468286099901E-2</v>
      </c>
    </row>
    <row r="304" spans="1:5" x14ac:dyDescent="0.35">
      <c r="A304" s="28">
        <v>3.7414965986394599E-2</v>
      </c>
    </row>
    <row r="305" spans="1:1" x14ac:dyDescent="0.35">
      <c r="A305" s="28">
        <v>2.38379022646007E-2</v>
      </c>
    </row>
    <row r="306" spans="1:1" x14ac:dyDescent="0.35">
      <c r="A306" s="28">
        <v>4.6321525885558601E-2</v>
      </c>
    </row>
    <row r="307" spans="1:1" x14ac:dyDescent="0.35">
      <c r="A307" s="28">
        <v>2.4390243902439001E-2</v>
      </c>
    </row>
    <row r="308" spans="1:1" x14ac:dyDescent="0.35">
      <c r="A308" s="28">
        <v>2.1794871794871801E-2</v>
      </c>
    </row>
    <row r="309" spans="1:1" x14ac:dyDescent="0.35">
      <c r="A309" s="28">
        <v>2.8604118993134999E-2</v>
      </c>
    </row>
    <row r="310" spans="1:1" x14ac:dyDescent="0.35">
      <c r="A310" s="28">
        <v>3.7668161434977601E-2</v>
      </c>
    </row>
    <row r="311" spans="1:1" x14ac:dyDescent="0.35">
      <c r="A311" s="28">
        <v>2.8571428571428598E-2</v>
      </c>
    </row>
    <row r="312" spans="1:1" x14ac:dyDescent="0.35">
      <c r="A312" s="28">
        <v>3.4161490683229802E-2</v>
      </c>
    </row>
    <row r="313" spans="1:1" x14ac:dyDescent="0.35">
      <c r="A313" s="28">
        <v>1.6317016317016299E-2</v>
      </c>
    </row>
    <row r="314" spans="1:1" x14ac:dyDescent="0.35">
      <c r="A314" s="28">
        <v>2.27642276422764E-2</v>
      </c>
    </row>
    <row r="315" spans="1:1" x14ac:dyDescent="0.35">
      <c r="A315" s="28">
        <v>3.7383177570093497E-2</v>
      </c>
    </row>
    <row r="316" spans="1:1" x14ac:dyDescent="0.35">
      <c r="A316" s="28">
        <v>2.58175559380379E-2</v>
      </c>
    </row>
    <row r="317" spans="1:1" x14ac:dyDescent="0.35">
      <c r="A317" s="28">
        <v>2.6485788113695102E-2</v>
      </c>
    </row>
    <row r="318" spans="1:1" x14ac:dyDescent="0.35">
      <c r="A318" s="28">
        <v>3.29171396140749E-2</v>
      </c>
    </row>
    <row r="319" spans="1:1" x14ac:dyDescent="0.35">
      <c r="A319" s="28">
        <v>2.0588235294117699E-2</v>
      </c>
    </row>
    <row r="320" spans="1:1" x14ac:dyDescent="0.35">
      <c r="A320" s="28">
        <v>2.17028380634391E-2</v>
      </c>
    </row>
    <row r="321" spans="1:1" x14ac:dyDescent="0.35">
      <c r="A321" s="28">
        <v>1.52439024390244E-2</v>
      </c>
    </row>
    <row r="322" spans="1:1" x14ac:dyDescent="0.35">
      <c r="A322" s="28">
        <v>3.7614678899082599E-2</v>
      </c>
    </row>
    <row r="323" spans="1:1" x14ac:dyDescent="0.35">
      <c r="A323" s="28">
        <v>1.9436345966958202E-2</v>
      </c>
    </row>
    <row r="324" spans="1:1" x14ac:dyDescent="0.35">
      <c r="A324" s="28">
        <v>3.5472972972972999E-2</v>
      </c>
    </row>
    <row r="325" spans="1:1" x14ac:dyDescent="0.35">
      <c r="A325" s="28">
        <v>3.4416826003824098E-2</v>
      </c>
    </row>
    <row r="326" spans="1:1" x14ac:dyDescent="0.35">
      <c r="A326" s="28">
        <v>4.7159699892818902E-2</v>
      </c>
    </row>
    <row r="327" spans="1:1" x14ac:dyDescent="0.35">
      <c r="A327" s="28">
        <v>7.4344023323615199E-2</v>
      </c>
    </row>
    <row r="328" spans="1:1" x14ac:dyDescent="0.35">
      <c r="A328" s="28">
        <v>0.124390243902439</v>
      </c>
    </row>
    <row r="329" spans="1:1" x14ac:dyDescent="0.35">
      <c r="A329" s="28">
        <v>0.107573149741824</v>
      </c>
    </row>
    <row r="330" spans="1:1" x14ac:dyDescent="0.35">
      <c r="A330" s="28">
        <v>5.9264816204051003E-2</v>
      </c>
    </row>
    <row r="331" spans="1:1" x14ac:dyDescent="0.35">
      <c r="A331" s="28">
        <v>9.5513748191027495E-2</v>
      </c>
    </row>
    <row r="332" spans="1:1" x14ac:dyDescent="0.35">
      <c r="A332" s="28">
        <v>0.119393556538219</v>
      </c>
    </row>
    <row r="333" spans="1:1" x14ac:dyDescent="0.35">
      <c r="A333" s="28">
        <v>8.7765957446808499E-2</v>
      </c>
    </row>
    <row r="334" spans="1:1" x14ac:dyDescent="0.35">
      <c r="A334" s="28">
        <v>0.12473867595818799</v>
      </c>
    </row>
    <row r="335" spans="1:1" x14ac:dyDescent="0.35">
      <c r="A335" s="28">
        <v>5.41624874623872E-2</v>
      </c>
    </row>
    <row r="336" spans="1:1" x14ac:dyDescent="0.35">
      <c r="A336" s="28">
        <v>6.14334470989761E-2</v>
      </c>
    </row>
    <row r="337" spans="1:1" x14ac:dyDescent="0.35">
      <c r="A337" s="28">
        <v>9.4480823199251704E-2</v>
      </c>
    </row>
    <row r="338" spans="1:1" x14ac:dyDescent="0.35">
      <c r="A338" s="28">
        <v>8.5125448028673806E-2</v>
      </c>
    </row>
    <row r="339" spans="1:1" x14ac:dyDescent="0.35">
      <c r="A339" s="28">
        <v>0.133161953727506</v>
      </c>
    </row>
    <row r="340" spans="1:1" x14ac:dyDescent="0.35">
      <c r="A340" s="28">
        <v>0.109090909090909</v>
      </c>
    </row>
    <row r="341" spans="1:1" x14ac:dyDescent="0.35">
      <c r="A341" s="28">
        <v>0.1</v>
      </c>
    </row>
    <row r="342" spans="1:1" x14ac:dyDescent="0.35">
      <c r="A342" s="28">
        <v>5.68475452196383E-2</v>
      </c>
    </row>
    <row r="343" spans="1:1" x14ac:dyDescent="0.35">
      <c r="A343" s="28">
        <v>3.7199124726476997E-2</v>
      </c>
    </row>
    <row r="344" spans="1:1" x14ac:dyDescent="0.35">
      <c r="A344" s="28">
        <v>0.155526141628061</v>
      </c>
    </row>
    <row r="345" spans="1:1" x14ac:dyDescent="0.35">
      <c r="A345" s="28">
        <v>0.11677852348993301</v>
      </c>
    </row>
    <row r="346" spans="1:1" x14ac:dyDescent="0.35">
      <c r="A346" s="28">
        <v>0.11332728921124199</v>
      </c>
    </row>
    <row r="347" spans="1:1" x14ac:dyDescent="0.35">
      <c r="A347" s="28">
        <v>8.7488240827845704E-2</v>
      </c>
    </row>
    <row r="348" spans="1:1" x14ac:dyDescent="0.35">
      <c r="A348" s="28">
        <v>9.4910591471801906E-2</v>
      </c>
    </row>
    <row r="349" spans="1:1" x14ac:dyDescent="0.35">
      <c r="A349" s="28">
        <v>7.2756669361358106E-2</v>
      </c>
    </row>
    <row r="350" spans="1:1" x14ac:dyDescent="0.35">
      <c r="A350" s="28">
        <v>7.4171029668411895E-2</v>
      </c>
    </row>
    <row r="351" spans="1:1" x14ac:dyDescent="0.35">
      <c r="A351" s="28">
        <v>0.123446561723281</v>
      </c>
    </row>
    <row r="352" spans="1:1" x14ac:dyDescent="0.35">
      <c r="A352" s="28">
        <v>0.106221547799697</v>
      </c>
    </row>
    <row r="353" spans="1:1" x14ac:dyDescent="0.35">
      <c r="A353" s="28">
        <v>8.9523809523809506E-2</v>
      </c>
    </row>
    <row r="354" spans="1:1" x14ac:dyDescent="0.35">
      <c r="A354" s="28">
        <v>8.0258302583025798E-2</v>
      </c>
    </row>
    <row r="355" spans="1:1" x14ac:dyDescent="0.35">
      <c r="A355" s="28">
        <v>0.154074074074074</v>
      </c>
    </row>
    <row r="356" spans="1:1" x14ac:dyDescent="0.35">
      <c r="A356" s="28">
        <v>3.6458333333333301E-2</v>
      </c>
    </row>
    <row r="357" spans="1:1" x14ac:dyDescent="0.35">
      <c r="A357" s="28">
        <v>6.6427289048474003E-2</v>
      </c>
    </row>
    <row r="358" spans="1:1" x14ac:dyDescent="0.35">
      <c r="A358" s="28">
        <v>0.121852970795569</v>
      </c>
    </row>
    <row r="359" spans="1:1" x14ac:dyDescent="0.35">
      <c r="A359" s="28">
        <v>8.6547507055503306E-2</v>
      </c>
    </row>
    <row r="360" spans="1:1" x14ac:dyDescent="0.35">
      <c r="A360" s="28">
        <v>0.12050078247261301</v>
      </c>
    </row>
    <row r="361" spans="1:1" x14ac:dyDescent="0.35">
      <c r="A361" s="28">
        <v>0.12567049808429101</v>
      </c>
    </row>
    <row r="362" spans="1:1" x14ac:dyDescent="0.35">
      <c r="A362" s="28">
        <v>8.6730268863833504E-2</v>
      </c>
    </row>
    <row r="363" spans="1:1" x14ac:dyDescent="0.35">
      <c r="A363" s="28">
        <v>6.0688405797101497E-2</v>
      </c>
    </row>
    <row r="364" spans="1:1" x14ac:dyDescent="0.35">
      <c r="A364" s="28">
        <v>5.6872037914692003E-2</v>
      </c>
    </row>
    <row r="365" spans="1:1" x14ac:dyDescent="0.35">
      <c r="A365" s="28">
        <v>0.10747051114023599</v>
      </c>
    </row>
    <row r="366" spans="1:1" x14ac:dyDescent="0.35">
      <c r="A366" s="28">
        <v>0.11821974965229499</v>
      </c>
    </row>
    <row r="367" spans="1:1" x14ac:dyDescent="0.35">
      <c r="A367" s="28">
        <v>9.5327102803738295E-2</v>
      </c>
    </row>
    <row r="368" spans="1:1" x14ac:dyDescent="0.35">
      <c r="A368" s="28">
        <v>0.120162932790224</v>
      </c>
    </row>
    <row r="369" spans="1:1" x14ac:dyDescent="0.35">
      <c r="A369" s="28">
        <v>4.7748976807639801E-2</v>
      </c>
    </row>
    <row r="370" spans="1:1" x14ac:dyDescent="0.35">
      <c r="A370" s="28">
        <v>0.12094395280236001</v>
      </c>
    </row>
    <row r="371" spans="1:1" x14ac:dyDescent="0.35">
      <c r="A371" s="28">
        <v>6.7510548523206801E-2</v>
      </c>
    </row>
    <row r="372" spans="1:1" x14ac:dyDescent="0.35">
      <c r="A372" s="28">
        <v>5.3970701619121098E-2</v>
      </c>
    </row>
    <row r="373" spans="1:1" x14ac:dyDescent="0.35">
      <c r="A373" s="28">
        <v>6.3481675392670203E-2</v>
      </c>
    </row>
    <row r="374" spans="1:1" x14ac:dyDescent="0.35">
      <c r="A374" s="28">
        <v>6.5088757396449703E-2</v>
      </c>
    </row>
    <row r="375" spans="1:1" x14ac:dyDescent="0.35">
      <c r="A375" s="28">
        <v>0.11052233156699499</v>
      </c>
    </row>
    <row r="376" spans="1:1" x14ac:dyDescent="0.35">
      <c r="A376" s="28">
        <v>3.5509736540664402E-2</v>
      </c>
    </row>
    <row r="377" spans="1:1" x14ac:dyDescent="0.35">
      <c r="A377" s="28">
        <v>4.3767840152235997E-2</v>
      </c>
    </row>
    <row r="378" spans="1:1" x14ac:dyDescent="0.35">
      <c r="A378" s="28">
        <v>7.7976817702845105E-2</v>
      </c>
    </row>
    <row r="379" spans="1:1" x14ac:dyDescent="0.35">
      <c r="A379" s="28">
        <v>5.3465346534653499E-2</v>
      </c>
    </row>
    <row r="380" spans="1:1" x14ac:dyDescent="0.35">
      <c r="A380" s="28">
        <v>0.11732753938077101</v>
      </c>
    </row>
    <row r="381" spans="1:1" x14ac:dyDescent="0.35">
      <c r="A381" s="28">
        <v>9.1053048297703901E-2</v>
      </c>
    </row>
    <row r="382" spans="1:1" x14ac:dyDescent="0.35">
      <c r="A382" s="28">
        <v>6.7033976124885195E-2</v>
      </c>
    </row>
    <row r="383" spans="1:1" x14ac:dyDescent="0.35">
      <c r="A383" s="28">
        <v>2.3696682464454999E-2</v>
      </c>
    </row>
    <row r="384" spans="1:1" x14ac:dyDescent="0.35">
      <c r="A384" s="28">
        <v>3.3548387096774199E-2</v>
      </c>
    </row>
    <row r="385" spans="1:1" x14ac:dyDescent="0.35">
      <c r="A385" s="28">
        <v>0.105044920525225</v>
      </c>
    </row>
    <row r="386" spans="1:1" x14ac:dyDescent="0.35">
      <c r="A386" s="28">
        <v>7.2842998585572902E-2</v>
      </c>
    </row>
    <row r="387" spans="1:1" x14ac:dyDescent="0.35">
      <c r="A387" s="28">
        <v>5.1556420233462998E-2</v>
      </c>
    </row>
    <row r="388" spans="1:1" x14ac:dyDescent="0.35">
      <c r="A388" s="28">
        <v>3.8065843621399198E-2</v>
      </c>
    </row>
    <row r="389" spans="1:1" x14ac:dyDescent="0.35">
      <c r="A389" s="28">
        <v>5.9384164222873903E-2</v>
      </c>
    </row>
    <row r="390" spans="1:1" x14ac:dyDescent="0.35">
      <c r="A390" s="28">
        <v>4.4682752457551399E-2</v>
      </c>
    </row>
    <row r="391" spans="1:1" x14ac:dyDescent="0.35">
      <c r="A391" s="28">
        <v>0.107142857142857</v>
      </c>
    </row>
    <row r="392" spans="1:1" x14ac:dyDescent="0.35">
      <c r="A392" s="28">
        <v>7.4490513000702696E-2</v>
      </c>
    </row>
    <row r="393" spans="1:1" x14ac:dyDescent="0.35">
      <c r="A393" s="28">
        <v>0.11691259931895601</v>
      </c>
    </row>
    <row r="394" spans="1:1" x14ac:dyDescent="0.35">
      <c r="A394" s="28">
        <v>0.111922141119221</v>
      </c>
    </row>
    <row r="395" spans="1:1" x14ac:dyDescent="0.35">
      <c r="A395" s="28">
        <v>4.5278137128072403E-2</v>
      </c>
    </row>
    <row r="396" spans="1:1" x14ac:dyDescent="0.35">
      <c r="A396" s="28">
        <v>5.7022175290390699E-2</v>
      </c>
    </row>
    <row r="397" spans="1:1" x14ac:dyDescent="0.35">
      <c r="A397" s="28">
        <v>4.9830124575311399E-2</v>
      </c>
    </row>
    <row r="398" spans="1:1" x14ac:dyDescent="0.35">
      <c r="A398" s="28">
        <v>5.9080962800875297E-2</v>
      </c>
    </row>
    <row r="399" spans="1:1" x14ac:dyDescent="0.35">
      <c r="A399" s="28">
        <v>0.131563762261973</v>
      </c>
    </row>
    <row r="400" spans="1:1" x14ac:dyDescent="0.35">
      <c r="A400" s="28">
        <v>9.1063829787234096E-2</v>
      </c>
    </row>
    <row r="401" spans="1:1" x14ac:dyDescent="0.35">
      <c r="A401" s="28">
        <v>6.8136272545090207E-2</v>
      </c>
    </row>
    <row r="402" spans="1:1" x14ac:dyDescent="0.35">
      <c r="A402" s="28">
        <v>6.6088840736728105E-2</v>
      </c>
    </row>
    <row r="403" spans="1:1" x14ac:dyDescent="0.35">
      <c r="A403" s="28">
        <v>6.9802731411229099E-2</v>
      </c>
    </row>
    <row r="404" spans="1:1" x14ac:dyDescent="0.35">
      <c r="A404" s="28">
        <v>0.130925507900677</v>
      </c>
    </row>
    <row r="405" spans="1:1" x14ac:dyDescent="0.35">
      <c r="A405" s="28">
        <v>0.11977935382190701</v>
      </c>
    </row>
    <row r="406" spans="1:1" x14ac:dyDescent="0.35">
      <c r="A406" s="28">
        <v>0.10549943883277201</v>
      </c>
    </row>
    <row r="407" spans="1:1" x14ac:dyDescent="0.35">
      <c r="A407" s="28">
        <v>4.2237442922374399E-2</v>
      </c>
    </row>
    <row r="408" spans="1:1" x14ac:dyDescent="0.35">
      <c r="A408" s="28">
        <v>6.4719810576164202E-2</v>
      </c>
    </row>
    <row r="409" spans="1:1" x14ac:dyDescent="0.35">
      <c r="A409" s="28">
        <v>4.4910179640718598E-2</v>
      </c>
    </row>
    <row r="410" spans="1:1" x14ac:dyDescent="0.35">
      <c r="A410" s="28">
        <v>6.3665594855305499E-2</v>
      </c>
    </row>
    <row r="411" spans="1:1" x14ac:dyDescent="0.35">
      <c r="A411" s="28">
        <v>5.41825095057034E-2</v>
      </c>
    </row>
    <row r="412" spans="1:1" x14ac:dyDescent="0.35">
      <c r="A412" s="28">
        <v>0.103244837758112</v>
      </c>
    </row>
    <row r="413" spans="1:1" x14ac:dyDescent="0.35">
      <c r="A413" s="28">
        <v>6.0227272727272699E-2</v>
      </c>
    </row>
    <row r="414" spans="1:1" x14ac:dyDescent="0.35">
      <c r="A414" s="28">
        <v>8.3734359961501401E-2</v>
      </c>
    </row>
    <row r="415" spans="1:1" x14ac:dyDescent="0.35">
      <c r="A415" s="28">
        <v>8.0082135523613998E-2</v>
      </c>
    </row>
    <row r="416" spans="1:1" x14ac:dyDescent="0.35">
      <c r="A416" s="28">
        <v>5.2986512524084803E-2</v>
      </c>
    </row>
    <row r="417" spans="1:1" x14ac:dyDescent="0.35">
      <c r="A417" s="28">
        <v>0.10195456946645499</v>
      </c>
    </row>
    <row r="418" spans="1:1" x14ac:dyDescent="0.35">
      <c r="A418" s="28">
        <v>0.104395604395604</v>
      </c>
    </row>
    <row r="419" spans="1:1" x14ac:dyDescent="0.35">
      <c r="A419" s="28">
        <v>5.6787932564330103E-2</v>
      </c>
    </row>
    <row r="420" spans="1:1" x14ac:dyDescent="0.35">
      <c r="A420" s="28">
        <v>2.02391904323827E-2</v>
      </c>
    </row>
    <row r="421" spans="1:1" x14ac:dyDescent="0.35">
      <c r="A421" s="28">
        <v>2.0910209102091001E-2</v>
      </c>
    </row>
    <row r="422" spans="1:1" x14ac:dyDescent="0.35">
      <c r="A422" s="28">
        <v>6.8241469816273007E-2</v>
      </c>
    </row>
    <row r="423" spans="1:1" x14ac:dyDescent="0.35">
      <c r="A423" s="28">
        <v>5.6010928961748599E-2</v>
      </c>
    </row>
    <row r="424" spans="1:1" x14ac:dyDescent="0.35">
      <c r="A424" s="28">
        <v>6.8334937439846005E-2</v>
      </c>
    </row>
    <row r="425" spans="1:1" x14ac:dyDescent="0.35">
      <c r="A425" s="28">
        <v>4.8484848484848499E-2</v>
      </c>
    </row>
    <row r="426" spans="1:1" x14ac:dyDescent="0.35">
      <c r="A426" s="28">
        <v>6.0431654676259002E-2</v>
      </c>
    </row>
    <row r="427" spans="1:1" x14ac:dyDescent="0.35">
      <c r="A427" s="28">
        <v>6.6180935033394103E-2</v>
      </c>
    </row>
    <row r="428" spans="1:1" x14ac:dyDescent="0.35">
      <c r="A428" s="28">
        <v>4.1272570937231301E-2</v>
      </c>
    </row>
    <row r="429" spans="1:1" x14ac:dyDescent="0.35">
      <c r="A429" s="28">
        <v>8.4124830393487102E-2</v>
      </c>
    </row>
    <row r="430" spans="1:1" x14ac:dyDescent="0.35">
      <c r="A430" s="28">
        <v>2.9850746268656699E-2</v>
      </c>
    </row>
    <row r="431" spans="1:1" x14ac:dyDescent="0.35">
      <c r="A431" s="28">
        <v>5.0470487596236097E-2</v>
      </c>
    </row>
    <row r="432" spans="1:1" x14ac:dyDescent="0.35">
      <c r="A432" s="28">
        <v>4.6237533998186801E-2</v>
      </c>
    </row>
    <row r="433" spans="1:1" x14ac:dyDescent="0.35">
      <c r="A433" s="28">
        <v>5.2863436123347998E-2</v>
      </c>
    </row>
    <row r="434" spans="1:1" x14ac:dyDescent="0.35">
      <c r="A434" s="28">
        <v>0.100050276520865</v>
      </c>
    </row>
    <row r="435" spans="1:1" x14ac:dyDescent="0.35">
      <c r="A435" s="28">
        <v>0.107116654438738</v>
      </c>
    </row>
    <row r="436" spans="1:1" x14ac:dyDescent="0.35">
      <c r="A436" s="28">
        <v>4.7811993517017801E-2</v>
      </c>
    </row>
    <row r="437" spans="1:1" x14ac:dyDescent="0.35">
      <c r="A437" s="28">
        <v>9.0990990990991005E-2</v>
      </c>
    </row>
    <row r="438" spans="1:1" x14ac:dyDescent="0.35">
      <c r="A438" s="28">
        <v>2.1929824561403501E-2</v>
      </c>
    </row>
    <row r="439" spans="1:1" x14ac:dyDescent="0.35">
      <c r="A439" s="28">
        <v>0.10613810741688</v>
      </c>
    </row>
    <row r="440" spans="1:1" x14ac:dyDescent="0.35">
      <c r="A440" s="28">
        <v>0.13969571230982</v>
      </c>
    </row>
    <row r="441" spans="1:1" x14ac:dyDescent="0.35">
      <c r="A441" s="28">
        <v>0.111926605504587</v>
      </c>
    </row>
    <row r="442" spans="1:1" x14ac:dyDescent="0.35">
      <c r="A442" s="28">
        <v>9.4049904030710202E-2</v>
      </c>
    </row>
    <row r="443" spans="1:1" x14ac:dyDescent="0.35">
      <c r="A443" s="28">
        <v>4.0951122853368598E-2</v>
      </c>
    </row>
    <row r="444" spans="1:1" x14ac:dyDescent="0.35">
      <c r="A444" s="28">
        <v>5.7595392368610498E-2</v>
      </c>
    </row>
    <row r="445" spans="1:1" x14ac:dyDescent="0.35">
      <c r="A445" s="28">
        <v>9.62787950383934E-2</v>
      </c>
    </row>
    <row r="446" spans="1:1" x14ac:dyDescent="0.35">
      <c r="A446" s="28">
        <v>3.77207062600321E-2</v>
      </c>
    </row>
    <row r="447" spans="1:1" x14ac:dyDescent="0.35">
      <c r="A447" s="28">
        <v>4.9435028248587601E-2</v>
      </c>
    </row>
    <row r="448" spans="1:1" x14ac:dyDescent="0.35">
      <c r="A448" s="28">
        <v>7.4581430745814303E-2</v>
      </c>
    </row>
    <row r="449" spans="1:1" x14ac:dyDescent="0.35">
      <c r="A449" s="28">
        <v>6.9168506254598999E-2</v>
      </c>
    </row>
    <row r="450" spans="1:1" x14ac:dyDescent="0.35">
      <c r="A450" s="28">
        <v>9.2451987494417201E-2</v>
      </c>
    </row>
    <row r="451" spans="1:1" x14ac:dyDescent="0.35">
      <c r="A451" s="28">
        <v>6.7673716012084606E-2</v>
      </c>
    </row>
    <row r="452" spans="1:1" x14ac:dyDescent="0.35">
      <c r="A452" s="28">
        <v>7.9331941544885196E-2</v>
      </c>
    </row>
    <row r="453" spans="1:1" x14ac:dyDescent="0.35">
      <c r="A453" s="28">
        <v>5.60747663551402E-2</v>
      </c>
    </row>
    <row r="454" spans="1:1" x14ac:dyDescent="0.35">
      <c r="A454" s="28">
        <v>2.5862068965517199E-2</v>
      </c>
    </row>
    <row r="455" spans="1:1" x14ac:dyDescent="0.35">
      <c r="A455" s="28">
        <v>7.4594594594594596E-2</v>
      </c>
    </row>
    <row r="456" spans="1:1" x14ac:dyDescent="0.35">
      <c r="A456" s="28">
        <v>5.2457205963556103E-2</v>
      </c>
    </row>
    <row r="457" spans="1:1" x14ac:dyDescent="0.35">
      <c r="A457" s="28">
        <v>5.8315334773218097E-2</v>
      </c>
    </row>
    <row r="458" spans="1:1" x14ac:dyDescent="0.35">
      <c r="A458" s="28">
        <v>7.5384615384615397E-2</v>
      </c>
    </row>
    <row r="459" spans="1:1" x14ac:dyDescent="0.35">
      <c r="A459" s="28">
        <v>8.7781731909845798E-2</v>
      </c>
    </row>
    <row r="460" spans="1:1" x14ac:dyDescent="0.35">
      <c r="A460" s="28">
        <v>0.123393316195373</v>
      </c>
    </row>
    <row r="461" spans="1:1" x14ac:dyDescent="0.35">
      <c r="A461" s="28">
        <v>6.7047075606276804E-2</v>
      </c>
    </row>
    <row r="462" spans="1:1" x14ac:dyDescent="0.35">
      <c r="A462" s="28">
        <v>8.03673938002296E-2</v>
      </c>
    </row>
    <row r="463" spans="1:1" x14ac:dyDescent="0.35">
      <c r="A463" s="28">
        <v>9.8859315589353597E-2</v>
      </c>
    </row>
    <row r="464" spans="1:1" x14ac:dyDescent="0.35">
      <c r="A464" s="28">
        <v>0.125154894671623</v>
      </c>
    </row>
    <row r="465" spans="1:1" x14ac:dyDescent="0.35">
      <c r="A465" s="28">
        <v>0.109748978400467</v>
      </c>
    </row>
    <row r="466" spans="1:1" x14ac:dyDescent="0.35">
      <c r="A466" s="28">
        <v>8.5257548845470696E-2</v>
      </c>
    </row>
    <row r="467" spans="1:1" x14ac:dyDescent="0.35">
      <c r="A467" s="28">
        <v>7.4786324786324798E-2</v>
      </c>
    </row>
    <row r="468" spans="1:1" x14ac:dyDescent="0.35">
      <c r="A468" s="28">
        <v>4.0540540540540501E-2</v>
      </c>
    </row>
    <row r="469" spans="1:1" x14ac:dyDescent="0.35">
      <c r="A469" s="28">
        <v>7.3211314475873604E-2</v>
      </c>
    </row>
    <row r="470" spans="1:1" x14ac:dyDescent="0.35">
      <c r="A470" s="28">
        <v>8.9056603773584903E-2</v>
      </c>
    </row>
    <row r="471" spans="1:1" x14ac:dyDescent="0.35">
      <c r="A471" s="28">
        <v>8.1875993640699501E-2</v>
      </c>
    </row>
    <row r="472" spans="1:1" x14ac:dyDescent="0.35">
      <c r="A472" s="28">
        <v>7.6833527357392295E-2</v>
      </c>
    </row>
    <row r="473" spans="1:1" x14ac:dyDescent="0.35">
      <c r="A473" s="28">
        <v>7.8381795195954507E-2</v>
      </c>
    </row>
    <row r="474" spans="1:1" x14ac:dyDescent="0.35">
      <c r="A474" s="28">
        <v>4.6266233766233802E-2</v>
      </c>
    </row>
    <row r="475" spans="1:1" x14ac:dyDescent="0.35">
      <c r="A475" s="28">
        <v>6.7732831608654703E-2</v>
      </c>
    </row>
    <row r="476" spans="1:1" x14ac:dyDescent="0.35">
      <c r="A476" s="28">
        <v>7.8797725426482501E-2</v>
      </c>
    </row>
    <row r="477" spans="1:1" x14ac:dyDescent="0.35">
      <c r="A477" s="28">
        <v>0.112688553682343</v>
      </c>
    </row>
    <row r="478" spans="1:1" x14ac:dyDescent="0.35">
      <c r="A478" s="28">
        <v>9.0985678180286397E-2</v>
      </c>
    </row>
    <row r="479" spans="1:1" x14ac:dyDescent="0.35">
      <c r="A479" s="28">
        <v>0.185492227979275</v>
      </c>
    </row>
    <row r="480" spans="1:1" x14ac:dyDescent="0.35">
      <c r="A480" s="28">
        <v>0.14113475177304999</v>
      </c>
    </row>
    <row r="481" spans="1:1" x14ac:dyDescent="0.35">
      <c r="A481" s="28">
        <v>0.10996015936255001</v>
      </c>
    </row>
    <row r="482" spans="1:1" x14ac:dyDescent="0.35">
      <c r="A482" s="28">
        <v>5.8111380145278398E-2</v>
      </c>
    </row>
    <row r="483" spans="1:1" x14ac:dyDescent="0.35">
      <c r="A483" s="28">
        <v>0.100213219616205</v>
      </c>
    </row>
    <row r="484" spans="1:1" x14ac:dyDescent="0.35">
      <c r="A484" s="28">
        <v>0.13032736256948699</v>
      </c>
    </row>
    <row r="485" spans="1:1" x14ac:dyDescent="0.35">
      <c r="A485" s="28">
        <v>0.107731305449937</v>
      </c>
    </row>
    <row r="486" spans="1:1" x14ac:dyDescent="0.35">
      <c r="A486" s="28">
        <v>8.7893864013267001E-2</v>
      </c>
    </row>
    <row r="487" spans="1:1" x14ac:dyDescent="0.35">
      <c r="A487" s="28">
        <v>7.8260869565217397E-2</v>
      </c>
    </row>
    <row r="488" spans="1:1" x14ac:dyDescent="0.35">
      <c r="A488" s="28">
        <v>8.6195722618276099E-2</v>
      </c>
    </row>
    <row r="489" spans="1:1" x14ac:dyDescent="0.35">
      <c r="A489" s="28">
        <v>8.8193456614509197E-2</v>
      </c>
    </row>
    <row r="490" spans="1:1" x14ac:dyDescent="0.35">
      <c r="A490" s="28">
        <v>4.85584218512898E-2</v>
      </c>
    </row>
    <row r="491" spans="1:1" x14ac:dyDescent="0.35">
      <c r="A491" s="28">
        <v>7.3313782991202295E-2</v>
      </c>
    </row>
    <row r="492" spans="1:1" x14ac:dyDescent="0.35">
      <c r="A492" s="28">
        <v>8.2862523540489702E-2</v>
      </c>
    </row>
    <row r="493" spans="1:1" x14ac:dyDescent="0.35">
      <c r="A493" s="28">
        <v>8.2815734989648004E-2</v>
      </c>
    </row>
    <row r="494" spans="1:1" x14ac:dyDescent="0.35">
      <c r="A494" s="28">
        <v>0.115591397849462</v>
      </c>
    </row>
    <row r="495" spans="1:1" x14ac:dyDescent="0.35">
      <c r="A495" s="28">
        <v>4.6153846153846198E-2</v>
      </c>
    </row>
    <row r="496" spans="1:1" x14ac:dyDescent="0.35">
      <c r="A496" s="28">
        <v>5.1569506726457402E-2</v>
      </c>
    </row>
    <row r="497" spans="1:1" x14ac:dyDescent="0.35">
      <c r="A497" s="28">
        <v>5.5833333333333297E-2</v>
      </c>
    </row>
    <row r="498" spans="1:1" x14ac:dyDescent="0.35">
      <c r="A498" s="28">
        <v>3.4031413612565398E-2</v>
      </c>
    </row>
    <row r="499" spans="1:1" x14ac:dyDescent="0.35">
      <c r="A499" s="28">
        <v>5.4929577464788701E-2</v>
      </c>
    </row>
    <row r="500" spans="1:1" x14ac:dyDescent="0.35">
      <c r="A500" s="28">
        <v>4.6367851622874802E-2</v>
      </c>
    </row>
    <row r="501" spans="1:1" x14ac:dyDescent="0.35">
      <c r="A501" s="28">
        <v>7.3288331726133096E-2</v>
      </c>
    </row>
    <row r="502" spans="1:1" x14ac:dyDescent="0.35">
      <c r="A502" s="28">
        <v>6.1224489795918401E-2</v>
      </c>
    </row>
    <row r="503" spans="1:1" x14ac:dyDescent="0.35">
      <c r="A503" s="28">
        <v>7.8088578088578095E-2</v>
      </c>
    </row>
    <row r="504" spans="1:1" x14ac:dyDescent="0.35">
      <c r="A504" s="28">
        <v>0.115116279069767</v>
      </c>
    </row>
    <row r="505" spans="1:1" x14ac:dyDescent="0.35">
      <c r="A505" s="28">
        <v>9.5490716180371402E-2</v>
      </c>
    </row>
    <row r="506" spans="1:1" x14ac:dyDescent="0.35">
      <c r="A506" s="28">
        <v>0.102370689655172</v>
      </c>
    </row>
    <row r="507" spans="1:1" x14ac:dyDescent="0.35">
      <c r="A507" s="28">
        <v>6.0879368658399102E-2</v>
      </c>
    </row>
    <row r="508" spans="1:1" x14ac:dyDescent="0.35">
      <c r="A508" s="28">
        <v>4.41640378548896E-2</v>
      </c>
    </row>
    <row r="509" spans="1:1" x14ac:dyDescent="0.35">
      <c r="A509" s="28">
        <v>6.8814055636896104E-2</v>
      </c>
    </row>
    <row r="510" spans="1:1" x14ac:dyDescent="0.35">
      <c r="A510" s="28">
        <v>5.1908396946564898E-2</v>
      </c>
    </row>
    <row r="511" spans="1:1" x14ac:dyDescent="0.35">
      <c r="A511" s="28">
        <v>5.9617547806524201E-2</v>
      </c>
    </row>
    <row r="512" spans="1:1" x14ac:dyDescent="0.35">
      <c r="A512" s="28">
        <v>6.0975609756097601E-2</v>
      </c>
    </row>
    <row r="513" spans="1:1" x14ac:dyDescent="0.35">
      <c r="A513" s="28">
        <v>5.57801131770412E-2</v>
      </c>
    </row>
    <row r="514" spans="1:1" x14ac:dyDescent="0.35">
      <c r="A514" s="28">
        <v>0.15</v>
      </c>
    </row>
    <row r="515" spans="1:1" x14ac:dyDescent="0.35">
      <c r="A515" s="28">
        <v>7.9625292740046802E-2</v>
      </c>
    </row>
    <row r="516" spans="1:1" x14ac:dyDescent="0.35">
      <c r="A516" s="28">
        <v>6.1020036429872498E-2</v>
      </c>
    </row>
    <row r="517" spans="1:1" x14ac:dyDescent="0.35">
      <c r="A517" s="28">
        <v>0.12841854934601701</v>
      </c>
    </row>
    <row r="518" spans="1:1" x14ac:dyDescent="0.35">
      <c r="A518" s="28">
        <v>9.8859315589353597E-2</v>
      </c>
    </row>
    <row r="519" spans="1:1" x14ac:dyDescent="0.35">
      <c r="A519" s="28">
        <v>5.1878354203935599E-2</v>
      </c>
    </row>
    <row r="520" spans="1:1" x14ac:dyDescent="0.35">
      <c r="A520" s="28">
        <v>6.6153846153846202E-2</v>
      </c>
    </row>
    <row r="521" spans="1:1" x14ac:dyDescent="0.35">
      <c r="A521" s="28">
        <v>6.2754686226568906E-2</v>
      </c>
    </row>
    <row r="522" spans="1:1" x14ac:dyDescent="0.35">
      <c r="A522" s="28">
        <v>6.24235006119951E-2</v>
      </c>
    </row>
    <row r="523" spans="1:1" x14ac:dyDescent="0.35">
      <c r="A523" s="28">
        <v>0.132290184921764</v>
      </c>
    </row>
    <row r="524" spans="1:1" x14ac:dyDescent="0.35">
      <c r="A524" s="28">
        <v>3.4424853064651602E-2</v>
      </c>
    </row>
    <row r="525" spans="1:1" x14ac:dyDescent="0.35">
      <c r="A525" s="28">
        <v>0.11472501478415099</v>
      </c>
    </row>
    <row r="526" spans="1:1" x14ac:dyDescent="0.35">
      <c r="A526" s="28">
        <v>7.1999999999999995E-2</v>
      </c>
    </row>
    <row r="527" spans="1:1" x14ac:dyDescent="0.35">
      <c r="A527" s="28">
        <v>9.87791342952275E-2</v>
      </c>
    </row>
    <row r="528" spans="1:1" x14ac:dyDescent="0.35">
      <c r="A528" s="28">
        <v>7.3286052009456301E-2</v>
      </c>
    </row>
    <row r="529" spans="1:1" x14ac:dyDescent="0.35">
      <c r="A529" s="28">
        <v>4.6589018302828598E-2</v>
      </c>
    </row>
    <row r="530" spans="1:1" x14ac:dyDescent="0.35">
      <c r="A530" s="28">
        <v>7.3739653875094097E-2</v>
      </c>
    </row>
    <row r="531" spans="1:1" x14ac:dyDescent="0.35">
      <c r="A531" s="28">
        <v>7.5999999999999998E-2</v>
      </c>
    </row>
    <row r="532" spans="1:1" x14ac:dyDescent="0.35">
      <c r="A532" s="28">
        <v>6.5650644783118398E-2</v>
      </c>
    </row>
    <row r="533" spans="1:1" x14ac:dyDescent="0.35">
      <c r="A533" s="28">
        <v>8.56031128404669E-2</v>
      </c>
    </row>
    <row r="534" spans="1:1" x14ac:dyDescent="0.35">
      <c r="A534" s="28">
        <v>2.6612903225806499E-2</v>
      </c>
    </row>
    <row r="535" spans="1:1" x14ac:dyDescent="0.35">
      <c r="A535" s="28">
        <v>0.18098818474758299</v>
      </c>
    </row>
    <row r="536" spans="1:1" x14ac:dyDescent="0.35">
      <c r="A536" s="28">
        <v>8.4792122538293199E-2</v>
      </c>
    </row>
    <row r="537" spans="1:1" x14ac:dyDescent="0.35">
      <c r="A537" s="28">
        <v>5.2019922523519703E-2</v>
      </c>
    </row>
    <row r="538" spans="1:1" x14ac:dyDescent="0.35">
      <c r="A538" s="28">
        <v>5.0518134715025899E-2</v>
      </c>
    </row>
    <row r="539" spans="1:1" x14ac:dyDescent="0.35">
      <c r="A539" s="28">
        <v>0.132958801498127</v>
      </c>
    </row>
    <row r="540" spans="1:1" x14ac:dyDescent="0.35">
      <c r="A540" s="28">
        <v>0.15172413793103401</v>
      </c>
    </row>
    <row r="541" spans="1:1" x14ac:dyDescent="0.35">
      <c r="A541" s="28">
        <v>9.62536023054755E-2</v>
      </c>
    </row>
    <row r="542" spans="1:1" x14ac:dyDescent="0.35">
      <c r="A542" s="28">
        <v>7.9646017699115099E-2</v>
      </c>
    </row>
    <row r="543" spans="1:1" x14ac:dyDescent="0.35">
      <c r="A543" s="28">
        <v>7.2408897302413594E-2</v>
      </c>
    </row>
    <row r="544" spans="1:1" x14ac:dyDescent="0.35">
      <c r="A544" s="28">
        <v>9.0301003344481601E-2</v>
      </c>
    </row>
    <row r="545" spans="1:1" x14ac:dyDescent="0.35">
      <c r="A545" s="28">
        <v>4.98281786941581E-2</v>
      </c>
    </row>
    <row r="546" spans="1:1" x14ac:dyDescent="0.35">
      <c r="A546" s="28">
        <v>5.1282051282051301E-2</v>
      </c>
    </row>
    <row r="547" spans="1:1" x14ac:dyDescent="0.35">
      <c r="A547" s="28">
        <v>0.15221707478491101</v>
      </c>
    </row>
    <row r="548" spans="1:1" x14ac:dyDescent="0.35">
      <c r="A548" s="28">
        <v>0.118678354686446</v>
      </c>
    </row>
    <row r="549" spans="1:1" x14ac:dyDescent="0.35">
      <c r="A549" s="28">
        <v>0.140858208955224</v>
      </c>
    </row>
    <row r="550" spans="1:1" x14ac:dyDescent="0.35">
      <c r="A550" s="28">
        <v>8.5849056603773594E-2</v>
      </c>
    </row>
    <row r="551" spans="1:1" x14ac:dyDescent="0.35">
      <c r="A551" s="28">
        <v>6.7967698519515493E-2</v>
      </c>
    </row>
    <row r="552" spans="1:1" x14ac:dyDescent="0.35">
      <c r="A552" s="28">
        <v>9.94535519125683E-2</v>
      </c>
    </row>
    <row r="553" spans="1:1" x14ac:dyDescent="0.35">
      <c r="A553" s="28">
        <v>5.3623188405797099E-2</v>
      </c>
    </row>
    <row r="554" spans="1:1" x14ac:dyDescent="0.35">
      <c r="A554" s="28">
        <v>9.0064331665475297E-2</v>
      </c>
    </row>
    <row r="555" spans="1:1" x14ac:dyDescent="0.35">
      <c r="A555" s="28">
        <v>4.2630057803468201E-2</v>
      </c>
    </row>
    <row r="556" spans="1:1" x14ac:dyDescent="0.35">
      <c r="A556" s="28">
        <v>8.6299892125134905E-2</v>
      </c>
    </row>
    <row r="557" spans="1:1" x14ac:dyDescent="0.35">
      <c r="A557" s="28">
        <v>8.2175925925925902E-2</v>
      </c>
    </row>
    <row r="558" spans="1:1" x14ac:dyDescent="0.35">
      <c r="A558" s="28">
        <v>5.70547417116423E-2</v>
      </c>
    </row>
    <row r="559" spans="1:1" x14ac:dyDescent="0.35">
      <c r="A559" s="28">
        <v>2.70700636942675E-2</v>
      </c>
    </row>
    <row r="560" spans="1:1" x14ac:dyDescent="0.35">
      <c r="A560" s="28">
        <v>6.1029411764705901E-2</v>
      </c>
    </row>
    <row r="561" spans="1:1" x14ac:dyDescent="0.35">
      <c r="A561" s="28">
        <v>9.6696212731667994E-2</v>
      </c>
    </row>
    <row r="562" spans="1:1" x14ac:dyDescent="0.35">
      <c r="A562" s="28">
        <v>6.8129330254041595E-2</v>
      </c>
    </row>
    <row r="563" spans="1:1" x14ac:dyDescent="0.35">
      <c r="A563" s="28">
        <v>6.7584480600750896E-2</v>
      </c>
    </row>
    <row r="564" spans="1:1" x14ac:dyDescent="0.35">
      <c r="A564" s="28">
        <v>1.9778481012658201E-2</v>
      </c>
    </row>
    <row r="565" spans="1:1" x14ac:dyDescent="0.35">
      <c r="A565" s="28">
        <v>5.4347826086956499E-2</v>
      </c>
    </row>
    <row r="566" spans="1:1" x14ac:dyDescent="0.35">
      <c r="A566" s="28">
        <v>4.5410628019323697E-2</v>
      </c>
    </row>
    <row r="567" spans="1:1" x14ac:dyDescent="0.35">
      <c r="A567" s="28">
        <v>4.1935483870967703E-2</v>
      </c>
    </row>
    <row r="568" spans="1:1" x14ac:dyDescent="0.35">
      <c r="A568" s="28">
        <v>4.7445255474452601E-2</v>
      </c>
    </row>
    <row r="569" spans="1:1" x14ac:dyDescent="0.35">
      <c r="A569" s="28">
        <v>3.3776867963152497E-2</v>
      </c>
    </row>
    <row r="570" spans="1:1" x14ac:dyDescent="0.35">
      <c r="A570" s="28">
        <v>0.119714115544967</v>
      </c>
    </row>
    <row r="571" spans="1:1" x14ac:dyDescent="0.35">
      <c r="A571" s="28">
        <v>0.17493897477624101</v>
      </c>
    </row>
    <row r="572" spans="1:1" x14ac:dyDescent="0.35">
      <c r="A572" s="28">
        <v>5.2954719877206402E-2</v>
      </c>
    </row>
    <row r="573" spans="1:1" x14ac:dyDescent="0.35">
      <c r="A573" s="28">
        <v>0.105134474327628</v>
      </c>
    </row>
    <row r="574" spans="1:1" x14ac:dyDescent="0.35">
      <c r="A574" s="28">
        <v>0.106417546709992</v>
      </c>
    </row>
    <row r="575" spans="1:1" x14ac:dyDescent="0.35">
      <c r="A575" s="28">
        <v>7.5896580483736403E-2</v>
      </c>
    </row>
    <row r="576" spans="1:1" x14ac:dyDescent="0.35">
      <c r="A576" s="28">
        <v>2.7380952380952402E-2</v>
      </c>
    </row>
    <row r="577" spans="1:1" x14ac:dyDescent="0.35">
      <c r="A577" s="28">
        <v>5.8240396530359402E-2</v>
      </c>
    </row>
    <row r="578" spans="1:1" x14ac:dyDescent="0.35">
      <c r="A578" s="28">
        <v>6.2602965403624394E-2</v>
      </c>
    </row>
    <row r="579" spans="1:1" x14ac:dyDescent="0.35">
      <c r="A579" s="28">
        <v>3.0456852791878201E-2</v>
      </c>
    </row>
  </sheetData>
  <mergeCells count="20">
    <mergeCell ref="A17:E17"/>
    <mergeCell ref="I17:M17"/>
    <mergeCell ref="A4:D4"/>
    <mergeCell ref="G4:J4"/>
    <mergeCell ref="M4:P4"/>
    <mergeCell ref="A11:D11"/>
    <mergeCell ref="G11:J11"/>
    <mergeCell ref="M11:P11"/>
    <mergeCell ref="BJ1:BP1"/>
    <mergeCell ref="V2:AB2"/>
    <mergeCell ref="AD2:AJ2"/>
    <mergeCell ref="AL2:AR2"/>
    <mergeCell ref="AT2:AZ2"/>
    <mergeCell ref="BB2:BH2"/>
    <mergeCell ref="BJ2:BP2"/>
    <mergeCell ref="V1:AB1"/>
    <mergeCell ref="AD1:AJ1"/>
    <mergeCell ref="AL1:AR1"/>
    <mergeCell ref="AT1:AZ1"/>
    <mergeCell ref="BB1:BH1"/>
  </mergeCells>
  <pageMargins left="0.78749999999999998" right="0.78749999999999998" top="1.0249999999999999" bottom="1.0249999999999999" header="0.78749999999999998" footer="0.78749999999999998"/>
  <pageSetup firstPageNumber="0" orientation="portrait" horizontalDpi="1200" verticalDpi="1200" r:id="rId1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28"/>
  <sheetViews>
    <sheetView zoomScale="120" zoomScaleNormal="120" workbookViewId="0">
      <selection activeCell="L2" sqref="L2"/>
    </sheetView>
  </sheetViews>
  <sheetFormatPr defaultRowHeight="12.75" x14ac:dyDescent="0.35"/>
  <sheetData>
    <row r="1" spans="1:33" ht="13.15" x14ac:dyDescent="0.4">
      <c r="B1" s="39" t="s">
        <v>1</v>
      </c>
      <c r="C1" s="39"/>
      <c r="F1" s="40" t="s">
        <v>9</v>
      </c>
      <c r="G1" s="40"/>
      <c r="H1" s="40"/>
      <c r="I1" s="40"/>
      <c r="L1" s="41" t="s">
        <v>10</v>
      </c>
      <c r="M1" s="41"/>
      <c r="N1" s="41"/>
      <c r="O1" s="41"/>
      <c r="R1" s="42" t="s">
        <v>336</v>
      </c>
      <c r="S1" s="42"/>
      <c r="T1" s="42"/>
      <c r="U1" s="42"/>
      <c r="V1" s="42"/>
      <c r="W1" s="42"/>
      <c r="Y1" s="39" t="s">
        <v>1</v>
      </c>
      <c r="Z1" s="39"/>
      <c r="AC1" s="40" t="s">
        <v>9</v>
      </c>
      <c r="AD1" s="40"/>
      <c r="AF1" s="41" t="s">
        <v>10</v>
      </c>
      <c r="AG1" s="41"/>
    </row>
    <row r="2" spans="1:33" ht="13.15" x14ac:dyDescent="0.4">
      <c r="A2" t="s">
        <v>15</v>
      </c>
      <c r="B2" t="s">
        <v>337</v>
      </c>
      <c r="C2" t="s">
        <v>15</v>
      </c>
      <c r="D2" t="s">
        <v>338</v>
      </c>
      <c r="F2" t="s">
        <v>15</v>
      </c>
      <c r="G2" t="s">
        <v>339</v>
      </c>
      <c r="H2" t="s">
        <v>15</v>
      </c>
      <c r="I2" t="s">
        <v>11</v>
      </c>
      <c r="L2" t="s">
        <v>15</v>
      </c>
      <c r="M2" t="s">
        <v>340</v>
      </c>
      <c r="N2" t="s">
        <v>15</v>
      </c>
      <c r="O2" t="s">
        <v>338</v>
      </c>
      <c r="R2" t="s">
        <v>15</v>
      </c>
      <c r="S2" s="11" t="s">
        <v>1</v>
      </c>
      <c r="T2" t="s">
        <v>15</v>
      </c>
      <c r="U2" s="12" t="s">
        <v>9</v>
      </c>
      <c r="V2" t="s">
        <v>15</v>
      </c>
      <c r="W2" s="13" t="s">
        <v>10</v>
      </c>
      <c r="Y2" t="s">
        <v>15</v>
      </c>
      <c r="Z2" t="s">
        <v>341</v>
      </c>
      <c r="AC2" t="s">
        <v>15</v>
      </c>
      <c r="AD2" t="s">
        <v>341</v>
      </c>
      <c r="AF2" t="s">
        <v>15</v>
      </c>
      <c r="AG2" t="s">
        <v>341</v>
      </c>
    </row>
    <row r="3" spans="1:33" x14ac:dyDescent="0.35">
      <c r="A3" t="s">
        <v>23</v>
      </c>
      <c r="B3">
        <v>3.59</v>
      </c>
      <c r="C3" t="s">
        <v>23</v>
      </c>
      <c r="D3">
        <v>3.35</v>
      </c>
      <c r="F3" t="s">
        <v>24</v>
      </c>
      <c r="G3">
        <v>4.8899999999999997</v>
      </c>
      <c r="H3" t="s">
        <v>24</v>
      </c>
      <c r="I3">
        <v>4.9000000000000004</v>
      </c>
      <c r="L3" t="s">
        <v>25</v>
      </c>
      <c r="M3">
        <v>0.55000000000000004</v>
      </c>
      <c r="N3" t="s">
        <v>25</v>
      </c>
      <c r="O3">
        <v>5.2999999999999999E-2</v>
      </c>
      <c r="R3" t="s">
        <v>33</v>
      </c>
      <c r="S3">
        <v>19.79</v>
      </c>
      <c r="T3" t="s">
        <v>37</v>
      </c>
      <c r="U3">
        <v>11.08</v>
      </c>
      <c r="V3" t="s">
        <v>41</v>
      </c>
      <c r="W3">
        <v>16.87</v>
      </c>
      <c r="Y3" t="s">
        <v>342</v>
      </c>
      <c r="Z3">
        <v>401</v>
      </c>
      <c r="AC3" t="s">
        <v>343</v>
      </c>
      <c r="AD3">
        <v>188.25</v>
      </c>
      <c r="AF3" t="s">
        <v>344</v>
      </c>
      <c r="AG3">
        <v>194.3</v>
      </c>
    </row>
    <row r="4" spans="1:33" x14ac:dyDescent="0.35">
      <c r="A4" t="s">
        <v>33</v>
      </c>
      <c r="B4">
        <v>1.44</v>
      </c>
      <c r="C4" t="s">
        <v>33</v>
      </c>
      <c r="D4">
        <v>1.1000000000000001</v>
      </c>
      <c r="F4" t="s">
        <v>34</v>
      </c>
      <c r="G4">
        <v>1.28</v>
      </c>
      <c r="H4" t="s">
        <v>34</v>
      </c>
      <c r="I4">
        <v>1.24</v>
      </c>
      <c r="L4" t="s">
        <v>35</v>
      </c>
      <c r="M4">
        <v>0.46</v>
      </c>
      <c r="N4" t="s">
        <v>35</v>
      </c>
      <c r="O4">
        <v>0.23599999999999999</v>
      </c>
      <c r="R4" t="s">
        <v>59</v>
      </c>
      <c r="S4">
        <v>12.37</v>
      </c>
      <c r="T4" t="s">
        <v>40</v>
      </c>
      <c r="U4">
        <v>40.46</v>
      </c>
      <c r="V4" t="s">
        <v>44</v>
      </c>
      <c r="W4">
        <v>9.43</v>
      </c>
      <c r="Y4" t="s">
        <v>345</v>
      </c>
      <c r="Z4">
        <v>196.16</v>
      </c>
      <c r="AC4" t="s">
        <v>346</v>
      </c>
      <c r="AD4">
        <v>286.82</v>
      </c>
      <c r="AF4" t="s">
        <v>347</v>
      </c>
      <c r="AG4">
        <v>253.7</v>
      </c>
    </row>
    <row r="5" spans="1:33" x14ac:dyDescent="0.35">
      <c r="A5" t="s">
        <v>36</v>
      </c>
      <c r="B5">
        <v>1.34</v>
      </c>
      <c r="C5" t="s">
        <v>36</v>
      </c>
      <c r="D5">
        <v>0.95</v>
      </c>
      <c r="F5" t="s">
        <v>37</v>
      </c>
      <c r="G5">
        <v>1.03</v>
      </c>
      <c r="H5" t="s">
        <v>37</v>
      </c>
      <c r="I5">
        <v>0.84</v>
      </c>
      <c r="L5" t="s">
        <v>38</v>
      </c>
      <c r="M5">
        <v>0.31</v>
      </c>
      <c r="N5" t="s">
        <v>38</v>
      </c>
      <c r="O5">
        <v>0.1</v>
      </c>
      <c r="R5" t="s">
        <v>62</v>
      </c>
      <c r="S5">
        <v>47.8</v>
      </c>
      <c r="T5" t="s">
        <v>49</v>
      </c>
      <c r="U5">
        <v>39.96</v>
      </c>
      <c r="V5" t="s">
        <v>56</v>
      </c>
      <c r="W5">
        <v>22.73</v>
      </c>
      <c r="Y5" t="s">
        <v>348</v>
      </c>
      <c r="Z5">
        <v>499.97</v>
      </c>
      <c r="AC5" t="s">
        <v>349</v>
      </c>
      <c r="AD5">
        <v>326.92</v>
      </c>
      <c r="AF5" t="s">
        <v>350</v>
      </c>
      <c r="AG5">
        <v>164.97</v>
      </c>
    </row>
    <row r="6" spans="1:33" x14ac:dyDescent="0.35">
      <c r="A6" t="s">
        <v>39</v>
      </c>
      <c r="B6">
        <v>2.06</v>
      </c>
      <c r="C6" t="s">
        <v>39</v>
      </c>
      <c r="D6">
        <v>0.56000000000000005</v>
      </c>
      <c r="F6" t="s">
        <v>40</v>
      </c>
      <c r="G6">
        <v>0.65</v>
      </c>
      <c r="H6" t="s">
        <v>40</v>
      </c>
      <c r="I6">
        <v>0.28999999999999998</v>
      </c>
      <c r="L6" t="s">
        <v>41</v>
      </c>
      <c r="M6">
        <v>0.92</v>
      </c>
      <c r="N6" t="s">
        <v>41</v>
      </c>
      <c r="O6">
        <v>0.74</v>
      </c>
      <c r="R6" t="s">
        <v>77</v>
      </c>
      <c r="S6">
        <v>14.57</v>
      </c>
      <c r="T6" t="s">
        <v>57</v>
      </c>
      <c r="U6">
        <v>11.43</v>
      </c>
      <c r="V6" t="s">
        <v>73</v>
      </c>
      <c r="W6">
        <v>21.16</v>
      </c>
      <c r="Y6" t="s">
        <v>351</v>
      </c>
      <c r="Z6">
        <v>285.2</v>
      </c>
      <c r="AC6" t="s">
        <v>352</v>
      </c>
      <c r="AD6">
        <v>418</v>
      </c>
      <c r="AF6" t="s">
        <v>353</v>
      </c>
      <c r="AG6">
        <v>156.9</v>
      </c>
    </row>
    <row r="7" spans="1:33" x14ac:dyDescent="0.35">
      <c r="A7" t="s">
        <v>45</v>
      </c>
      <c r="B7">
        <v>2.2999999999999998</v>
      </c>
      <c r="C7" t="s">
        <v>45</v>
      </c>
      <c r="D7">
        <v>1.7</v>
      </c>
      <c r="F7" t="s">
        <v>43</v>
      </c>
      <c r="G7">
        <v>0.43</v>
      </c>
      <c r="H7" t="s">
        <v>43</v>
      </c>
      <c r="I7">
        <v>0.154</v>
      </c>
      <c r="L7" t="s">
        <v>44</v>
      </c>
      <c r="M7">
        <v>0.39</v>
      </c>
      <c r="N7" t="s">
        <v>44</v>
      </c>
      <c r="O7">
        <v>0.17899999999999999</v>
      </c>
      <c r="R7" t="s">
        <v>81</v>
      </c>
      <c r="S7">
        <v>13.25</v>
      </c>
      <c r="T7" t="s">
        <v>63</v>
      </c>
      <c r="U7">
        <v>62.64</v>
      </c>
      <c r="V7" t="s">
        <v>76</v>
      </c>
      <c r="W7">
        <v>7.88</v>
      </c>
      <c r="Y7" t="s">
        <v>354</v>
      </c>
      <c r="Z7">
        <v>824</v>
      </c>
      <c r="AC7" t="s">
        <v>355</v>
      </c>
      <c r="AD7">
        <v>350.37</v>
      </c>
      <c r="AF7" t="s">
        <v>356</v>
      </c>
      <c r="AG7">
        <v>213.35</v>
      </c>
    </row>
    <row r="8" spans="1:33" x14ac:dyDescent="0.35">
      <c r="A8" t="s">
        <v>48</v>
      </c>
      <c r="B8">
        <v>1.23</v>
      </c>
      <c r="C8" t="s">
        <v>48</v>
      </c>
      <c r="D8">
        <v>0.82</v>
      </c>
      <c r="F8" t="s">
        <v>46</v>
      </c>
      <c r="G8">
        <v>0.61</v>
      </c>
      <c r="H8" t="s">
        <v>46</v>
      </c>
      <c r="I8">
        <v>0.44</v>
      </c>
      <c r="L8" t="s">
        <v>47</v>
      </c>
      <c r="M8">
        <v>1.0900000000000001</v>
      </c>
      <c r="N8" t="s">
        <v>47</v>
      </c>
      <c r="O8">
        <v>0.71499999999999997</v>
      </c>
      <c r="R8" t="s">
        <v>83</v>
      </c>
      <c r="S8">
        <v>28.49</v>
      </c>
      <c r="T8" t="s">
        <v>72</v>
      </c>
      <c r="U8">
        <v>29.2</v>
      </c>
      <c r="V8" t="s">
        <v>357</v>
      </c>
      <c r="W8">
        <v>4.8600000000000003</v>
      </c>
      <c r="Y8" t="s">
        <v>358</v>
      </c>
      <c r="Z8">
        <v>344.35</v>
      </c>
      <c r="AC8" t="s">
        <v>359</v>
      </c>
      <c r="AD8">
        <v>196.47</v>
      </c>
      <c r="AF8" t="s">
        <v>360</v>
      </c>
      <c r="AG8">
        <v>263.77</v>
      </c>
    </row>
    <row r="9" spans="1:33" x14ac:dyDescent="0.35">
      <c r="A9" t="s">
        <v>51</v>
      </c>
      <c r="B9">
        <v>1.07</v>
      </c>
      <c r="C9" t="s">
        <v>51</v>
      </c>
      <c r="D9">
        <v>0.73</v>
      </c>
      <c r="F9" t="s">
        <v>49</v>
      </c>
      <c r="G9">
        <v>1.62</v>
      </c>
      <c r="H9" t="s">
        <v>49</v>
      </c>
      <c r="I9">
        <v>1.58</v>
      </c>
      <c r="L9" t="s">
        <v>50</v>
      </c>
      <c r="M9">
        <v>0.93</v>
      </c>
      <c r="N9" t="s">
        <v>50</v>
      </c>
      <c r="O9">
        <v>0.49</v>
      </c>
      <c r="R9" t="s">
        <v>85</v>
      </c>
      <c r="S9">
        <v>50.57</v>
      </c>
      <c r="T9" t="s">
        <v>80</v>
      </c>
      <c r="U9">
        <v>27.38</v>
      </c>
      <c r="V9" t="s">
        <v>361</v>
      </c>
      <c r="W9" s="8">
        <v>15.98</v>
      </c>
      <c r="Y9" t="s">
        <v>362</v>
      </c>
      <c r="Z9">
        <v>415.17</v>
      </c>
      <c r="AC9" t="s">
        <v>363</v>
      </c>
      <c r="AD9">
        <v>282.35000000000002</v>
      </c>
      <c r="AF9" t="s">
        <v>364</v>
      </c>
      <c r="AG9">
        <v>242.7</v>
      </c>
    </row>
    <row r="10" spans="1:33" ht="13.15" x14ac:dyDescent="0.4">
      <c r="A10" t="s">
        <v>54</v>
      </c>
      <c r="B10">
        <v>1.68</v>
      </c>
      <c r="C10" t="s">
        <v>54</v>
      </c>
      <c r="D10">
        <v>1.51</v>
      </c>
      <c r="F10" t="s">
        <v>52</v>
      </c>
      <c r="G10">
        <v>2.08</v>
      </c>
      <c r="H10" t="s">
        <v>52</v>
      </c>
      <c r="I10">
        <v>1.97</v>
      </c>
      <c r="L10" t="s">
        <v>53</v>
      </c>
      <c r="M10">
        <v>1.87</v>
      </c>
      <c r="N10" t="s">
        <v>53</v>
      </c>
      <c r="O10">
        <v>1.5</v>
      </c>
      <c r="R10" t="s">
        <v>90</v>
      </c>
      <c r="S10">
        <v>32.64</v>
      </c>
      <c r="U10" s="1">
        <f>AVERAGE(U3:U9)</f>
        <v>31.735714285714284</v>
      </c>
      <c r="V10" t="s">
        <v>365</v>
      </c>
      <c r="W10" s="8">
        <v>37.22</v>
      </c>
      <c r="Y10" t="s">
        <v>366</v>
      </c>
      <c r="Z10">
        <v>907.8</v>
      </c>
      <c r="AC10" t="s">
        <v>367</v>
      </c>
      <c r="AD10">
        <v>228.82</v>
      </c>
      <c r="AF10" t="s">
        <v>368</v>
      </c>
      <c r="AG10">
        <v>185.35</v>
      </c>
    </row>
    <row r="11" spans="1:33" ht="13.15" x14ac:dyDescent="0.4">
      <c r="A11" t="s">
        <v>59</v>
      </c>
      <c r="B11">
        <v>0.59</v>
      </c>
      <c r="C11" t="s">
        <v>59</v>
      </c>
      <c r="D11">
        <v>0.22</v>
      </c>
      <c r="F11" t="s">
        <v>55</v>
      </c>
      <c r="G11">
        <v>1.6</v>
      </c>
      <c r="H11" t="s">
        <v>55</v>
      </c>
      <c r="I11">
        <v>1.6</v>
      </c>
      <c r="L11" t="s">
        <v>56</v>
      </c>
      <c r="M11">
        <v>1.06</v>
      </c>
      <c r="N11" t="s">
        <v>56</v>
      </c>
      <c r="O11">
        <v>0.73</v>
      </c>
      <c r="R11" t="s">
        <v>96</v>
      </c>
      <c r="S11" s="8">
        <v>33.15</v>
      </c>
      <c r="U11" s="1">
        <f>STDEV(U3:U9)</f>
        <v>18.088714582249764</v>
      </c>
      <c r="V11" t="s">
        <v>369</v>
      </c>
      <c r="W11">
        <v>15.87</v>
      </c>
      <c r="Y11" t="s">
        <v>370</v>
      </c>
      <c r="Z11">
        <v>672.1</v>
      </c>
      <c r="AC11" t="s">
        <v>371</v>
      </c>
      <c r="AD11">
        <v>285.95</v>
      </c>
      <c r="AF11" t="s">
        <v>372</v>
      </c>
      <c r="AG11">
        <v>107.25</v>
      </c>
    </row>
    <row r="12" spans="1:33" ht="13.15" x14ac:dyDescent="0.4">
      <c r="A12" t="s">
        <v>62</v>
      </c>
      <c r="B12">
        <v>1.44</v>
      </c>
      <c r="C12" t="s">
        <v>62</v>
      </c>
      <c r="D12">
        <v>1.44</v>
      </c>
      <c r="F12" t="s">
        <v>57</v>
      </c>
      <c r="G12">
        <v>0.67</v>
      </c>
      <c r="H12" t="s">
        <v>57</v>
      </c>
      <c r="I12">
        <v>0.53</v>
      </c>
      <c r="L12" t="s">
        <v>58</v>
      </c>
      <c r="M12">
        <v>0.67</v>
      </c>
      <c r="N12" t="s">
        <v>58</v>
      </c>
      <c r="O12">
        <v>0.5</v>
      </c>
      <c r="R12" t="s">
        <v>98</v>
      </c>
      <c r="S12">
        <v>12.18</v>
      </c>
      <c r="U12" s="1">
        <f>U11/SQRT(7)</f>
        <v>6.8368914744943554</v>
      </c>
      <c r="V12" t="s">
        <v>373</v>
      </c>
      <c r="W12">
        <v>11.46</v>
      </c>
      <c r="Y12" t="s">
        <v>374</v>
      </c>
      <c r="Z12">
        <v>301.60000000000002</v>
      </c>
      <c r="AC12" t="s">
        <v>375</v>
      </c>
      <c r="AD12">
        <v>229.65</v>
      </c>
      <c r="AF12" t="s">
        <v>376</v>
      </c>
      <c r="AG12">
        <v>184.47</v>
      </c>
    </row>
    <row r="13" spans="1:33" x14ac:dyDescent="0.35">
      <c r="A13" t="s">
        <v>71</v>
      </c>
      <c r="B13">
        <v>1.42</v>
      </c>
      <c r="C13" t="s">
        <v>71</v>
      </c>
      <c r="D13">
        <v>0.81</v>
      </c>
      <c r="F13" t="s">
        <v>60</v>
      </c>
      <c r="G13" s="9">
        <v>1.78</v>
      </c>
      <c r="H13" t="s">
        <v>60</v>
      </c>
      <c r="I13">
        <v>1.64</v>
      </c>
      <c r="L13" t="s">
        <v>61</v>
      </c>
      <c r="M13">
        <v>0.63</v>
      </c>
      <c r="N13" t="s">
        <v>61</v>
      </c>
      <c r="O13">
        <v>0.38</v>
      </c>
      <c r="R13" t="s">
        <v>99</v>
      </c>
      <c r="S13">
        <v>36.36</v>
      </c>
      <c r="V13" t="s">
        <v>377</v>
      </c>
      <c r="W13">
        <v>25.62</v>
      </c>
      <c r="Y13" t="s">
        <v>378</v>
      </c>
      <c r="Z13">
        <v>498.2</v>
      </c>
      <c r="AC13" t="s">
        <v>379</v>
      </c>
      <c r="AD13">
        <v>297.27</v>
      </c>
      <c r="AF13" t="s">
        <v>380</v>
      </c>
      <c r="AG13">
        <v>195.95</v>
      </c>
    </row>
    <row r="14" spans="1:33" ht="13.15" x14ac:dyDescent="0.4">
      <c r="A14" t="s">
        <v>74</v>
      </c>
      <c r="B14">
        <v>1.38</v>
      </c>
      <c r="C14" t="s">
        <v>74</v>
      </c>
      <c r="D14">
        <v>0.69</v>
      </c>
      <c r="F14" t="s">
        <v>63</v>
      </c>
      <c r="G14">
        <v>1.73</v>
      </c>
      <c r="H14" t="s">
        <v>63</v>
      </c>
      <c r="I14">
        <v>1.72</v>
      </c>
      <c r="L14" t="s">
        <v>64</v>
      </c>
      <c r="M14">
        <v>0.43</v>
      </c>
      <c r="N14" t="s">
        <v>64</v>
      </c>
      <c r="O14">
        <v>0.15</v>
      </c>
      <c r="R14" t="s">
        <v>381</v>
      </c>
      <c r="S14">
        <v>7.88</v>
      </c>
      <c r="W14" s="1">
        <f>AVERAGE(W3:W13)</f>
        <v>17.189090909090911</v>
      </c>
      <c r="Y14" t="s">
        <v>382</v>
      </c>
      <c r="Z14">
        <v>630.29999999999995</v>
      </c>
      <c r="AC14" t="s">
        <v>383</v>
      </c>
      <c r="AD14">
        <v>421.9</v>
      </c>
      <c r="AF14" t="s">
        <v>384</v>
      </c>
      <c r="AG14">
        <v>287.07</v>
      </c>
    </row>
    <row r="15" spans="1:33" ht="13.15" x14ac:dyDescent="0.4">
      <c r="A15" t="s">
        <v>77</v>
      </c>
      <c r="B15">
        <v>0.93</v>
      </c>
      <c r="C15" t="s">
        <v>77</v>
      </c>
      <c r="D15">
        <v>0.84</v>
      </c>
      <c r="F15" t="s">
        <v>72</v>
      </c>
      <c r="G15">
        <v>1.73</v>
      </c>
      <c r="H15" t="s">
        <v>72</v>
      </c>
      <c r="I15">
        <v>1.73</v>
      </c>
      <c r="L15" t="s">
        <v>67</v>
      </c>
      <c r="M15">
        <v>0.43</v>
      </c>
      <c r="N15" t="s">
        <v>67</v>
      </c>
      <c r="O15">
        <v>0.28999999999999998</v>
      </c>
      <c r="R15" t="s">
        <v>112</v>
      </c>
      <c r="S15">
        <v>51.54</v>
      </c>
      <c r="V15" s="1"/>
      <c r="W15" s="1">
        <f>STDEV(W3:W13)</f>
        <v>9.2400362061470869</v>
      </c>
      <c r="Y15" t="s">
        <v>385</v>
      </c>
      <c r="Z15">
        <v>381.8</v>
      </c>
      <c r="AC15" t="s">
        <v>386</v>
      </c>
      <c r="AD15">
        <v>387.25</v>
      </c>
      <c r="AF15" t="s">
        <v>387</v>
      </c>
      <c r="AG15">
        <v>244.67</v>
      </c>
    </row>
    <row r="16" spans="1:33" ht="13.15" x14ac:dyDescent="0.4">
      <c r="A16" t="s">
        <v>79</v>
      </c>
      <c r="B16">
        <v>0.52</v>
      </c>
      <c r="C16" t="s">
        <v>79</v>
      </c>
      <c r="D16">
        <v>0.17</v>
      </c>
      <c r="F16" t="s">
        <v>80</v>
      </c>
      <c r="G16">
        <v>0.77</v>
      </c>
      <c r="H16" t="s">
        <v>80</v>
      </c>
      <c r="I16">
        <v>0.76</v>
      </c>
      <c r="L16" t="s">
        <v>70</v>
      </c>
      <c r="M16">
        <v>1.52</v>
      </c>
      <c r="N16" t="s">
        <v>70</v>
      </c>
      <c r="O16">
        <v>0.92</v>
      </c>
      <c r="R16" t="s">
        <v>114</v>
      </c>
      <c r="S16">
        <v>11.71</v>
      </c>
      <c r="W16" s="1">
        <f>W15/SQRT(11)</f>
        <v>2.785975740462626</v>
      </c>
      <c r="Y16" t="s">
        <v>388</v>
      </c>
      <c r="Z16">
        <v>941</v>
      </c>
      <c r="AC16" t="s">
        <v>389</v>
      </c>
      <c r="AD16">
        <v>339.17</v>
      </c>
      <c r="AF16" t="s">
        <v>390</v>
      </c>
      <c r="AG16">
        <v>191.07</v>
      </c>
    </row>
    <row r="17" spans="1:33" x14ac:dyDescent="0.35">
      <c r="A17" t="s">
        <v>81</v>
      </c>
      <c r="B17">
        <v>1.1399999999999999</v>
      </c>
      <c r="C17" t="s">
        <v>81</v>
      </c>
      <c r="D17">
        <v>0.65</v>
      </c>
      <c r="F17" t="s">
        <v>82</v>
      </c>
      <c r="G17">
        <v>0.9</v>
      </c>
      <c r="H17" t="s">
        <v>82</v>
      </c>
      <c r="I17">
        <v>0.9</v>
      </c>
      <c r="L17" t="s">
        <v>73</v>
      </c>
      <c r="M17" s="8">
        <v>0.81</v>
      </c>
      <c r="N17" t="s">
        <v>73</v>
      </c>
      <c r="O17">
        <v>0.52</v>
      </c>
      <c r="R17" t="s">
        <v>117</v>
      </c>
      <c r="S17">
        <v>40.85</v>
      </c>
      <c r="Y17" t="s">
        <v>391</v>
      </c>
      <c r="Z17">
        <v>717</v>
      </c>
      <c r="AC17" t="s">
        <v>392</v>
      </c>
      <c r="AD17">
        <v>348.2</v>
      </c>
      <c r="AF17" t="s">
        <v>393</v>
      </c>
      <c r="AG17">
        <v>238.47</v>
      </c>
    </row>
    <row r="18" spans="1:33" ht="13.15" x14ac:dyDescent="0.4">
      <c r="A18" t="s">
        <v>83</v>
      </c>
      <c r="B18">
        <v>2.12</v>
      </c>
      <c r="C18" t="s">
        <v>83</v>
      </c>
      <c r="D18">
        <v>0.73</v>
      </c>
      <c r="F18" t="s">
        <v>84</v>
      </c>
      <c r="G18">
        <v>1.26</v>
      </c>
      <c r="H18" t="s">
        <v>84</v>
      </c>
      <c r="I18">
        <v>1.26</v>
      </c>
      <c r="L18" t="s">
        <v>76</v>
      </c>
      <c r="M18">
        <v>0.48</v>
      </c>
      <c r="N18" t="s">
        <v>76</v>
      </c>
      <c r="O18">
        <v>0.2</v>
      </c>
      <c r="S18" s="1">
        <f>AVERAGE(Figure5!S3:S17)</f>
        <v>27.543333333333337</v>
      </c>
      <c r="Y18" t="s">
        <v>394</v>
      </c>
      <c r="Z18">
        <v>474.4</v>
      </c>
      <c r="AC18" t="s">
        <v>395</v>
      </c>
      <c r="AD18">
        <v>513.4</v>
      </c>
      <c r="AF18" t="s">
        <v>396</v>
      </c>
      <c r="AG18">
        <v>117.15</v>
      </c>
    </row>
    <row r="19" spans="1:33" ht="13.15" x14ac:dyDescent="0.4">
      <c r="A19" t="s">
        <v>85</v>
      </c>
      <c r="B19">
        <v>2.2000000000000002</v>
      </c>
      <c r="C19" t="s">
        <v>85</v>
      </c>
      <c r="D19">
        <v>1.96</v>
      </c>
      <c r="F19" t="s">
        <v>397</v>
      </c>
      <c r="G19" s="1">
        <f>AVERAGE(G3:G18)</f>
        <v>1.4393750000000001</v>
      </c>
      <c r="H19" s="19"/>
      <c r="I19" s="1">
        <f>AVERAGE(I3:I18)</f>
        <v>1.3471250000000001</v>
      </c>
      <c r="L19" t="s">
        <v>357</v>
      </c>
      <c r="M19">
        <v>0.54</v>
      </c>
      <c r="N19" t="s">
        <v>357</v>
      </c>
      <c r="O19">
        <v>0.17</v>
      </c>
      <c r="S19" s="1">
        <f>STDEV(S3:S18)</f>
        <v>14.979612663735853</v>
      </c>
      <c r="Y19" t="s">
        <v>398</v>
      </c>
      <c r="Z19">
        <v>147.69999999999999</v>
      </c>
      <c r="AC19" t="s">
        <v>399</v>
      </c>
      <c r="AD19">
        <v>379.25</v>
      </c>
      <c r="AF19" t="s">
        <v>400</v>
      </c>
      <c r="AG19">
        <v>218.32</v>
      </c>
    </row>
    <row r="20" spans="1:33" ht="13.15" x14ac:dyDescent="0.4">
      <c r="A20" t="s">
        <v>86</v>
      </c>
      <c r="B20">
        <v>2.93</v>
      </c>
      <c r="C20" t="s">
        <v>86</v>
      </c>
      <c r="D20">
        <v>2.93</v>
      </c>
      <c r="F20" t="s">
        <v>281</v>
      </c>
      <c r="G20" s="1">
        <f>STDEV(G3:G18)</f>
        <v>1.0502854770648471</v>
      </c>
      <c r="I20" s="1">
        <f>STDEV(I3:I18)</f>
        <v>1.1061339204635217</v>
      </c>
      <c r="L20" t="s">
        <v>361</v>
      </c>
      <c r="M20" s="8">
        <v>0.95</v>
      </c>
      <c r="N20" t="s">
        <v>361</v>
      </c>
      <c r="O20" s="8">
        <v>0.53</v>
      </c>
      <c r="S20" s="1">
        <f>S19/SQRT(16)</f>
        <v>3.7449031659339633</v>
      </c>
      <c r="Y20" t="s">
        <v>401</v>
      </c>
      <c r="Z20">
        <v>399.57</v>
      </c>
      <c r="AC20" t="s">
        <v>402</v>
      </c>
      <c r="AD20">
        <v>307.67</v>
      </c>
      <c r="AF20" t="s">
        <v>403</v>
      </c>
      <c r="AG20">
        <v>102.37</v>
      </c>
    </row>
    <row r="21" spans="1:33" ht="13.15" x14ac:dyDescent="0.4">
      <c r="A21" t="s">
        <v>88</v>
      </c>
      <c r="B21">
        <v>1.71</v>
      </c>
      <c r="C21" t="s">
        <v>88</v>
      </c>
      <c r="D21">
        <v>0.32</v>
      </c>
      <c r="F21" t="s">
        <v>284</v>
      </c>
      <c r="G21" s="1">
        <f>STDEV(G3:G18)/SQRT(16)</f>
        <v>0.26257136926621177</v>
      </c>
      <c r="I21" s="1">
        <f>STDEV(I3:I18)/SQRT(16)</f>
        <v>0.27653348011588041</v>
      </c>
      <c r="L21" t="s">
        <v>365</v>
      </c>
      <c r="M21" s="8">
        <v>1.18</v>
      </c>
      <c r="N21" t="s">
        <v>365</v>
      </c>
      <c r="O21" s="8">
        <v>1.1000000000000001</v>
      </c>
      <c r="Y21" t="s">
        <v>404</v>
      </c>
      <c r="Z21">
        <v>352.75</v>
      </c>
      <c r="AC21" t="s">
        <v>405</v>
      </c>
      <c r="AD21">
        <v>243.75</v>
      </c>
      <c r="AF21" t="s">
        <v>406</v>
      </c>
      <c r="AG21">
        <v>71.17</v>
      </c>
    </row>
    <row r="22" spans="1:33" x14ac:dyDescent="0.35">
      <c r="A22" t="s">
        <v>89</v>
      </c>
      <c r="B22">
        <v>1.52</v>
      </c>
      <c r="C22" t="s">
        <v>89</v>
      </c>
      <c r="D22">
        <v>1.01</v>
      </c>
      <c r="L22" t="s">
        <v>369</v>
      </c>
      <c r="M22" s="8">
        <v>0.8</v>
      </c>
      <c r="N22" t="s">
        <v>369</v>
      </c>
      <c r="O22">
        <v>0.42</v>
      </c>
      <c r="Y22" t="s">
        <v>407</v>
      </c>
      <c r="Z22">
        <v>360.2</v>
      </c>
      <c r="AC22" t="s">
        <v>408</v>
      </c>
      <c r="AD22">
        <v>294.5</v>
      </c>
      <c r="AF22" t="s">
        <v>409</v>
      </c>
      <c r="AG22">
        <v>47.12</v>
      </c>
    </row>
    <row r="23" spans="1:33" ht="13.15" x14ac:dyDescent="0.4">
      <c r="A23" t="s">
        <v>90</v>
      </c>
      <c r="B23">
        <v>2.9</v>
      </c>
      <c r="C23" t="s">
        <v>90</v>
      </c>
      <c r="D23">
        <v>2.9</v>
      </c>
      <c r="I23" s="1"/>
      <c r="L23" t="s">
        <v>410</v>
      </c>
      <c r="M23">
        <v>0.56000000000000005</v>
      </c>
      <c r="N23" t="s">
        <v>410</v>
      </c>
      <c r="O23">
        <v>0.4</v>
      </c>
      <c r="Y23" t="s">
        <v>411</v>
      </c>
      <c r="Z23">
        <v>173.57</v>
      </c>
      <c r="AC23" t="s">
        <v>412</v>
      </c>
      <c r="AD23">
        <v>459.6</v>
      </c>
      <c r="AF23" t="s">
        <v>413</v>
      </c>
      <c r="AG23">
        <v>176.8</v>
      </c>
    </row>
    <row r="24" spans="1:33" ht="13.15" x14ac:dyDescent="0.4">
      <c r="A24" t="s">
        <v>91</v>
      </c>
      <c r="B24">
        <v>1.02</v>
      </c>
      <c r="C24" t="s">
        <v>91</v>
      </c>
      <c r="D24">
        <v>0.72</v>
      </c>
      <c r="I24" s="1"/>
      <c r="L24" t="s">
        <v>373</v>
      </c>
      <c r="M24">
        <v>0.98</v>
      </c>
      <c r="N24" t="s">
        <v>373</v>
      </c>
      <c r="O24">
        <v>0.81</v>
      </c>
      <c r="Y24" t="s">
        <v>414</v>
      </c>
      <c r="Z24">
        <v>836.5</v>
      </c>
      <c r="AC24" t="s">
        <v>415</v>
      </c>
      <c r="AD24">
        <v>353.95</v>
      </c>
      <c r="AF24" t="s">
        <v>416</v>
      </c>
      <c r="AG24">
        <v>146</v>
      </c>
    </row>
    <row r="25" spans="1:33" ht="13.15" x14ac:dyDescent="0.4">
      <c r="A25" t="s">
        <v>92</v>
      </c>
      <c r="B25">
        <v>3.66</v>
      </c>
      <c r="C25" t="s">
        <v>92</v>
      </c>
      <c r="D25">
        <v>3.34</v>
      </c>
      <c r="I25" s="1"/>
      <c r="L25" t="s">
        <v>377</v>
      </c>
      <c r="M25">
        <v>1.75</v>
      </c>
      <c r="N25" t="s">
        <v>377</v>
      </c>
      <c r="O25">
        <v>0.88</v>
      </c>
      <c r="Y25" t="s">
        <v>417</v>
      </c>
      <c r="Z25">
        <v>516.5</v>
      </c>
      <c r="AC25" t="s">
        <v>418</v>
      </c>
      <c r="AD25">
        <v>181.6</v>
      </c>
      <c r="AF25" t="s">
        <v>419</v>
      </c>
      <c r="AG25">
        <v>55.3</v>
      </c>
    </row>
    <row r="26" spans="1:33" ht="13.15" x14ac:dyDescent="0.4">
      <c r="A26" t="s">
        <v>93</v>
      </c>
      <c r="B26">
        <v>2.5</v>
      </c>
      <c r="C26" t="s">
        <v>93</v>
      </c>
      <c r="D26">
        <v>2.1</v>
      </c>
      <c r="F26" s="1"/>
      <c r="G26" s="1"/>
      <c r="L26" t="s">
        <v>420</v>
      </c>
      <c r="M26">
        <v>1.66</v>
      </c>
      <c r="N26" t="s">
        <v>420</v>
      </c>
      <c r="O26">
        <v>1.47</v>
      </c>
      <c r="Y26" t="s">
        <v>421</v>
      </c>
      <c r="Z26">
        <v>466.02</v>
      </c>
      <c r="AC26" t="s">
        <v>422</v>
      </c>
      <c r="AD26">
        <v>243.17</v>
      </c>
      <c r="AF26" t="s">
        <v>423</v>
      </c>
      <c r="AG26">
        <v>76.62</v>
      </c>
    </row>
    <row r="27" spans="1:33" x14ac:dyDescent="0.35">
      <c r="A27" t="s">
        <v>94</v>
      </c>
      <c r="B27">
        <v>1.02</v>
      </c>
      <c r="C27" t="s">
        <v>94</v>
      </c>
      <c r="D27">
        <v>0.63</v>
      </c>
      <c r="L27" t="s">
        <v>424</v>
      </c>
      <c r="M27">
        <v>1.76</v>
      </c>
      <c r="N27" t="s">
        <v>424</v>
      </c>
      <c r="O27">
        <v>1.72</v>
      </c>
      <c r="Y27" t="s">
        <v>425</v>
      </c>
      <c r="Z27">
        <v>545.35</v>
      </c>
      <c r="AC27" t="s">
        <v>426</v>
      </c>
      <c r="AD27">
        <v>409.4</v>
      </c>
      <c r="AF27" t="s">
        <v>427</v>
      </c>
      <c r="AG27">
        <v>119.5</v>
      </c>
    </row>
    <row r="28" spans="1:33" ht="13.15" x14ac:dyDescent="0.4">
      <c r="A28" t="s">
        <v>95</v>
      </c>
      <c r="B28">
        <v>3.03</v>
      </c>
      <c r="C28" t="s">
        <v>95</v>
      </c>
      <c r="D28">
        <v>2.5</v>
      </c>
      <c r="L28" t="s">
        <v>397</v>
      </c>
      <c r="M28" s="1">
        <f>AVERAGE(Figure5!M3:M27)</f>
        <v>0.90920000000000001</v>
      </c>
      <c r="O28" s="1">
        <f>AVERAGE(Figure5!O3:O27)</f>
        <v>0.6081200000000001</v>
      </c>
      <c r="Y28" t="s">
        <v>428</v>
      </c>
      <c r="Z28">
        <v>650.29999999999995</v>
      </c>
      <c r="AC28" t="s">
        <v>429</v>
      </c>
      <c r="AD28">
        <v>331.77</v>
      </c>
      <c r="AF28" t="s">
        <v>430</v>
      </c>
      <c r="AG28">
        <v>139.57</v>
      </c>
    </row>
    <row r="29" spans="1:33" ht="13.15" x14ac:dyDescent="0.4">
      <c r="A29" t="s">
        <v>96</v>
      </c>
      <c r="B29">
        <v>2.71</v>
      </c>
      <c r="C29" t="s">
        <v>96</v>
      </c>
      <c r="D29">
        <v>2.5099999999999998</v>
      </c>
      <c r="L29" t="s">
        <v>281</v>
      </c>
      <c r="M29" s="1">
        <f>STDEV(M3:M27)</f>
        <v>0.47630452443788535</v>
      </c>
      <c r="O29" s="1">
        <f>STDEV(O3:O27)</f>
        <v>0.4564775752067855</v>
      </c>
      <c r="Y29" t="s">
        <v>431</v>
      </c>
      <c r="Z29">
        <v>483.2</v>
      </c>
      <c r="AC29" t="s">
        <v>432</v>
      </c>
      <c r="AD29">
        <v>350.1</v>
      </c>
      <c r="AF29" t="s">
        <v>433</v>
      </c>
      <c r="AG29">
        <v>180.22</v>
      </c>
    </row>
    <row r="30" spans="1:33" ht="13.15" x14ac:dyDescent="0.4">
      <c r="A30" t="s">
        <v>97</v>
      </c>
      <c r="B30">
        <v>1.75</v>
      </c>
      <c r="C30" t="s">
        <v>97</v>
      </c>
      <c r="D30">
        <v>0.77</v>
      </c>
      <c r="L30" t="s">
        <v>284</v>
      </c>
      <c r="M30" s="1">
        <f>M29/SQRT(25)</f>
        <v>9.5260904887577075E-2</v>
      </c>
      <c r="O30" s="1">
        <f>O29/SQRT(25)</f>
        <v>9.1295515041357106E-2</v>
      </c>
      <c r="Y30" t="s">
        <v>434</v>
      </c>
      <c r="Z30">
        <v>555.70000000000005</v>
      </c>
      <c r="AC30" t="s">
        <v>435</v>
      </c>
      <c r="AD30">
        <v>477.8</v>
      </c>
      <c r="AF30" t="s">
        <v>436</v>
      </c>
      <c r="AG30">
        <v>312.82</v>
      </c>
    </row>
    <row r="31" spans="1:33" x14ac:dyDescent="0.35">
      <c r="A31" t="s">
        <v>98</v>
      </c>
      <c r="B31">
        <v>1.61</v>
      </c>
      <c r="C31" t="s">
        <v>98</v>
      </c>
      <c r="D31">
        <v>0.76</v>
      </c>
      <c r="Y31" t="s">
        <v>437</v>
      </c>
      <c r="Z31">
        <v>349.87</v>
      </c>
      <c r="AC31" t="s">
        <v>438</v>
      </c>
      <c r="AD31">
        <v>587.5</v>
      </c>
      <c r="AF31" t="s">
        <v>439</v>
      </c>
      <c r="AG31">
        <v>176</v>
      </c>
    </row>
    <row r="32" spans="1:33" x14ac:dyDescent="0.35">
      <c r="A32" t="s">
        <v>99</v>
      </c>
      <c r="B32">
        <v>2.27</v>
      </c>
      <c r="C32" t="s">
        <v>99</v>
      </c>
      <c r="D32">
        <v>2.21</v>
      </c>
      <c r="Y32" t="s">
        <v>440</v>
      </c>
      <c r="Z32">
        <v>692.4</v>
      </c>
      <c r="AC32" t="s">
        <v>441</v>
      </c>
      <c r="AD32">
        <v>354.42</v>
      </c>
      <c r="AF32" t="s">
        <v>442</v>
      </c>
      <c r="AG32">
        <v>183.47</v>
      </c>
    </row>
    <row r="33" spans="1:33" x14ac:dyDescent="0.35">
      <c r="A33" t="s">
        <v>100</v>
      </c>
      <c r="B33">
        <v>3.5</v>
      </c>
      <c r="C33" t="s">
        <v>100</v>
      </c>
      <c r="D33">
        <v>3.36</v>
      </c>
      <c r="Y33" t="s">
        <v>443</v>
      </c>
      <c r="Z33">
        <v>641.5</v>
      </c>
      <c r="AC33" t="s">
        <v>444</v>
      </c>
      <c r="AD33">
        <v>365.62</v>
      </c>
      <c r="AF33" t="s">
        <v>445</v>
      </c>
      <c r="AG33">
        <v>171.15</v>
      </c>
    </row>
    <row r="34" spans="1:33" x14ac:dyDescent="0.35">
      <c r="A34" t="s">
        <v>101</v>
      </c>
      <c r="B34">
        <v>4.5599999999999996</v>
      </c>
      <c r="C34" t="s">
        <v>101</v>
      </c>
      <c r="D34">
        <v>3.99</v>
      </c>
      <c r="Y34" t="s">
        <v>446</v>
      </c>
      <c r="Z34">
        <v>267.12</v>
      </c>
      <c r="AC34" t="s">
        <v>447</v>
      </c>
      <c r="AD34">
        <v>282.55</v>
      </c>
      <c r="AF34" t="s">
        <v>448</v>
      </c>
      <c r="AG34">
        <v>240.27</v>
      </c>
    </row>
    <row r="35" spans="1:33" x14ac:dyDescent="0.35">
      <c r="A35" t="s">
        <v>102</v>
      </c>
      <c r="B35">
        <v>1.93</v>
      </c>
      <c r="C35" t="s">
        <v>102</v>
      </c>
      <c r="D35">
        <v>1.73</v>
      </c>
      <c r="Y35" s="8" t="s">
        <v>449</v>
      </c>
      <c r="Z35">
        <v>351.27</v>
      </c>
      <c r="AC35" t="s">
        <v>450</v>
      </c>
      <c r="AD35">
        <v>346.15</v>
      </c>
      <c r="AF35" t="s">
        <v>451</v>
      </c>
      <c r="AG35">
        <v>236.2</v>
      </c>
    </row>
    <row r="36" spans="1:33" x14ac:dyDescent="0.35">
      <c r="A36" t="s">
        <v>103</v>
      </c>
      <c r="B36">
        <v>2.75</v>
      </c>
      <c r="C36" t="s">
        <v>103</v>
      </c>
      <c r="D36">
        <v>1.92</v>
      </c>
      <c r="Y36" t="s">
        <v>452</v>
      </c>
      <c r="Z36">
        <v>351.05</v>
      </c>
      <c r="AC36" t="s">
        <v>453</v>
      </c>
      <c r="AD36">
        <v>307.64999999999998</v>
      </c>
      <c r="AF36" t="s">
        <v>454</v>
      </c>
      <c r="AG36">
        <v>245.5</v>
      </c>
    </row>
    <row r="37" spans="1:33" x14ac:dyDescent="0.35">
      <c r="A37" t="s">
        <v>104</v>
      </c>
      <c r="B37">
        <v>1.8</v>
      </c>
      <c r="C37" t="s">
        <v>104</v>
      </c>
      <c r="D37">
        <v>1.42</v>
      </c>
      <c r="Y37" t="s">
        <v>455</v>
      </c>
      <c r="Z37">
        <v>712.4</v>
      </c>
      <c r="AC37" t="s">
        <v>456</v>
      </c>
      <c r="AD37">
        <v>400.66</v>
      </c>
      <c r="AF37" t="s">
        <v>457</v>
      </c>
      <c r="AG37">
        <v>218.87</v>
      </c>
    </row>
    <row r="38" spans="1:33" x14ac:dyDescent="0.35">
      <c r="A38" t="s">
        <v>105</v>
      </c>
      <c r="B38">
        <v>2.17</v>
      </c>
      <c r="C38" t="s">
        <v>105</v>
      </c>
      <c r="D38">
        <v>2.0699999999999998</v>
      </c>
      <c r="Y38" t="s">
        <v>458</v>
      </c>
      <c r="Z38">
        <v>459.82</v>
      </c>
      <c r="AC38" t="s">
        <v>459</v>
      </c>
      <c r="AD38">
        <v>494</v>
      </c>
      <c r="AF38" t="s">
        <v>460</v>
      </c>
      <c r="AG38">
        <v>160.44999999999999</v>
      </c>
    </row>
    <row r="39" spans="1:33" x14ac:dyDescent="0.35">
      <c r="A39" t="s">
        <v>106</v>
      </c>
      <c r="B39">
        <v>2.3199999999999998</v>
      </c>
      <c r="C39" t="s">
        <v>106</v>
      </c>
      <c r="D39">
        <v>1.9</v>
      </c>
      <c r="Y39" t="s">
        <v>461</v>
      </c>
      <c r="Z39">
        <v>711.2</v>
      </c>
      <c r="AC39" t="s">
        <v>462</v>
      </c>
      <c r="AD39">
        <v>366.4</v>
      </c>
      <c r="AF39" t="s">
        <v>463</v>
      </c>
      <c r="AG39">
        <v>79.12</v>
      </c>
    </row>
    <row r="40" spans="1:33" x14ac:dyDescent="0.35">
      <c r="A40" t="s">
        <v>108</v>
      </c>
      <c r="B40">
        <v>3.92</v>
      </c>
      <c r="C40" t="s">
        <v>108</v>
      </c>
      <c r="D40">
        <v>3.92</v>
      </c>
      <c r="Y40" t="s">
        <v>464</v>
      </c>
      <c r="Z40">
        <v>406.63</v>
      </c>
      <c r="AC40" t="s">
        <v>465</v>
      </c>
      <c r="AD40">
        <v>291.7</v>
      </c>
      <c r="AF40" t="s">
        <v>466</v>
      </c>
      <c r="AG40">
        <v>210.9</v>
      </c>
    </row>
    <row r="41" spans="1:33" x14ac:dyDescent="0.35">
      <c r="A41" t="s">
        <v>109</v>
      </c>
      <c r="B41">
        <v>1.2</v>
      </c>
      <c r="C41" t="s">
        <v>109</v>
      </c>
      <c r="D41">
        <v>1.04</v>
      </c>
      <c r="Y41" t="s">
        <v>467</v>
      </c>
      <c r="Z41">
        <v>660.4</v>
      </c>
      <c r="AC41" t="s">
        <v>468</v>
      </c>
      <c r="AD41">
        <v>395.1</v>
      </c>
      <c r="AF41" t="s">
        <v>469</v>
      </c>
      <c r="AG41">
        <v>143.5</v>
      </c>
    </row>
    <row r="42" spans="1:33" x14ac:dyDescent="0.35">
      <c r="A42" t="s">
        <v>110</v>
      </c>
      <c r="B42">
        <v>3.52</v>
      </c>
      <c r="C42" t="s">
        <v>110</v>
      </c>
      <c r="D42">
        <v>3.5</v>
      </c>
      <c r="Y42" t="s">
        <v>470</v>
      </c>
      <c r="Z42">
        <v>499.47</v>
      </c>
      <c r="AC42" t="s">
        <v>471</v>
      </c>
      <c r="AD42">
        <v>394.5</v>
      </c>
      <c r="AF42" t="s">
        <v>472</v>
      </c>
      <c r="AG42">
        <v>133.6</v>
      </c>
    </row>
    <row r="43" spans="1:33" x14ac:dyDescent="0.35">
      <c r="A43" t="s">
        <v>111</v>
      </c>
      <c r="B43">
        <v>0.94</v>
      </c>
      <c r="C43" t="s">
        <v>111</v>
      </c>
      <c r="D43">
        <v>0.68</v>
      </c>
      <c r="Y43" t="s">
        <v>473</v>
      </c>
      <c r="Z43">
        <v>689.5</v>
      </c>
      <c r="AC43" t="s">
        <v>474</v>
      </c>
      <c r="AD43">
        <v>360.5</v>
      </c>
      <c r="AF43" t="s">
        <v>475</v>
      </c>
      <c r="AG43">
        <v>179.1</v>
      </c>
    </row>
    <row r="44" spans="1:33" x14ac:dyDescent="0.35">
      <c r="A44" t="s">
        <v>112</v>
      </c>
      <c r="B44">
        <v>2.82</v>
      </c>
      <c r="C44" t="s">
        <v>112</v>
      </c>
      <c r="D44">
        <v>2.56</v>
      </c>
      <c r="Y44" t="s">
        <v>476</v>
      </c>
      <c r="Z44">
        <v>419.55</v>
      </c>
      <c r="AC44" t="s">
        <v>477</v>
      </c>
      <c r="AD44">
        <v>477.6</v>
      </c>
      <c r="AF44" t="s">
        <v>478</v>
      </c>
      <c r="AG44">
        <v>206.37</v>
      </c>
    </row>
    <row r="45" spans="1:33" x14ac:dyDescent="0.35">
      <c r="A45" t="s">
        <v>113</v>
      </c>
      <c r="B45">
        <v>1.96</v>
      </c>
      <c r="C45" t="s">
        <v>113</v>
      </c>
      <c r="D45">
        <v>1.57</v>
      </c>
      <c r="Y45" t="s">
        <v>479</v>
      </c>
      <c r="Z45">
        <v>245.32</v>
      </c>
      <c r="AC45" t="s">
        <v>480</v>
      </c>
      <c r="AD45">
        <v>247.15</v>
      </c>
      <c r="AF45" t="s">
        <v>481</v>
      </c>
      <c r="AG45">
        <v>325.39999999999998</v>
      </c>
    </row>
    <row r="46" spans="1:33" x14ac:dyDescent="0.35">
      <c r="A46" t="s">
        <v>114</v>
      </c>
      <c r="B46">
        <v>0.7</v>
      </c>
      <c r="C46" t="s">
        <v>114</v>
      </c>
      <c r="D46">
        <v>0.44</v>
      </c>
      <c r="Y46" t="s">
        <v>482</v>
      </c>
      <c r="Z46">
        <v>421.73</v>
      </c>
      <c r="AC46" t="s">
        <v>483</v>
      </c>
      <c r="AD46">
        <v>386.36</v>
      </c>
      <c r="AF46" t="s">
        <v>484</v>
      </c>
      <c r="AG46">
        <v>258.77</v>
      </c>
    </row>
    <row r="47" spans="1:33" x14ac:dyDescent="0.35">
      <c r="A47" t="s">
        <v>115</v>
      </c>
      <c r="B47">
        <v>0.94</v>
      </c>
      <c r="C47" t="s">
        <v>115</v>
      </c>
      <c r="D47">
        <v>0.34</v>
      </c>
      <c r="Y47" t="s">
        <v>485</v>
      </c>
      <c r="Z47">
        <v>708.1</v>
      </c>
      <c r="AC47" t="s">
        <v>486</v>
      </c>
      <c r="AD47">
        <v>293.02999999999997</v>
      </c>
      <c r="AF47" t="s">
        <v>487</v>
      </c>
      <c r="AG47">
        <v>221.97</v>
      </c>
    </row>
    <row r="48" spans="1:33" x14ac:dyDescent="0.35">
      <c r="A48" t="s">
        <v>116</v>
      </c>
      <c r="B48">
        <v>1.84</v>
      </c>
      <c r="C48" t="s">
        <v>116</v>
      </c>
      <c r="D48">
        <v>0.74</v>
      </c>
      <c r="Y48" t="s">
        <v>488</v>
      </c>
      <c r="Z48">
        <v>423.72</v>
      </c>
      <c r="AC48" t="s">
        <v>489</v>
      </c>
      <c r="AD48">
        <v>248.92</v>
      </c>
      <c r="AF48" t="s">
        <v>490</v>
      </c>
      <c r="AG48">
        <v>195.5</v>
      </c>
    </row>
    <row r="49" spans="1:33" x14ac:dyDescent="0.35">
      <c r="A49" t="s">
        <v>117</v>
      </c>
      <c r="B49">
        <v>1.52</v>
      </c>
      <c r="C49" t="s">
        <v>117</v>
      </c>
      <c r="D49">
        <v>1.08</v>
      </c>
      <c r="Y49" t="s">
        <v>491</v>
      </c>
      <c r="Z49">
        <v>605.6</v>
      </c>
      <c r="AC49" t="s">
        <v>492</v>
      </c>
      <c r="AD49">
        <v>441.5</v>
      </c>
      <c r="AF49" t="s">
        <v>493</v>
      </c>
      <c r="AG49">
        <v>232.95</v>
      </c>
    </row>
    <row r="50" spans="1:33" x14ac:dyDescent="0.35">
      <c r="A50" t="s">
        <v>118</v>
      </c>
      <c r="B50">
        <v>3.04</v>
      </c>
      <c r="C50" t="s">
        <v>118</v>
      </c>
      <c r="D50">
        <v>2.14</v>
      </c>
      <c r="Y50" t="s">
        <v>494</v>
      </c>
      <c r="Z50">
        <v>388.57</v>
      </c>
      <c r="AC50" t="s">
        <v>495</v>
      </c>
      <c r="AD50">
        <v>322.2</v>
      </c>
      <c r="AF50" t="s">
        <v>496</v>
      </c>
      <c r="AG50">
        <v>197.25</v>
      </c>
    </row>
    <row r="51" spans="1:33" x14ac:dyDescent="0.35">
      <c r="A51" t="s">
        <v>119</v>
      </c>
      <c r="B51">
        <v>1.25</v>
      </c>
      <c r="C51" t="s">
        <v>119</v>
      </c>
      <c r="D51">
        <v>0.77</v>
      </c>
      <c r="Y51" t="s">
        <v>497</v>
      </c>
      <c r="Z51">
        <v>633.70000000000005</v>
      </c>
      <c r="AC51" t="s">
        <v>498</v>
      </c>
      <c r="AD51">
        <v>492.8</v>
      </c>
      <c r="AF51" t="s">
        <v>499</v>
      </c>
      <c r="AG51">
        <v>137.69999999999999</v>
      </c>
    </row>
    <row r="52" spans="1:33" x14ac:dyDescent="0.35">
      <c r="A52" t="s">
        <v>120</v>
      </c>
      <c r="B52">
        <v>3.48</v>
      </c>
      <c r="C52" t="s">
        <v>120</v>
      </c>
      <c r="D52">
        <v>3.47</v>
      </c>
      <c r="Y52" t="s">
        <v>500</v>
      </c>
      <c r="Z52">
        <v>371.3</v>
      </c>
      <c r="AC52" t="s">
        <v>501</v>
      </c>
      <c r="AD52">
        <v>283.89999999999998</v>
      </c>
      <c r="AF52" t="s">
        <v>502</v>
      </c>
      <c r="AG52">
        <v>64.92</v>
      </c>
    </row>
    <row r="53" spans="1:33" x14ac:dyDescent="0.35">
      <c r="A53" t="s">
        <v>121</v>
      </c>
      <c r="B53">
        <v>1.68</v>
      </c>
      <c r="C53" t="s">
        <v>121</v>
      </c>
      <c r="D53">
        <v>1.23</v>
      </c>
      <c r="Y53" t="s">
        <v>503</v>
      </c>
      <c r="Z53">
        <v>222.7</v>
      </c>
      <c r="AC53" t="s">
        <v>504</v>
      </c>
      <c r="AD53">
        <v>312.45</v>
      </c>
      <c r="AF53" t="s">
        <v>505</v>
      </c>
      <c r="AG53">
        <v>204.22</v>
      </c>
    </row>
    <row r="54" spans="1:33" x14ac:dyDescent="0.35">
      <c r="A54" t="s">
        <v>122</v>
      </c>
      <c r="B54">
        <v>0.75</v>
      </c>
      <c r="C54" t="s">
        <v>122</v>
      </c>
      <c r="D54">
        <v>0.49</v>
      </c>
      <c r="Y54" t="s">
        <v>506</v>
      </c>
      <c r="Z54">
        <v>947.3</v>
      </c>
      <c r="AC54" t="s">
        <v>507</v>
      </c>
      <c r="AD54">
        <v>129.91999999999999</v>
      </c>
      <c r="AF54" t="s">
        <v>508</v>
      </c>
      <c r="AG54">
        <v>186.12</v>
      </c>
    </row>
    <row r="55" spans="1:33" x14ac:dyDescent="0.35">
      <c r="A55" t="s">
        <v>123</v>
      </c>
      <c r="B55">
        <v>0.97</v>
      </c>
      <c r="C55" t="s">
        <v>123</v>
      </c>
      <c r="D55">
        <v>0.51</v>
      </c>
      <c r="Y55" t="s">
        <v>509</v>
      </c>
      <c r="Z55">
        <v>321.25</v>
      </c>
      <c r="AC55" t="s">
        <v>510</v>
      </c>
      <c r="AD55">
        <v>252.67</v>
      </c>
      <c r="AF55" t="s">
        <v>511</v>
      </c>
      <c r="AG55">
        <v>142.47</v>
      </c>
    </row>
    <row r="56" spans="1:33" x14ac:dyDescent="0.35">
      <c r="A56" t="s">
        <v>124</v>
      </c>
      <c r="B56">
        <v>2.91</v>
      </c>
      <c r="C56" t="s">
        <v>124</v>
      </c>
      <c r="D56">
        <v>1.63</v>
      </c>
      <c r="Y56" t="s">
        <v>512</v>
      </c>
      <c r="Z56">
        <v>321.97000000000003</v>
      </c>
      <c r="AC56" t="s">
        <v>513</v>
      </c>
      <c r="AD56">
        <v>458.8</v>
      </c>
      <c r="AF56" t="s">
        <v>514</v>
      </c>
      <c r="AG56">
        <v>132.44999999999999</v>
      </c>
    </row>
    <row r="57" spans="1:33" x14ac:dyDescent="0.35">
      <c r="A57" t="s">
        <v>125</v>
      </c>
      <c r="B57">
        <v>2.42</v>
      </c>
      <c r="C57" t="s">
        <v>125</v>
      </c>
      <c r="D57">
        <v>2.74</v>
      </c>
      <c r="Y57" t="s">
        <v>515</v>
      </c>
      <c r="Z57">
        <v>314.75</v>
      </c>
      <c r="AC57" t="s">
        <v>516</v>
      </c>
      <c r="AD57">
        <v>431.9</v>
      </c>
      <c r="AF57" t="s">
        <v>517</v>
      </c>
      <c r="AG57">
        <v>150.66999999999999</v>
      </c>
    </row>
    <row r="58" spans="1:33" x14ac:dyDescent="0.35">
      <c r="A58" t="s">
        <v>126</v>
      </c>
      <c r="B58">
        <v>5.08</v>
      </c>
      <c r="C58" t="s">
        <v>126</v>
      </c>
      <c r="D58">
        <v>5.08</v>
      </c>
      <c r="Y58" t="s">
        <v>518</v>
      </c>
      <c r="Z58">
        <v>521.20000000000005</v>
      </c>
      <c r="AC58" t="s">
        <v>519</v>
      </c>
      <c r="AD58">
        <v>291.32</v>
      </c>
      <c r="AF58" t="s">
        <v>520</v>
      </c>
      <c r="AG58">
        <v>144.94999999999999</v>
      </c>
    </row>
    <row r="59" spans="1:33" x14ac:dyDescent="0.35">
      <c r="A59" t="s">
        <v>127</v>
      </c>
      <c r="B59">
        <v>8.51</v>
      </c>
      <c r="C59" t="s">
        <v>127</v>
      </c>
      <c r="D59">
        <v>8.5</v>
      </c>
      <c r="Y59" t="s">
        <v>521</v>
      </c>
      <c r="Z59">
        <v>372.45</v>
      </c>
      <c r="AC59" t="s">
        <v>522</v>
      </c>
      <c r="AD59">
        <v>339.8</v>
      </c>
      <c r="AF59" t="s">
        <v>523</v>
      </c>
      <c r="AG59">
        <v>154.25</v>
      </c>
    </row>
    <row r="60" spans="1:33" x14ac:dyDescent="0.35">
      <c r="A60" t="s">
        <v>524</v>
      </c>
      <c r="B60">
        <v>1.84</v>
      </c>
      <c r="C60" t="s">
        <v>524</v>
      </c>
      <c r="D60">
        <v>1.28</v>
      </c>
      <c r="Y60" t="s">
        <v>525</v>
      </c>
      <c r="Z60">
        <v>487.7</v>
      </c>
      <c r="AC60" t="s">
        <v>526</v>
      </c>
      <c r="AD60">
        <v>270.57</v>
      </c>
      <c r="AF60" t="s">
        <v>527</v>
      </c>
      <c r="AG60">
        <v>167.42</v>
      </c>
    </row>
    <row r="61" spans="1:33" x14ac:dyDescent="0.35">
      <c r="A61" t="s">
        <v>528</v>
      </c>
      <c r="B61">
        <v>2.58</v>
      </c>
      <c r="C61" t="s">
        <v>528</v>
      </c>
      <c r="D61">
        <v>2.37</v>
      </c>
      <c r="Y61" t="s">
        <v>529</v>
      </c>
      <c r="Z61">
        <v>542.6</v>
      </c>
      <c r="AC61" t="s">
        <v>530</v>
      </c>
      <c r="AD61">
        <v>264.5</v>
      </c>
      <c r="AF61" t="s">
        <v>531</v>
      </c>
      <c r="AG61">
        <v>172.3</v>
      </c>
    </row>
    <row r="62" spans="1:33" x14ac:dyDescent="0.35">
      <c r="A62" t="s">
        <v>532</v>
      </c>
      <c r="B62">
        <v>1.74</v>
      </c>
      <c r="C62" t="s">
        <v>532</v>
      </c>
      <c r="D62">
        <v>1.1299999999999999</v>
      </c>
      <c r="Y62" t="s">
        <v>533</v>
      </c>
      <c r="Z62">
        <v>613.20000000000005</v>
      </c>
      <c r="AC62" t="s">
        <v>534</v>
      </c>
      <c r="AD62">
        <v>369.97</v>
      </c>
      <c r="AF62" t="s">
        <v>535</v>
      </c>
      <c r="AG62">
        <v>92.25</v>
      </c>
    </row>
    <row r="63" spans="1:33" x14ac:dyDescent="0.35">
      <c r="A63" t="s">
        <v>536</v>
      </c>
      <c r="B63">
        <v>5.18</v>
      </c>
      <c r="C63" t="s">
        <v>536</v>
      </c>
      <c r="D63">
        <v>5.18</v>
      </c>
      <c r="Y63" t="s">
        <v>537</v>
      </c>
      <c r="Z63">
        <v>394.97</v>
      </c>
      <c r="AC63" t="s">
        <v>538</v>
      </c>
      <c r="AD63">
        <v>351.3</v>
      </c>
      <c r="AF63" t="s">
        <v>539</v>
      </c>
      <c r="AG63">
        <v>248.15</v>
      </c>
    </row>
    <row r="64" spans="1:33" x14ac:dyDescent="0.35">
      <c r="A64" t="s">
        <v>540</v>
      </c>
      <c r="B64">
        <v>3.35</v>
      </c>
      <c r="C64" t="s">
        <v>540</v>
      </c>
      <c r="D64">
        <v>2.14</v>
      </c>
      <c r="Y64" t="s">
        <v>541</v>
      </c>
      <c r="Z64">
        <v>582.20000000000005</v>
      </c>
      <c r="AC64" t="s">
        <v>542</v>
      </c>
      <c r="AD64">
        <v>329.22</v>
      </c>
      <c r="AF64" t="s">
        <v>543</v>
      </c>
      <c r="AG64">
        <v>191.6</v>
      </c>
    </row>
    <row r="65" spans="1:33" x14ac:dyDescent="0.35">
      <c r="A65" t="s">
        <v>544</v>
      </c>
      <c r="B65">
        <v>1.79</v>
      </c>
      <c r="C65" t="s">
        <v>544</v>
      </c>
      <c r="D65">
        <v>1.1200000000000001</v>
      </c>
      <c r="Y65" t="s">
        <v>545</v>
      </c>
      <c r="Z65">
        <v>472.76</v>
      </c>
      <c r="AC65" t="s">
        <v>546</v>
      </c>
      <c r="AD65">
        <v>214.02</v>
      </c>
      <c r="AF65" t="s">
        <v>547</v>
      </c>
      <c r="AG65">
        <v>96.75</v>
      </c>
    </row>
    <row r="66" spans="1:33" x14ac:dyDescent="0.35">
      <c r="A66" t="s">
        <v>548</v>
      </c>
      <c r="B66">
        <v>5.98</v>
      </c>
      <c r="C66" t="s">
        <v>548</v>
      </c>
      <c r="D66">
        <v>5.39</v>
      </c>
      <c r="Y66" t="s">
        <v>549</v>
      </c>
      <c r="Z66">
        <v>275.17</v>
      </c>
      <c r="AC66" t="s">
        <v>550</v>
      </c>
      <c r="AD66">
        <v>295.8</v>
      </c>
      <c r="AF66" t="s">
        <v>551</v>
      </c>
      <c r="AG66">
        <v>255.4</v>
      </c>
    </row>
    <row r="67" spans="1:33" x14ac:dyDescent="0.35">
      <c r="A67" t="s">
        <v>552</v>
      </c>
      <c r="B67">
        <v>2.4700000000000002</v>
      </c>
      <c r="C67" t="s">
        <v>552</v>
      </c>
      <c r="D67">
        <v>2.11</v>
      </c>
      <c r="Y67" t="s">
        <v>553</v>
      </c>
      <c r="Z67">
        <v>378.52</v>
      </c>
      <c r="AC67" t="s">
        <v>554</v>
      </c>
      <c r="AD67">
        <v>249.15</v>
      </c>
      <c r="AF67" t="s">
        <v>555</v>
      </c>
      <c r="AG67">
        <v>175.62</v>
      </c>
    </row>
    <row r="68" spans="1:33" x14ac:dyDescent="0.35">
      <c r="A68" t="s">
        <v>556</v>
      </c>
      <c r="B68">
        <v>0.62</v>
      </c>
      <c r="C68" t="s">
        <v>556</v>
      </c>
      <c r="D68">
        <v>0.44</v>
      </c>
      <c r="Y68" t="s">
        <v>557</v>
      </c>
      <c r="Z68">
        <v>540.29999999999995</v>
      </c>
      <c r="AC68" t="s">
        <v>558</v>
      </c>
      <c r="AD68">
        <v>277.60000000000002</v>
      </c>
      <c r="AF68" t="s">
        <v>559</v>
      </c>
      <c r="AG68">
        <v>161.02000000000001</v>
      </c>
    </row>
    <row r="69" spans="1:33" x14ac:dyDescent="0.35">
      <c r="A69" t="s">
        <v>560</v>
      </c>
      <c r="B69">
        <v>6.82</v>
      </c>
      <c r="C69" t="s">
        <v>560</v>
      </c>
      <c r="D69">
        <v>4.21</v>
      </c>
      <c r="Y69" t="s">
        <v>561</v>
      </c>
      <c r="Z69">
        <v>462.5</v>
      </c>
      <c r="AC69" t="s">
        <v>562</v>
      </c>
      <c r="AD69">
        <v>294.89999999999998</v>
      </c>
      <c r="AF69" t="s">
        <v>563</v>
      </c>
      <c r="AG69">
        <v>250.15</v>
      </c>
    </row>
    <row r="70" spans="1:33" x14ac:dyDescent="0.35">
      <c r="A70" t="s">
        <v>564</v>
      </c>
      <c r="B70">
        <v>1.28</v>
      </c>
      <c r="C70" t="s">
        <v>564</v>
      </c>
      <c r="D70">
        <v>1.1599999999999999</v>
      </c>
      <c r="Y70" t="s">
        <v>565</v>
      </c>
      <c r="Z70">
        <v>511.7</v>
      </c>
      <c r="AC70" t="s">
        <v>566</v>
      </c>
      <c r="AD70">
        <v>342.6</v>
      </c>
      <c r="AF70" t="s">
        <v>567</v>
      </c>
      <c r="AG70">
        <v>195.95</v>
      </c>
    </row>
    <row r="71" spans="1:33" x14ac:dyDescent="0.35">
      <c r="A71" t="s">
        <v>568</v>
      </c>
      <c r="B71">
        <v>5.03</v>
      </c>
      <c r="C71" t="s">
        <v>568</v>
      </c>
      <c r="D71">
        <v>4.58</v>
      </c>
      <c r="Y71" t="s">
        <v>569</v>
      </c>
      <c r="Z71">
        <v>696.7</v>
      </c>
      <c r="AC71" t="s">
        <v>570</v>
      </c>
      <c r="AD71">
        <v>336.3</v>
      </c>
      <c r="AF71" t="s">
        <v>571</v>
      </c>
      <c r="AG71">
        <v>124.87</v>
      </c>
    </row>
    <row r="72" spans="1:33" x14ac:dyDescent="0.35">
      <c r="A72" t="s">
        <v>572</v>
      </c>
      <c r="B72">
        <v>5.39</v>
      </c>
      <c r="C72" t="s">
        <v>572</v>
      </c>
      <c r="D72">
        <v>5.35</v>
      </c>
      <c r="Y72" t="s">
        <v>573</v>
      </c>
      <c r="Z72">
        <v>797.9</v>
      </c>
      <c r="AC72" t="s">
        <v>574</v>
      </c>
      <c r="AD72">
        <v>347</v>
      </c>
      <c r="AF72" t="s">
        <v>575</v>
      </c>
      <c r="AG72">
        <v>229.8</v>
      </c>
    </row>
    <row r="73" spans="1:33" ht="13.15" x14ac:dyDescent="0.4">
      <c r="A73" t="s">
        <v>397</v>
      </c>
      <c r="B73" s="1">
        <f>AVERAGE(Figure5!B3:B72)</f>
        <v>2.3947142857142856</v>
      </c>
      <c r="D73" s="1">
        <f>AVERAGE(D3:D72)</f>
        <v>1.9458571428571425</v>
      </c>
      <c r="Y73" t="s">
        <v>576</v>
      </c>
      <c r="Z73">
        <v>779.6</v>
      </c>
      <c r="AC73" t="s">
        <v>577</v>
      </c>
      <c r="AD73">
        <v>249.95</v>
      </c>
      <c r="AF73" t="s">
        <v>578</v>
      </c>
      <c r="AG73">
        <v>187.42</v>
      </c>
    </row>
    <row r="74" spans="1:33" ht="13.15" x14ac:dyDescent="0.4">
      <c r="A74" t="s">
        <v>281</v>
      </c>
      <c r="B74" s="1">
        <f>STDEV(B3:B72)</f>
        <v>1.5474192834921623</v>
      </c>
      <c r="D74" s="1">
        <f>STDEV(D3:D72)</f>
        <v>1.5787644158471974</v>
      </c>
      <c r="Y74" t="s">
        <v>579</v>
      </c>
      <c r="Z74">
        <v>680.5</v>
      </c>
      <c r="AC74" t="s">
        <v>580</v>
      </c>
      <c r="AD74">
        <v>312.10000000000002</v>
      </c>
      <c r="AF74" t="s">
        <v>581</v>
      </c>
      <c r="AG74">
        <v>169.07</v>
      </c>
    </row>
    <row r="75" spans="1:33" ht="13.15" x14ac:dyDescent="0.4">
      <c r="A75" t="s">
        <v>284</v>
      </c>
      <c r="B75" s="1">
        <f>B74/SQRT(70)</f>
        <v>0.18495197982655609</v>
      </c>
      <c r="D75" s="1">
        <f>D74/SQRT(70)</f>
        <v>0.1886984397219672</v>
      </c>
      <c r="Y75" t="s">
        <v>582</v>
      </c>
      <c r="Z75">
        <v>485.93</v>
      </c>
      <c r="AC75" t="s">
        <v>583</v>
      </c>
      <c r="AD75">
        <v>323.2</v>
      </c>
      <c r="AF75" t="s">
        <v>584</v>
      </c>
      <c r="AG75">
        <v>174.37</v>
      </c>
    </row>
    <row r="76" spans="1:33" x14ac:dyDescent="0.35">
      <c r="Y76" t="s">
        <v>585</v>
      </c>
      <c r="Z76">
        <v>499</v>
      </c>
      <c r="AC76" t="s">
        <v>586</v>
      </c>
      <c r="AD76">
        <v>359</v>
      </c>
      <c r="AF76" t="s">
        <v>587</v>
      </c>
      <c r="AG76">
        <v>300.22000000000003</v>
      </c>
    </row>
    <row r="77" spans="1:33" x14ac:dyDescent="0.35">
      <c r="Y77" t="s">
        <v>588</v>
      </c>
      <c r="Z77">
        <v>889</v>
      </c>
      <c r="AC77" t="s">
        <v>589</v>
      </c>
      <c r="AD77">
        <v>312.2</v>
      </c>
      <c r="AF77" t="s">
        <v>590</v>
      </c>
      <c r="AG77">
        <v>210.85</v>
      </c>
    </row>
    <row r="78" spans="1:33" x14ac:dyDescent="0.35">
      <c r="Y78" t="s">
        <v>591</v>
      </c>
      <c r="Z78">
        <v>213.57</v>
      </c>
      <c r="AC78" t="s">
        <v>592</v>
      </c>
      <c r="AD78">
        <v>354.5</v>
      </c>
      <c r="AF78" t="s">
        <v>593</v>
      </c>
      <c r="AG78">
        <v>210.65</v>
      </c>
    </row>
    <row r="79" spans="1:33" x14ac:dyDescent="0.35">
      <c r="Y79" t="s">
        <v>594</v>
      </c>
      <c r="Z79">
        <v>541.5</v>
      </c>
      <c r="AC79" t="s">
        <v>595</v>
      </c>
      <c r="AD79">
        <v>288.7</v>
      </c>
      <c r="AF79" t="s">
        <v>596</v>
      </c>
      <c r="AG79">
        <v>164.97</v>
      </c>
    </row>
    <row r="80" spans="1:33" x14ac:dyDescent="0.35">
      <c r="Y80" t="s">
        <v>597</v>
      </c>
      <c r="Z80">
        <v>717.7</v>
      </c>
      <c r="AC80" t="s">
        <v>598</v>
      </c>
      <c r="AD80">
        <v>274.95</v>
      </c>
      <c r="AF80" t="s">
        <v>599</v>
      </c>
      <c r="AG80">
        <v>271.5</v>
      </c>
    </row>
    <row r="81" spans="2:33" x14ac:dyDescent="0.35">
      <c r="Y81" t="s">
        <v>600</v>
      </c>
      <c r="Z81">
        <v>566.59</v>
      </c>
      <c r="AC81" t="s">
        <v>601</v>
      </c>
      <c r="AD81">
        <v>365.7</v>
      </c>
      <c r="AF81" t="s">
        <v>602</v>
      </c>
      <c r="AG81">
        <v>201.62</v>
      </c>
    </row>
    <row r="82" spans="2:33" x14ac:dyDescent="0.35">
      <c r="Y82" t="s">
        <v>603</v>
      </c>
      <c r="Z82">
        <v>785.6</v>
      </c>
      <c r="AC82" t="s">
        <v>604</v>
      </c>
      <c r="AD82">
        <v>342.62</v>
      </c>
      <c r="AF82" t="s">
        <v>605</v>
      </c>
      <c r="AG82">
        <v>191.02</v>
      </c>
    </row>
    <row r="83" spans="2:33" ht="13.15" x14ac:dyDescent="0.4">
      <c r="B83" s="1"/>
      <c r="Y83" t="s">
        <v>606</v>
      </c>
      <c r="Z83">
        <v>810.1</v>
      </c>
      <c r="AC83" t="s">
        <v>607</v>
      </c>
      <c r="AD83">
        <v>421.7</v>
      </c>
      <c r="AF83" t="s">
        <v>608</v>
      </c>
      <c r="AG83">
        <v>122.87</v>
      </c>
    </row>
    <row r="84" spans="2:33" x14ac:dyDescent="0.35">
      <c r="Y84" t="s">
        <v>609</v>
      </c>
      <c r="Z84">
        <v>505.35</v>
      </c>
      <c r="AC84" t="s">
        <v>610</v>
      </c>
      <c r="AD84">
        <v>248.55</v>
      </c>
      <c r="AF84" t="s">
        <v>611</v>
      </c>
      <c r="AG84">
        <v>157.62</v>
      </c>
    </row>
    <row r="85" spans="2:33" x14ac:dyDescent="0.35">
      <c r="Y85" t="s">
        <v>612</v>
      </c>
      <c r="Z85">
        <v>788.4</v>
      </c>
      <c r="AC85" t="s">
        <v>613</v>
      </c>
      <c r="AD85">
        <v>319.10000000000002</v>
      </c>
      <c r="AF85" t="s">
        <v>614</v>
      </c>
      <c r="AG85">
        <v>155.12</v>
      </c>
    </row>
    <row r="86" spans="2:33" x14ac:dyDescent="0.35">
      <c r="Y86" t="s">
        <v>615</v>
      </c>
      <c r="Z86">
        <v>408.4</v>
      </c>
      <c r="AC86" t="s">
        <v>616</v>
      </c>
      <c r="AD86">
        <v>375.2</v>
      </c>
      <c r="AF86" t="s">
        <v>617</v>
      </c>
      <c r="AG86">
        <v>96.45</v>
      </c>
    </row>
    <row r="87" spans="2:33" x14ac:dyDescent="0.35">
      <c r="Y87" t="s">
        <v>618</v>
      </c>
      <c r="Z87">
        <v>299.27</v>
      </c>
      <c r="AC87" t="s">
        <v>619</v>
      </c>
      <c r="AD87">
        <v>238.5</v>
      </c>
      <c r="AF87" t="s">
        <v>620</v>
      </c>
      <c r="AG87">
        <v>297.82</v>
      </c>
    </row>
    <row r="88" spans="2:33" x14ac:dyDescent="0.35">
      <c r="Y88" t="s">
        <v>621</v>
      </c>
      <c r="Z88">
        <v>709.2</v>
      </c>
      <c r="AC88" t="s">
        <v>622</v>
      </c>
      <c r="AD88">
        <v>290.47000000000003</v>
      </c>
      <c r="AF88" t="s">
        <v>623</v>
      </c>
      <c r="AG88">
        <v>307.35000000000002</v>
      </c>
    </row>
    <row r="89" spans="2:33" x14ac:dyDescent="0.35">
      <c r="Y89" t="s">
        <v>624</v>
      </c>
      <c r="Z89">
        <v>407.7</v>
      </c>
      <c r="AC89" t="s">
        <v>625</v>
      </c>
      <c r="AD89">
        <v>271.35000000000002</v>
      </c>
      <c r="AF89" t="s">
        <v>626</v>
      </c>
      <c r="AG89">
        <v>94.52</v>
      </c>
    </row>
    <row r="90" spans="2:33" x14ac:dyDescent="0.35">
      <c r="Y90" t="s">
        <v>627</v>
      </c>
      <c r="Z90">
        <v>708.3</v>
      </c>
      <c r="AC90" t="s">
        <v>628</v>
      </c>
      <c r="AD90">
        <v>292.17</v>
      </c>
      <c r="AF90" t="s">
        <v>629</v>
      </c>
      <c r="AG90">
        <v>97.4</v>
      </c>
    </row>
    <row r="91" spans="2:33" x14ac:dyDescent="0.35">
      <c r="Y91" t="s">
        <v>630</v>
      </c>
      <c r="Z91">
        <v>330.8</v>
      </c>
      <c r="AC91" t="s">
        <v>631</v>
      </c>
      <c r="AD91">
        <v>294.12</v>
      </c>
      <c r="AF91" t="s">
        <v>632</v>
      </c>
      <c r="AG91">
        <v>191.95</v>
      </c>
    </row>
    <row r="92" spans="2:33" x14ac:dyDescent="0.35">
      <c r="Y92" t="s">
        <v>633</v>
      </c>
      <c r="Z92">
        <v>552.4</v>
      </c>
      <c r="AC92" t="s">
        <v>634</v>
      </c>
      <c r="AD92">
        <v>286.35000000000002</v>
      </c>
      <c r="AF92" t="s">
        <v>635</v>
      </c>
      <c r="AG92">
        <v>203.77</v>
      </c>
    </row>
    <row r="93" spans="2:33" x14ac:dyDescent="0.35">
      <c r="Y93" t="s">
        <v>636</v>
      </c>
      <c r="Z93">
        <v>871</v>
      </c>
      <c r="AC93" t="s">
        <v>637</v>
      </c>
      <c r="AD93">
        <v>330.1</v>
      </c>
      <c r="AF93" t="s">
        <v>638</v>
      </c>
      <c r="AG93">
        <v>332.57</v>
      </c>
    </row>
    <row r="94" spans="2:33" ht="13.15" x14ac:dyDescent="0.4">
      <c r="Y94" t="s">
        <v>639</v>
      </c>
      <c r="Z94">
        <v>638.29999999999995</v>
      </c>
      <c r="AC94" t="s">
        <v>640</v>
      </c>
      <c r="AD94">
        <v>255.57</v>
      </c>
      <c r="AF94" t="s">
        <v>397</v>
      </c>
      <c r="AG94" s="1">
        <f>AVERAGE(AG3:AG93)</f>
        <v>183.75219780219788</v>
      </c>
    </row>
    <row r="95" spans="2:33" ht="13.15" x14ac:dyDescent="0.4">
      <c r="Y95" t="s">
        <v>641</v>
      </c>
      <c r="Z95">
        <v>591.4</v>
      </c>
      <c r="AC95" t="s">
        <v>642</v>
      </c>
      <c r="AD95">
        <v>294.57</v>
      </c>
      <c r="AF95" t="s">
        <v>281</v>
      </c>
      <c r="AG95" s="1">
        <f>STDEV(AG3:AG93)</f>
        <v>63.057951790435283</v>
      </c>
    </row>
    <row r="96" spans="2:33" ht="13.15" x14ac:dyDescent="0.4">
      <c r="Y96" t="s">
        <v>643</v>
      </c>
      <c r="Z96">
        <v>614.17999999999995</v>
      </c>
      <c r="AC96" t="s">
        <v>644</v>
      </c>
      <c r="AD96">
        <v>250.7</v>
      </c>
      <c r="AF96" t="s">
        <v>284</v>
      </c>
      <c r="AG96" s="1">
        <f>AG95/SQRT(91)</f>
        <v>6.6102694696655044</v>
      </c>
    </row>
    <row r="97" spans="25:30" x14ac:dyDescent="0.35">
      <c r="Y97" t="s">
        <v>645</v>
      </c>
      <c r="Z97">
        <v>437.4</v>
      </c>
      <c r="AC97" t="s">
        <v>646</v>
      </c>
      <c r="AD97">
        <v>415.02</v>
      </c>
    </row>
    <row r="98" spans="25:30" x14ac:dyDescent="0.35">
      <c r="Y98" t="s">
        <v>647</v>
      </c>
      <c r="Z98">
        <v>400.56</v>
      </c>
      <c r="AC98" t="s">
        <v>648</v>
      </c>
      <c r="AD98">
        <v>333.75</v>
      </c>
    </row>
    <row r="99" spans="25:30" x14ac:dyDescent="0.35">
      <c r="Y99" t="s">
        <v>649</v>
      </c>
      <c r="Z99">
        <v>715.9</v>
      </c>
      <c r="AC99" t="s">
        <v>650</v>
      </c>
      <c r="AD99">
        <v>431.13</v>
      </c>
    </row>
    <row r="100" spans="25:30" x14ac:dyDescent="0.35">
      <c r="Y100" t="s">
        <v>651</v>
      </c>
      <c r="Z100">
        <v>450.7</v>
      </c>
      <c r="AC100" t="s">
        <v>652</v>
      </c>
      <c r="AD100">
        <v>412.63</v>
      </c>
    </row>
    <row r="101" spans="25:30" x14ac:dyDescent="0.35">
      <c r="Y101" t="s">
        <v>653</v>
      </c>
      <c r="Z101">
        <v>600.6</v>
      </c>
      <c r="AC101" t="s">
        <v>654</v>
      </c>
      <c r="AD101">
        <v>449.1</v>
      </c>
    </row>
    <row r="102" spans="25:30" x14ac:dyDescent="0.35">
      <c r="Y102" t="s">
        <v>655</v>
      </c>
      <c r="Z102">
        <v>429.72</v>
      </c>
      <c r="AC102" t="s">
        <v>656</v>
      </c>
      <c r="AD102">
        <v>452.5</v>
      </c>
    </row>
    <row r="103" spans="25:30" x14ac:dyDescent="0.35">
      <c r="Y103" t="s">
        <v>657</v>
      </c>
      <c r="Z103">
        <v>348.32</v>
      </c>
      <c r="AC103" t="s">
        <v>658</v>
      </c>
      <c r="AD103">
        <v>481</v>
      </c>
    </row>
    <row r="104" spans="25:30" x14ac:dyDescent="0.35">
      <c r="Y104" t="s">
        <v>659</v>
      </c>
      <c r="Z104">
        <v>352.25</v>
      </c>
      <c r="AC104" t="s">
        <v>660</v>
      </c>
      <c r="AD104">
        <v>397.3</v>
      </c>
    </row>
    <row r="105" spans="25:30" x14ac:dyDescent="0.35">
      <c r="Y105" t="s">
        <v>661</v>
      </c>
      <c r="Z105">
        <v>424.6</v>
      </c>
      <c r="AC105" t="s">
        <v>662</v>
      </c>
      <c r="AD105">
        <v>519.6</v>
      </c>
    </row>
    <row r="106" spans="25:30" x14ac:dyDescent="0.35">
      <c r="Y106" t="s">
        <v>663</v>
      </c>
      <c r="Z106">
        <v>237.82</v>
      </c>
      <c r="AC106" t="s">
        <v>664</v>
      </c>
      <c r="AD106">
        <v>264.55</v>
      </c>
    </row>
    <row r="107" spans="25:30" x14ac:dyDescent="0.35">
      <c r="Y107" t="s">
        <v>665</v>
      </c>
      <c r="Z107">
        <v>411.25</v>
      </c>
      <c r="AC107" t="s">
        <v>666</v>
      </c>
      <c r="AD107">
        <v>277.57</v>
      </c>
    </row>
    <row r="108" spans="25:30" x14ac:dyDescent="0.35">
      <c r="Y108" t="s">
        <v>667</v>
      </c>
      <c r="Z108">
        <v>440.9</v>
      </c>
      <c r="AC108" t="s">
        <v>668</v>
      </c>
      <c r="AD108">
        <v>255.85</v>
      </c>
    </row>
    <row r="109" spans="25:30" x14ac:dyDescent="0.35">
      <c r="Y109" t="s">
        <v>669</v>
      </c>
      <c r="Z109">
        <v>463.75</v>
      </c>
      <c r="AC109" t="s">
        <v>670</v>
      </c>
      <c r="AD109">
        <v>412.9</v>
      </c>
    </row>
    <row r="110" spans="25:30" x14ac:dyDescent="0.35">
      <c r="Y110" t="s">
        <v>671</v>
      </c>
      <c r="Z110">
        <v>525</v>
      </c>
      <c r="AC110" t="s">
        <v>672</v>
      </c>
      <c r="AD110">
        <v>243.47</v>
      </c>
    </row>
    <row r="111" spans="25:30" x14ac:dyDescent="0.35">
      <c r="Y111" t="s">
        <v>673</v>
      </c>
      <c r="Z111">
        <v>191.12</v>
      </c>
      <c r="AC111" t="s">
        <v>674</v>
      </c>
      <c r="AD111">
        <v>319.25</v>
      </c>
    </row>
    <row r="112" spans="25:30" x14ac:dyDescent="0.35">
      <c r="Y112" t="s">
        <v>675</v>
      </c>
      <c r="Z112">
        <v>640.29999999999995</v>
      </c>
      <c r="AC112" t="s">
        <v>676</v>
      </c>
      <c r="AD112">
        <v>399.7</v>
      </c>
    </row>
    <row r="113" spans="25:30" x14ac:dyDescent="0.35">
      <c r="Y113" t="s">
        <v>677</v>
      </c>
      <c r="Z113">
        <v>283.32</v>
      </c>
      <c r="AC113" t="s">
        <v>678</v>
      </c>
      <c r="AD113">
        <v>393.4</v>
      </c>
    </row>
    <row r="114" spans="25:30" x14ac:dyDescent="0.35">
      <c r="Y114" t="s">
        <v>679</v>
      </c>
      <c r="Z114">
        <v>294.55</v>
      </c>
      <c r="AC114" t="s">
        <v>680</v>
      </c>
      <c r="AD114">
        <v>443.6</v>
      </c>
    </row>
    <row r="115" spans="25:30" x14ac:dyDescent="0.35">
      <c r="Y115" t="s">
        <v>681</v>
      </c>
      <c r="Z115">
        <v>282.62</v>
      </c>
      <c r="AC115" t="s">
        <v>682</v>
      </c>
      <c r="AD115">
        <v>325.60000000000002</v>
      </c>
    </row>
    <row r="116" spans="25:30" x14ac:dyDescent="0.35">
      <c r="Y116" t="s">
        <v>683</v>
      </c>
      <c r="Z116">
        <v>519.97</v>
      </c>
      <c r="AC116" t="s">
        <v>684</v>
      </c>
      <c r="AD116">
        <v>482.4</v>
      </c>
    </row>
    <row r="117" spans="25:30" x14ac:dyDescent="0.35">
      <c r="Y117" t="s">
        <v>685</v>
      </c>
      <c r="Z117">
        <v>563.5</v>
      </c>
      <c r="AC117" t="s">
        <v>686</v>
      </c>
      <c r="AD117">
        <v>352.6</v>
      </c>
    </row>
    <row r="118" spans="25:30" x14ac:dyDescent="0.35">
      <c r="Y118" t="s">
        <v>687</v>
      </c>
      <c r="Z118">
        <v>476.15</v>
      </c>
      <c r="AC118" t="s">
        <v>688</v>
      </c>
      <c r="AD118">
        <v>341.37</v>
      </c>
    </row>
    <row r="119" spans="25:30" ht="13.15" x14ac:dyDescent="0.4">
      <c r="Y119" t="s">
        <v>397</v>
      </c>
      <c r="Z119" s="1">
        <f>AVERAGE(Z3:Z118)</f>
        <v>505.59965517241392</v>
      </c>
      <c r="AC119" t="s">
        <v>689</v>
      </c>
      <c r="AD119">
        <v>350.97</v>
      </c>
    </row>
    <row r="120" spans="25:30" ht="13.15" x14ac:dyDescent="0.4">
      <c r="Y120" t="s">
        <v>281</v>
      </c>
      <c r="Z120" s="1">
        <f>STDEV(Z3:Z118)</f>
        <v>182.71155629395238</v>
      </c>
      <c r="AC120" t="s">
        <v>690</v>
      </c>
      <c r="AD120">
        <v>310.05</v>
      </c>
    </row>
    <row r="121" spans="25:30" ht="13.15" x14ac:dyDescent="0.4">
      <c r="Y121" t="s">
        <v>284</v>
      </c>
      <c r="Z121" s="1">
        <f>Z120/SQRT(116)</f>
        <v>16.964342117430469</v>
      </c>
      <c r="AC121" t="s">
        <v>691</v>
      </c>
      <c r="AD121">
        <v>293.92</v>
      </c>
    </row>
    <row r="122" spans="25:30" x14ac:dyDescent="0.35">
      <c r="AC122" t="s">
        <v>692</v>
      </c>
      <c r="AD122">
        <v>292.42</v>
      </c>
    </row>
    <row r="123" spans="25:30" x14ac:dyDescent="0.35">
      <c r="AC123" t="s">
        <v>693</v>
      </c>
      <c r="AD123">
        <v>479.9</v>
      </c>
    </row>
    <row r="124" spans="25:30" x14ac:dyDescent="0.35">
      <c r="AC124" t="s">
        <v>694</v>
      </c>
      <c r="AD124">
        <v>349.5</v>
      </c>
    </row>
    <row r="125" spans="25:30" x14ac:dyDescent="0.35">
      <c r="AC125" t="s">
        <v>695</v>
      </c>
      <c r="AD125">
        <v>303.8</v>
      </c>
    </row>
    <row r="126" spans="25:30" ht="13.15" x14ac:dyDescent="0.4">
      <c r="AC126" t="s">
        <v>397</v>
      </c>
      <c r="AD126" s="1">
        <f>AVERAGE(AD3:AD125)</f>
        <v>337.96398373983743</v>
      </c>
    </row>
    <row r="127" spans="25:30" ht="13.15" x14ac:dyDescent="0.4">
      <c r="AC127" t="s">
        <v>281</v>
      </c>
      <c r="AD127" s="1">
        <f>STDEV(AD3:AD125)</f>
        <v>80.195113325020088</v>
      </c>
    </row>
    <row r="128" spans="25:30" ht="13.15" x14ac:dyDescent="0.4">
      <c r="AC128" t="s">
        <v>284</v>
      </c>
      <c r="AD128" s="1">
        <f>AD127/SQRT(123)</f>
        <v>7.2309498533884193</v>
      </c>
    </row>
  </sheetData>
  <mergeCells count="7">
    <mergeCell ref="AC1:AD1"/>
    <mergeCell ref="AF1:AG1"/>
    <mergeCell ref="B1:C1"/>
    <mergeCell ref="F1:I1"/>
    <mergeCell ref="L1:O1"/>
    <mergeCell ref="R1:W1"/>
    <mergeCell ref="Y1:Z1"/>
  </mergeCells>
  <pageMargins left="0.78749999999999998" right="0.78749999999999998" top="1.0249999999999999" bottom="1.0249999999999999" header="0.78749999999999998" footer="0.78749999999999998"/>
  <pageSetup firstPageNumber="0" orientation="portrait" horizontalDpi="1200" verticalDpi="1200" r:id="rId1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170"/>
  <sheetViews>
    <sheetView zoomScale="120" zoomScaleNormal="120" workbookViewId="0">
      <selection activeCell="AO3" sqref="AO3"/>
    </sheetView>
  </sheetViews>
  <sheetFormatPr defaultRowHeight="12.75" x14ac:dyDescent="0.35"/>
  <cols>
    <col min="45" max="45" width="27.796875"/>
  </cols>
  <sheetData>
    <row r="1" spans="1:45" ht="13.15" x14ac:dyDescent="0.4">
      <c r="A1" s="39" t="s">
        <v>1</v>
      </c>
      <c r="B1" s="39"/>
      <c r="E1" s="40" t="s">
        <v>9</v>
      </c>
      <c r="F1" s="40"/>
      <c r="H1" s="41" t="s">
        <v>10</v>
      </c>
      <c r="I1" s="41"/>
      <c r="K1" s="39" t="s">
        <v>1</v>
      </c>
      <c r="L1" s="39"/>
      <c r="O1" s="40" t="s">
        <v>9</v>
      </c>
      <c r="P1" s="40"/>
      <c r="R1" s="41" t="s">
        <v>10</v>
      </c>
      <c r="S1" s="41"/>
      <c r="V1" s="39" t="s">
        <v>1</v>
      </c>
      <c r="W1" s="39"/>
      <c r="Z1" s="40" t="s">
        <v>9</v>
      </c>
      <c r="AA1" s="40"/>
      <c r="AC1" s="41" t="s">
        <v>10</v>
      </c>
      <c r="AD1" s="41"/>
    </row>
    <row r="2" spans="1:45" ht="13.15" x14ac:dyDescent="0.4">
      <c r="A2" t="s">
        <v>15</v>
      </c>
      <c r="B2" s="19" t="s">
        <v>696</v>
      </c>
      <c r="E2" t="s">
        <v>15</v>
      </c>
      <c r="F2" s="19" t="s">
        <v>696</v>
      </c>
      <c r="H2" t="s">
        <v>15</v>
      </c>
      <c r="I2" s="19" t="s">
        <v>696</v>
      </c>
      <c r="K2" t="s">
        <v>15</v>
      </c>
      <c r="L2" s="17" t="s">
        <v>697</v>
      </c>
      <c r="O2" t="s">
        <v>15</v>
      </c>
      <c r="P2" s="17" t="s">
        <v>697</v>
      </c>
      <c r="R2" t="s">
        <v>15</v>
      </c>
      <c r="S2" s="17" t="s">
        <v>697</v>
      </c>
      <c r="V2" t="s">
        <v>15</v>
      </c>
      <c r="W2" s="17" t="s">
        <v>698</v>
      </c>
      <c r="Z2" t="s">
        <v>15</v>
      </c>
      <c r="AA2" s="17" t="s">
        <v>698</v>
      </c>
      <c r="AC2" t="s">
        <v>15</v>
      </c>
      <c r="AD2" s="17" t="s">
        <v>698</v>
      </c>
      <c r="AG2" s="39" t="s">
        <v>1</v>
      </c>
      <c r="AH2" s="39"/>
      <c r="AL2" s="40" t="s">
        <v>9</v>
      </c>
      <c r="AM2" s="40"/>
      <c r="AO2" s="41" t="s">
        <v>10</v>
      </c>
      <c r="AP2" s="41"/>
    </row>
    <row r="3" spans="1:45" ht="13.15" x14ac:dyDescent="0.4">
      <c r="A3" t="s">
        <v>342</v>
      </c>
      <c r="B3">
        <v>-61.11</v>
      </c>
      <c r="E3" t="s">
        <v>343</v>
      </c>
      <c r="F3">
        <v>-56.1</v>
      </c>
      <c r="H3" t="s">
        <v>344</v>
      </c>
      <c r="I3">
        <v>-63.48</v>
      </c>
      <c r="K3" t="s">
        <v>699</v>
      </c>
      <c r="L3">
        <v>-40.700000000000003</v>
      </c>
      <c r="O3" t="s">
        <v>343</v>
      </c>
      <c r="P3">
        <v>-43.494399999999999</v>
      </c>
      <c r="R3" t="s">
        <v>344</v>
      </c>
      <c r="S3">
        <v>-39.881900000000002</v>
      </c>
      <c r="V3" t="s">
        <v>342</v>
      </c>
      <c r="W3">
        <v>21.96</v>
      </c>
      <c r="Z3" t="s">
        <v>343</v>
      </c>
      <c r="AA3">
        <v>12.605600000000001</v>
      </c>
      <c r="AC3" t="s">
        <v>344</v>
      </c>
      <c r="AD3">
        <v>23.598099999999999</v>
      </c>
      <c r="AG3" s="30" t="s">
        <v>698</v>
      </c>
      <c r="AH3" s="1" t="s">
        <v>337</v>
      </c>
      <c r="AL3" s="1" t="s">
        <v>700</v>
      </c>
      <c r="AM3" s="1" t="s">
        <v>339</v>
      </c>
      <c r="AO3" s="1" t="s">
        <v>700</v>
      </c>
      <c r="AP3" s="1" t="s">
        <v>340</v>
      </c>
      <c r="AS3" s="31" t="s">
        <v>701</v>
      </c>
    </row>
    <row r="4" spans="1:45" x14ac:dyDescent="0.35">
      <c r="A4" t="s">
        <v>345</v>
      </c>
      <c r="B4">
        <v>-57.23</v>
      </c>
      <c r="E4" t="s">
        <v>346</v>
      </c>
      <c r="F4">
        <v>-61.63</v>
      </c>
      <c r="H4" t="s">
        <v>347</v>
      </c>
      <c r="I4">
        <v>-63.9</v>
      </c>
      <c r="K4" t="s">
        <v>702</v>
      </c>
      <c r="L4">
        <v>-37.6</v>
      </c>
      <c r="O4" t="s">
        <v>346</v>
      </c>
      <c r="P4">
        <v>-43.6798</v>
      </c>
      <c r="R4" t="s">
        <v>347</v>
      </c>
      <c r="S4">
        <v>-34.996000000000002</v>
      </c>
      <c r="V4" t="s">
        <v>345</v>
      </c>
      <c r="W4">
        <v>17.72</v>
      </c>
      <c r="Z4" t="s">
        <v>346</v>
      </c>
      <c r="AA4">
        <v>17.950199999999999</v>
      </c>
      <c r="AC4" t="s">
        <v>347</v>
      </c>
      <c r="AD4">
        <v>28.904</v>
      </c>
      <c r="AG4">
        <v>21.96</v>
      </c>
      <c r="AH4">
        <v>3.59</v>
      </c>
      <c r="AL4">
        <v>46.177700000000002</v>
      </c>
      <c r="AM4">
        <v>4.8899999999999997</v>
      </c>
      <c r="AO4">
        <v>23.598099999999999</v>
      </c>
      <c r="AP4">
        <v>0.55000000000000004</v>
      </c>
      <c r="AS4" t="s">
        <v>71</v>
      </c>
    </row>
    <row r="5" spans="1:45" x14ac:dyDescent="0.35">
      <c r="A5" t="s">
        <v>348</v>
      </c>
      <c r="B5">
        <v>-49.55</v>
      </c>
      <c r="E5" t="s">
        <v>349</v>
      </c>
      <c r="F5">
        <v>-63.1</v>
      </c>
      <c r="H5" t="s">
        <v>350</v>
      </c>
      <c r="I5">
        <v>-52.27</v>
      </c>
      <c r="K5" t="s">
        <v>703</v>
      </c>
      <c r="L5">
        <v>-35.700000000000003</v>
      </c>
      <c r="O5" t="s">
        <v>349</v>
      </c>
      <c r="P5">
        <v>-46.411099999999998</v>
      </c>
      <c r="R5" t="s">
        <v>350</v>
      </c>
      <c r="S5">
        <v>-32.926900000000003</v>
      </c>
      <c r="V5" t="s">
        <v>348</v>
      </c>
      <c r="W5">
        <v>12.29</v>
      </c>
      <c r="Z5" t="s">
        <v>349</v>
      </c>
      <c r="AA5">
        <v>16.6889</v>
      </c>
      <c r="AC5" t="s">
        <v>350</v>
      </c>
      <c r="AD5">
        <v>19.3431</v>
      </c>
      <c r="AG5">
        <v>17.72</v>
      </c>
      <c r="AH5">
        <v>1.44</v>
      </c>
      <c r="AL5">
        <v>34.218800000000002</v>
      </c>
      <c r="AM5">
        <v>1.28</v>
      </c>
      <c r="AO5">
        <v>28.904</v>
      </c>
      <c r="AP5">
        <v>0.46</v>
      </c>
      <c r="AS5" t="s">
        <v>86</v>
      </c>
    </row>
    <row r="6" spans="1:45" x14ac:dyDescent="0.35">
      <c r="A6" t="s">
        <v>351</v>
      </c>
      <c r="B6">
        <v>-48.05</v>
      </c>
      <c r="E6" t="s">
        <v>352</v>
      </c>
      <c r="F6">
        <v>-65.44</v>
      </c>
      <c r="H6" t="s">
        <v>353</v>
      </c>
      <c r="I6">
        <v>-59.22</v>
      </c>
      <c r="K6" t="s">
        <v>704</v>
      </c>
      <c r="L6">
        <v>-34.299999999999997</v>
      </c>
      <c r="O6" t="s">
        <v>352</v>
      </c>
      <c r="P6">
        <v>-42.069000000000003</v>
      </c>
      <c r="R6" t="s">
        <v>353</v>
      </c>
      <c r="S6">
        <v>-43.011499999999998</v>
      </c>
      <c r="V6" t="s">
        <v>351</v>
      </c>
      <c r="W6">
        <v>9.2799999999999905</v>
      </c>
      <c r="Z6" t="s">
        <v>352</v>
      </c>
      <c r="AA6">
        <v>23.370999999999999</v>
      </c>
      <c r="AC6" t="s">
        <v>353</v>
      </c>
      <c r="AD6">
        <v>16.208500000000001</v>
      </c>
      <c r="AG6">
        <v>12.29</v>
      </c>
      <c r="AH6">
        <v>1.34</v>
      </c>
      <c r="AL6">
        <v>33.302999999999997</v>
      </c>
      <c r="AM6">
        <v>1.03</v>
      </c>
      <c r="AO6">
        <v>19.3431</v>
      </c>
      <c r="AP6">
        <v>0.31</v>
      </c>
      <c r="AS6" t="s">
        <v>96</v>
      </c>
    </row>
    <row r="7" spans="1:45" x14ac:dyDescent="0.35">
      <c r="A7" t="s">
        <v>354</v>
      </c>
      <c r="B7">
        <v>-55.35</v>
      </c>
      <c r="E7" t="s">
        <v>355</v>
      </c>
      <c r="F7">
        <v>-65.52</v>
      </c>
      <c r="H7" t="s">
        <v>356</v>
      </c>
      <c r="I7">
        <v>-73.41</v>
      </c>
      <c r="K7" t="s">
        <v>705</v>
      </c>
      <c r="L7">
        <v>-38.799999999999997</v>
      </c>
      <c r="O7" t="s">
        <v>355</v>
      </c>
      <c r="P7">
        <v>-57.691000000000003</v>
      </c>
      <c r="R7" t="s">
        <v>356</v>
      </c>
      <c r="S7">
        <v>-42.619300000000003</v>
      </c>
      <c r="V7" t="s">
        <v>354</v>
      </c>
      <c r="W7">
        <v>19.489999999999998</v>
      </c>
      <c r="Z7" t="s">
        <v>355</v>
      </c>
      <c r="AA7">
        <v>7.82899999999999</v>
      </c>
      <c r="AC7" t="s">
        <v>356</v>
      </c>
      <c r="AD7">
        <v>30.790700000000001</v>
      </c>
      <c r="AG7">
        <v>9.2799999999999905</v>
      </c>
      <c r="AH7">
        <v>2.06</v>
      </c>
      <c r="AL7">
        <v>32.389000000000003</v>
      </c>
      <c r="AM7">
        <v>0.65</v>
      </c>
      <c r="AO7">
        <v>16.208500000000001</v>
      </c>
      <c r="AP7">
        <v>0.92</v>
      </c>
      <c r="AS7" t="s">
        <v>540</v>
      </c>
    </row>
    <row r="8" spans="1:45" x14ac:dyDescent="0.35">
      <c r="A8" t="s">
        <v>358</v>
      </c>
      <c r="B8">
        <v>-49.83</v>
      </c>
      <c r="E8" t="s">
        <v>359</v>
      </c>
      <c r="F8">
        <v>-54.17</v>
      </c>
      <c r="H8" t="s">
        <v>360</v>
      </c>
      <c r="I8">
        <v>-70.41</v>
      </c>
      <c r="K8" t="s">
        <v>706</v>
      </c>
      <c r="L8">
        <v>-34.200000000000003</v>
      </c>
      <c r="O8" t="s">
        <v>359</v>
      </c>
      <c r="P8">
        <v>-44.439700000000002</v>
      </c>
      <c r="R8" t="s">
        <v>360</v>
      </c>
      <c r="S8">
        <v>-37.919600000000003</v>
      </c>
      <c r="V8" t="s">
        <v>358</v>
      </c>
      <c r="W8">
        <v>8.8000000000000007</v>
      </c>
      <c r="Z8" t="s">
        <v>359</v>
      </c>
      <c r="AA8">
        <v>9.7302999999999997</v>
      </c>
      <c r="AC8" t="s">
        <v>360</v>
      </c>
      <c r="AD8">
        <v>32.490400000000001</v>
      </c>
      <c r="AG8">
        <v>19.489999999999998</v>
      </c>
      <c r="AH8">
        <v>2.2999999999999998</v>
      </c>
      <c r="AL8">
        <v>32.332500000000003</v>
      </c>
      <c r="AM8">
        <v>0.43</v>
      </c>
      <c r="AO8">
        <v>30.790700000000001</v>
      </c>
      <c r="AP8">
        <v>0.39</v>
      </c>
      <c r="AS8" t="s">
        <v>560</v>
      </c>
    </row>
    <row r="9" spans="1:45" x14ac:dyDescent="0.35">
      <c r="A9" t="s">
        <v>362</v>
      </c>
      <c r="B9">
        <v>-45.08</v>
      </c>
      <c r="E9" t="s">
        <v>363</v>
      </c>
      <c r="F9">
        <v>-63.83</v>
      </c>
      <c r="H9" t="s">
        <v>364</v>
      </c>
      <c r="I9">
        <v>-57.98</v>
      </c>
      <c r="K9" t="s">
        <v>707</v>
      </c>
      <c r="L9">
        <v>-36.5</v>
      </c>
      <c r="O9" t="s">
        <v>363</v>
      </c>
      <c r="P9">
        <v>-40.609000000000002</v>
      </c>
      <c r="R9" t="s">
        <v>364</v>
      </c>
      <c r="S9">
        <v>-45.498699999999999</v>
      </c>
      <c r="V9" t="s">
        <v>362</v>
      </c>
      <c r="W9">
        <v>9.73</v>
      </c>
      <c r="Z9" t="s">
        <v>363</v>
      </c>
      <c r="AA9">
        <v>23.221</v>
      </c>
      <c r="AC9" t="s">
        <v>364</v>
      </c>
      <c r="AD9">
        <v>12.481299999999999</v>
      </c>
      <c r="AG9">
        <v>8.8000000000000007</v>
      </c>
      <c r="AH9">
        <v>1.23</v>
      </c>
      <c r="AL9">
        <v>31.215699999999998</v>
      </c>
      <c r="AM9">
        <v>0.61</v>
      </c>
      <c r="AO9">
        <v>32.490400000000001</v>
      </c>
      <c r="AP9">
        <v>1.0900000000000001</v>
      </c>
      <c r="AS9" t="s">
        <v>568</v>
      </c>
    </row>
    <row r="10" spans="1:45" x14ac:dyDescent="0.35">
      <c r="A10" t="s">
        <v>366</v>
      </c>
      <c r="B10">
        <v>-53.08</v>
      </c>
      <c r="E10" t="s">
        <v>367</v>
      </c>
      <c r="F10">
        <v>-61.24</v>
      </c>
      <c r="H10" t="s">
        <v>368</v>
      </c>
      <c r="I10">
        <v>-64.75</v>
      </c>
      <c r="K10" t="s">
        <v>205</v>
      </c>
      <c r="L10">
        <v>-39.9</v>
      </c>
      <c r="O10" t="s">
        <v>367</v>
      </c>
      <c r="P10">
        <v>-42.905999999999999</v>
      </c>
      <c r="R10" t="s">
        <v>368</v>
      </c>
      <c r="S10">
        <v>-26.6052</v>
      </c>
      <c r="V10" t="s">
        <v>366</v>
      </c>
      <c r="W10">
        <v>14.63</v>
      </c>
      <c r="Z10" t="s">
        <v>367</v>
      </c>
      <c r="AA10">
        <v>18.334</v>
      </c>
      <c r="AC10" t="s">
        <v>368</v>
      </c>
      <c r="AD10">
        <v>38.144799999999996</v>
      </c>
      <c r="AG10">
        <v>9.73</v>
      </c>
      <c r="AH10">
        <v>1.07</v>
      </c>
      <c r="AL10">
        <v>30.893999999999998</v>
      </c>
      <c r="AM10">
        <v>1.62</v>
      </c>
      <c r="AO10">
        <v>12.481299999999999</v>
      </c>
      <c r="AP10">
        <v>0.93</v>
      </c>
      <c r="AS10" t="s">
        <v>572</v>
      </c>
    </row>
    <row r="11" spans="1:45" x14ac:dyDescent="0.35">
      <c r="A11" t="s">
        <v>370</v>
      </c>
      <c r="B11">
        <v>-42.01</v>
      </c>
      <c r="E11" t="s">
        <v>371</v>
      </c>
      <c r="F11">
        <v>-71</v>
      </c>
      <c r="H11" t="s">
        <v>372</v>
      </c>
      <c r="I11">
        <v>-50.47</v>
      </c>
      <c r="K11" t="s">
        <v>708</v>
      </c>
      <c r="L11">
        <v>-36.799999999999997</v>
      </c>
      <c r="O11" t="s">
        <v>371</v>
      </c>
      <c r="P11">
        <v>-43.791899999999998</v>
      </c>
      <c r="R11" t="s">
        <v>372</v>
      </c>
      <c r="S11">
        <v>-40.699800000000003</v>
      </c>
      <c r="V11" t="s">
        <v>370</v>
      </c>
      <c r="W11">
        <v>8.1699999999999893</v>
      </c>
      <c r="Z11" t="s">
        <v>371</v>
      </c>
      <c r="AA11">
        <v>27.208100000000002</v>
      </c>
      <c r="AC11" t="s">
        <v>372</v>
      </c>
      <c r="AD11">
        <v>9.7702000000000009</v>
      </c>
      <c r="AG11">
        <v>14.63</v>
      </c>
      <c r="AH11">
        <v>1.68</v>
      </c>
      <c r="AL11">
        <v>30.7682</v>
      </c>
      <c r="AM11">
        <v>2.08</v>
      </c>
      <c r="AO11">
        <v>38.144799999999996</v>
      </c>
      <c r="AP11">
        <v>1.87</v>
      </c>
      <c r="AS11" s="17" t="s">
        <v>87</v>
      </c>
    </row>
    <row r="12" spans="1:45" x14ac:dyDescent="0.35">
      <c r="A12" t="s">
        <v>374</v>
      </c>
      <c r="B12">
        <v>-52.29</v>
      </c>
      <c r="E12" t="s">
        <v>375</v>
      </c>
      <c r="F12">
        <v>-67.53</v>
      </c>
      <c r="H12" t="s">
        <v>376</v>
      </c>
      <c r="I12">
        <v>-50</v>
      </c>
      <c r="K12" t="s">
        <v>208</v>
      </c>
      <c r="L12">
        <v>-38.9</v>
      </c>
      <c r="O12" t="s">
        <v>375</v>
      </c>
      <c r="P12">
        <v>-55.677</v>
      </c>
      <c r="R12" t="s">
        <v>376</v>
      </c>
      <c r="S12">
        <v>-40.6158</v>
      </c>
      <c r="V12" t="s">
        <v>374</v>
      </c>
      <c r="W12">
        <v>12.48</v>
      </c>
      <c r="Z12" t="s">
        <v>375</v>
      </c>
      <c r="AA12">
        <v>11.853</v>
      </c>
      <c r="AC12" t="s">
        <v>376</v>
      </c>
      <c r="AD12">
        <v>9.3841999999999999</v>
      </c>
      <c r="AG12">
        <v>8.1699999999999893</v>
      </c>
      <c r="AH12">
        <v>0.59</v>
      </c>
      <c r="AL12">
        <v>29.953700000000001</v>
      </c>
      <c r="AM12">
        <v>1.6</v>
      </c>
      <c r="AO12">
        <v>9.7702000000000009</v>
      </c>
      <c r="AP12">
        <v>1.06</v>
      </c>
      <c r="AS12" s="17" t="s">
        <v>116</v>
      </c>
    </row>
    <row r="13" spans="1:45" x14ac:dyDescent="0.35">
      <c r="A13" t="s">
        <v>378</v>
      </c>
      <c r="B13">
        <v>-58.42</v>
      </c>
      <c r="E13" t="s">
        <v>379</v>
      </c>
      <c r="F13">
        <v>-59.3</v>
      </c>
      <c r="H13" t="s">
        <v>380</v>
      </c>
      <c r="I13">
        <v>-61.06</v>
      </c>
      <c r="K13" t="s">
        <v>213</v>
      </c>
      <c r="L13">
        <v>-39.6</v>
      </c>
      <c r="O13" t="s">
        <v>379</v>
      </c>
      <c r="P13">
        <v>-42.966000000000001</v>
      </c>
      <c r="R13" t="s">
        <v>380</v>
      </c>
      <c r="S13">
        <v>-48.707599999999999</v>
      </c>
      <c r="V13" t="s">
        <v>378</v>
      </c>
      <c r="W13">
        <v>20.63</v>
      </c>
      <c r="Z13" t="s">
        <v>379</v>
      </c>
      <c r="AA13">
        <v>16.334</v>
      </c>
      <c r="AC13" t="s">
        <v>380</v>
      </c>
      <c r="AD13">
        <v>12.352399999999999</v>
      </c>
      <c r="AG13">
        <v>12.48</v>
      </c>
      <c r="AH13">
        <v>1.44</v>
      </c>
      <c r="AL13">
        <v>29.904599999999999</v>
      </c>
      <c r="AM13">
        <v>0.67</v>
      </c>
      <c r="AO13">
        <v>9.3841999999999999</v>
      </c>
      <c r="AP13">
        <v>0.67</v>
      </c>
    </row>
    <row r="14" spans="1:45" x14ac:dyDescent="0.35">
      <c r="A14" t="s">
        <v>382</v>
      </c>
      <c r="B14">
        <v>-61.61</v>
      </c>
      <c r="E14" t="s">
        <v>383</v>
      </c>
      <c r="F14">
        <v>-67.42</v>
      </c>
      <c r="H14" t="s">
        <v>384</v>
      </c>
      <c r="I14">
        <v>-61.78</v>
      </c>
      <c r="K14" t="s">
        <v>216</v>
      </c>
      <c r="L14">
        <v>-43.3</v>
      </c>
      <c r="O14" t="s">
        <v>383</v>
      </c>
      <c r="P14">
        <v>-45.091999999999999</v>
      </c>
      <c r="R14" t="s">
        <v>384</v>
      </c>
      <c r="S14">
        <v>-41.877699999999997</v>
      </c>
      <c r="V14" t="s">
        <v>382</v>
      </c>
      <c r="W14">
        <v>29.3</v>
      </c>
      <c r="Z14" t="s">
        <v>383</v>
      </c>
      <c r="AA14">
        <v>22.327999999999999</v>
      </c>
      <c r="AC14" t="s">
        <v>384</v>
      </c>
      <c r="AD14">
        <v>19.9023</v>
      </c>
      <c r="AG14">
        <v>20.63</v>
      </c>
      <c r="AH14">
        <v>1.42</v>
      </c>
      <c r="AL14">
        <v>29.526949999999999</v>
      </c>
      <c r="AM14" s="9">
        <v>1.78</v>
      </c>
      <c r="AO14">
        <v>12.352399999999999</v>
      </c>
      <c r="AP14">
        <v>0.63</v>
      </c>
    </row>
    <row r="15" spans="1:45" x14ac:dyDescent="0.35">
      <c r="A15" t="s">
        <v>385</v>
      </c>
      <c r="B15">
        <v>-58.91</v>
      </c>
      <c r="E15" t="s">
        <v>386</v>
      </c>
      <c r="F15">
        <v>-51.63</v>
      </c>
      <c r="H15" t="s">
        <v>387</v>
      </c>
      <c r="I15">
        <v>-63.69</v>
      </c>
      <c r="K15" t="s">
        <v>219</v>
      </c>
      <c r="L15">
        <v>-41.8</v>
      </c>
      <c r="O15" t="s">
        <v>386</v>
      </c>
      <c r="P15">
        <v>-41.587800000000001</v>
      </c>
      <c r="R15" t="s">
        <v>387</v>
      </c>
      <c r="S15">
        <v>-43.5349</v>
      </c>
      <c r="V15" t="s">
        <v>385</v>
      </c>
      <c r="W15">
        <v>20.21</v>
      </c>
      <c r="Z15" t="s">
        <v>386</v>
      </c>
      <c r="AA15">
        <v>10.042199999999999</v>
      </c>
      <c r="AC15" t="s">
        <v>387</v>
      </c>
      <c r="AD15">
        <v>20.155100000000001</v>
      </c>
      <c r="AG15">
        <v>29.3</v>
      </c>
      <c r="AH15">
        <v>1.38</v>
      </c>
      <c r="AL15">
        <v>28.758900000000001</v>
      </c>
      <c r="AM15">
        <v>1.73</v>
      </c>
      <c r="AO15">
        <v>19.9023</v>
      </c>
      <c r="AP15">
        <v>0.43</v>
      </c>
    </row>
    <row r="16" spans="1:45" x14ac:dyDescent="0.35">
      <c r="A16" t="s">
        <v>388</v>
      </c>
      <c r="B16">
        <v>-54.51</v>
      </c>
      <c r="E16" t="s">
        <v>389</v>
      </c>
      <c r="F16">
        <v>-65.739999999999995</v>
      </c>
      <c r="H16" t="s">
        <v>390</v>
      </c>
      <c r="I16">
        <v>-58.25</v>
      </c>
      <c r="K16" t="s">
        <v>709</v>
      </c>
      <c r="L16">
        <v>-42.7</v>
      </c>
      <c r="O16" t="s">
        <v>389</v>
      </c>
      <c r="P16">
        <v>-32.436999999999998</v>
      </c>
      <c r="R16" t="s">
        <v>390</v>
      </c>
      <c r="S16">
        <v>-41.371200000000002</v>
      </c>
      <c r="V16" t="s">
        <v>388</v>
      </c>
      <c r="W16">
        <v>25.59</v>
      </c>
      <c r="Z16" t="s">
        <v>389</v>
      </c>
      <c r="AA16">
        <v>33.302999999999997</v>
      </c>
      <c r="AC16" t="s">
        <v>390</v>
      </c>
      <c r="AD16">
        <v>16.878799999999998</v>
      </c>
      <c r="AG16">
        <v>20.21</v>
      </c>
      <c r="AH16">
        <v>0.93</v>
      </c>
      <c r="AL16">
        <v>28.666799999999999</v>
      </c>
      <c r="AM16">
        <v>1.73</v>
      </c>
      <c r="AO16">
        <v>20.155100000000001</v>
      </c>
      <c r="AP16">
        <v>0.43</v>
      </c>
    </row>
    <row r="17" spans="1:42" x14ac:dyDescent="0.35">
      <c r="A17" t="s">
        <v>391</v>
      </c>
      <c r="B17">
        <v>-53.42</v>
      </c>
      <c r="E17" t="s">
        <v>392</v>
      </c>
      <c r="F17">
        <v>-59.47</v>
      </c>
      <c r="H17" t="s">
        <v>393</v>
      </c>
      <c r="I17">
        <v>-53.65</v>
      </c>
      <c r="K17" t="s">
        <v>710</v>
      </c>
      <c r="L17">
        <v>-43.2</v>
      </c>
      <c r="O17" t="s">
        <v>392</v>
      </c>
      <c r="P17">
        <v>-40.549399999999999</v>
      </c>
      <c r="R17" t="s">
        <v>393</v>
      </c>
      <c r="S17">
        <v>-34.715299999999999</v>
      </c>
      <c r="V17" t="s">
        <v>391</v>
      </c>
      <c r="W17">
        <v>12.05</v>
      </c>
      <c r="Z17" t="s">
        <v>392</v>
      </c>
      <c r="AA17">
        <v>18.9206</v>
      </c>
      <c r="AC17" t="s">
        <v>393</v>
      </c>
      <c r="AD17">
        <v>18.934699999999999</v>
      </c>
      <c r="AG17">
        <v>25.59</v>
      </c>
      <c r="AH17">
        <v>0.52</v>
      </c>
      <c r="AL17">
        <v>28.532499999999999</v>
      </c>
      <c r="AM17">
        <v>0.77</v>
      </c>
      <c r="AO17">
        <v>16.878799999999998</v>
      </c>
      <c r="AP17">
        <v>1.52</v>
      </c>
    </row>
    <row r="18" spans="1:42" x14ac:dyDescent="0.35">
      <c r="A18" t="s">
        <v>711</v>
      </c>
      <c r="B18">
        <v>-61.23</v>
      </c>
      <c r="E18" t="s">
        <v>395</v>
      </c>
      <c r="F18">
        <v>-64.34</v>
      </c>
      <c r="H18" t="s">
        <v>396</v>
      </c>
      <c r="I18">
        <v>-53.29</v>
      </c>
      <c r="K18" t="s">
        <v>712</v>
      </c>
      <c r="L18">
        <v>-41.3</v>
      </c>
      <c r="O18" t="s">
        <v>395</v>
      </c>
      <c r="P18">
        <v>-49.143999999999998</v>
      </c>
      <c r="R18" t="s">
        <v>396</v>
      </c>
      <c r="S18">
        <v>-40.013100000000001</v>
      </c>
      <c r="V18" t="s">
        <v>394</v>
      </c>
      <c r="W18">
        <v>22.73</v>
      </c>
      <c r="Z18" t="s">
        <v>395</v>
      </c>
      <c r="AA18">
        <v>15.196</v>
      </c>
      <c r="AC18" t="s">
        <v>396</v>
      </c>
      <c r="AD18">
        <v>13.276899999999999</v>
      </c>
      <c r="AG18">
        <v>12.05</v>
      </c>
      <c r="AH18">
        <v>1.1399999999999999</v>
      </c>
      <c r="AL18">
        <v>28.409800000000001</v>
      </c>
      <c r="AM18">
        <v>0.9</v>
      </c>
      <c r="AO18">
        <v>18.934699999999999</v>
      </c>
      <c r="AP18" s="8">
        <v>0.81</v>
      </c>
    </row>
    <row r="19" spans="1:42" x14ac:dyDescent="0.35">
      <c r="A19" t="s">
        <v>394</v>
      </c>
      <c r="B19">
        <v>-61.89</v>
      </c>
      <c r="E19" t="s">
        <v>399</v>
      </c>
      <c r="F19">
        <v>-59.57</v>
      </c>
      <c r="H19" t="s">
        <v>400</v>
      </c>
      <c r="I19">
        <v>-60.49</v>
      </c>
      <c r="K19" t="s">
        <v>713</v>
      </c>
      <c r="L19">
        <v>-46.6</v>
      </c>
      <c r="O19" t="s">
        <v>399</v>
      </c>
      <c r="P19">
        <v>-42.749699999999997</v>
      </c>
      <c r="R19" t="s">
        <v>400</v>
      </c>
      <c r="S19">
        <v>-46.441699999999997</v>
      </c>
      <c r="V19" t="s">
        <v>398</v>
      </c>
      <c r="W19">
        <v>25.84</v>
      </c>
      <c r="Z19" t="s">
        <v>399</v>
      </c>
      <c r="AA19">
        <v>16.8203</v>
      </c>
      <c r="AC19" t="s">
        <v>400</v>
      </c>
      <c r="AD19">
        <v>14.048299999999999</v>
      </c>
      <c r="AG19">
        <v>22.73</v>
      </c>
      <c r="AH19">
        <v>2.12</v>
      </c>
      <c r="AL19">
        <v>28.3643</v>
      </c>
      <c r="AM19">
        <v>1.26</v>
      </c>
      <c r="AO19">
        <v>13.276899999999999</v>
      </c>
      <c r="AP19">
        <v>0.48</v>
      </c>
    </row>
    <row r="20" spans="1:42" ht="13.15" x14ac:dyDescent="0.4">
      <c r="A20" t="s">
        <v>398</v>
      </c>
      <c r="B20">
        <v>-64.23</v>
      </c>
      <c r="E20" t="s">
        <v>402</v>
      </c>
      <c r="F20">
        <v>-58.47</v>
      </c>
      <c r="H20" t="s">
        <v>403</v>
      </c>
      <c r="I20">
        <v>-53.48</v>
      </c>
      <c r="K20" t="s">
        <v>714</v>
      </c>
      <c r="L20">
        <v>-42.8</v>
      </c>
      <c r="O20" t="s">
        <v>402</v>
      </c>
      <c r="P20">
        <v>-41.889000000000003</v>
      </c>
      <c r="R20" t="s">
        <v>403</v>
      </c>
      <c r="S20">
        <v>-45.259099999999997</v>
      </c>
      <c r="V20" t="s">
        <v>401</v>
      </c>
      <c r="W20">
        <v>12.74</v>
      </c>
      <c r="Z20" t="s">
        <v>402</v>
      </c>
      <c r="AA20">
        <v>16.581</v>
      </c>
      <c r="AC20" t="s">
        <v>403</v>
      </c>
      <c r="AD20">
        <v>8.2209000000000003</v>
      </c>
      <c r="AG20">
        <v>25.84</v>
      </c>
      <c r="AH20">
        <v>2.2000000000000002</v>
      </c>
      <c r="AL20">
        <v>28.1434</v>
      </c>
      <c r="AM20" s="1">
        <f>AVERAGE(AM4:AM19)</f>
        <v>1.4393750000000001</v>
      </c>
      <c r="AO20">
        <v>14.048299999999999</v>
      </c>
      <c r="AP20">
        <v>0.54</v>
      </c>
    </row>
    <row r="21" spans="1:42" x14ac:dyDescent="0.35">
      <c r="A21" t="s">
        <v>401</v>
      </c>
      <c r="B21">
        <v>-53.65</v>
      </c>
      <c r="E21" t="s">
        <v>405</v>
      </c>
      <c r="F21">
        <v>-55.03</v>
      </c>
      <c r="H21" t="s">
        <v>406</v>
      </c>
      <c r="I21">
        <v>-46.81</v>
      </c>
      <c r="K21" t="s">
        <v>715</v>
      </c>
      <c r="L21">
        <v>-44.7</v>
      </c>
      <c r="O21" t="s">
        <v>405</v>
      </c>
      <c r="P21">
        <v>-42.662799999999997</v>
      </c>
      <c r="R21" t="s">
        <v>406</v>
      </c>
      <c r="S21">
        <v>-37.077300000000001</v>
      </c>
      <c r="V21" t="s">
        <v>404</v>
      </c>
      <c r="W21">
        <v>9.93</v>
      </c>
      <c r="Z21" t="s">
        <v>405</v>
      </c>
      <c r="AA21">
        <v>12.3672</v>
      </c>
      <c r="AC21" t="s">
        <v>406</v>
      </c>
      <c r="AD21">
        <v>9.7326999999999995</v>
      </c>
      <c r="AG21">
        <v>12.74</v>
      </c>
      <c r="AH21">
        <v>2.93</v>
      </c>
      <c r="AL21">
        <v>27.837900000000001</v>
      </c>
      <c r="AO21">
        <v>8.2209000000000003</v>
      </c>
      <c r="AP21" s="8">
        <v>0.95</v>
      </c>
    </row>
    <row r="22" spans="1:42" x14ac:dyDescent="0.35">
      <c r="A22" t="s">
        <v>404</v>
      </c>
      <c r="B22">
        <v>-50.25</v>
      </c>
      <c r="E22" t="s">
        <v>408</v>
      </c>
      <c r="F22">
        <v>-61.84</v>
      </c>
      <c r="H22" t="s">
        <v>409</v>
      </c>
      <c r="I22">
        <v>-42.74</v>
      </c>
      <c r="K22" t="s">
        <v>716</v>
      </c>
      <c r="L22">
        <v>-42.8</v>
      </c>
      <c r="O22" t="s">
        <v>408</v>
      </c>
      <c r="P22">
        <v>-44.055100000000003</v>
      </c>
      <c r="R22" t="s">
        <v>409</v>
      </c>
      <c r="S22">
        <v>-35.310400000000001</v>
      </c>
      <c r="V22" t="s">
        <v>407</v>
      </c>
      <c r="W22">
        <v>11.99</v>
      </c>
      <c r="Z22" t="s">
        <v>408</v>
      </c>
      <c r="AA22">
        <v>17.7849</v>
      </c>
      <c r="AC22" t="s">
        <v>409</v>
      </c>
      <c r="AD22">
        <v>7.4295999999999998</v>
      </c>
      <c r="AG22">
        <v>9.93</v>
      </c>
      <c r="AH22">
        <v>1.71</v>
      </c>
      <c r="AL22">
        <v>27.764099999999999</v>
      </c>
      <c r="AO22">
        <v>9.7326999999999995</v>
      </c>
      <c r="AP22" s="8">
        <v>1.18</v>
      </c>
    </row>
    <row r="23" spans="1:42" x14ac:dyDescent="0.35">
      <c r="A23" t="s">
        <v>407</v>
      </c>
      <c r="B23">
        <v>-50.5</v>
      </c>
      <c r="E23" t="s">
        <v>412</v>
      </c>
      <c r="F23">
        <v>-76.47</v>
      </c>
      <c r="H23" t="s">
        <v>413</v>
      </c>
      <c r="I23">
        <v>-55.36</v>
      </c>
      <c r="K23" t="s">
        <v>717</v>
      </c>
      <c r="L23">
        <v>-47.8</v>
      </c>
      <c r="O23" t="s">
        <v>412</v>
      </c>
      <c r="P23">
        <v>-44.081000000000003</v>
      </c>
      <c r="R23" t="s">
        <v>413</v>
      </c>
      <c r="S23">
        <v>-42.970300000000002</v>
      </c>
      <c r="V23" t="s">
        <v>411</v>
      </c>
      <c r="W23">
        <v>8.7200000000000006</v>
      </c>
      <c r="Z23" t="s">
        <v>412</v>
      </c>
      <c r="AA23">
        <v>32.389000000000003</v>
      </c>
      <c r="AC23" t="s">
        <v>413</v>
      </c>
      <c r="AD23">
        <v>12.389699999999999</v>
      </c>
      <c r="AG23">
        <v>11.99</v>
      </c>
      <c r="AH23">
        <v>1.52</v>
      </c>
      <c r="AL23">
        <v>27.762499999999999</v>
      </c>
      <c r="AO23">
        <v>7.4295999999999998</v>
      </c>
      <c r="AP23" s="8">
        <v>0.8</v>
      </c>
    </row>
    <row r="24" spans="1:42" x14ac:dyDescent="0.35">
      <c r="A24" t="s">
        <v>411</v>
      </c>
      <c r="B24">
        <v>-55</v>
      </c>
      <c r="E24" t="s">
        <v>415</v>
      </c>
      <c r="F24">
        <v>-62.63</v>
      </c>
      <c r="H24" t="s">
        <v>416</v>
      </c>
      <c r="I24">
        <v>-64.97</v>
      </c>
      <c r="K24" t="s">
        <v>718</v>
      </c>
      <c r="L24">
        <v>-44.9</v>
      </c>
      <c r="O24" t="s">
        <v>415</v>
      </c>
      <c r="P24">
        <v>-42.718499999999999</v>
      </c>
      <c r="R24" t="s">
        <v>416</v>
      </c>
      <c r="S24">
        <v>-35.028100000000002</v>
      </c>
      <c r="V24" t="s">
        <v>414</v>
      </c>
      <c r="W24">
        <v>13.76</v>
      </c>
      <c r="Z24" t="s">
        <v>415</v>
      </c>
      <c r="AA24">
        <v>19.9115</v>
      </c>
      <c r="AC24" t="s">
        <v>416</v>
      </c>
      <c r="AD24">
        <v>29.9419</v>
      </c>
      <c r="AG24">
        <v>8.7200000000000006</v>
      </c>
      <c r="AH24">
        <v>2.9</v>
      </c>
      <c r="AL24">
        <v>27.688300000000002</v>
      </c>
      <c r="AO24">
        <v>12.389699999999999</v>
      </c>
      <c r="AP24">
        <v>0.56000000000000005</v>
      </c>
    </row>
    <row r="25" spans="1:42" x14ac:dyDescent="0.35">
      <c r="A25" t="s">
        <v>414</v>
      </c>
      <c r="B25">
        <v>-52.06</v>
      </c>
      <c r="E25" t="s">
        <v>418</v>
      </c>
      <c r="F25">
        <v>-57.11</v>
      </c>
      <c r="H25" t="s">
        <v>419</v>
      </c>
      <c r="I25">
        <v>-52.48</v>
      </c>
      <c r="K25" t="s">
        <v>719</v>
      </c>
      <c r="L25">
        <v>-43.7</v>
      </c>
      <c r="O25" t="s">
        <v>418</v>
      </c>
      <c r="P25">
        <v>-48.033000000000001</v>
      </c>
      <c r="R25" t="s">
        <v>419</v>
      </c>
      <c r="S25">
        <v>-44.099400000000003</v>
      </c>
      <c r="V25" t="s">
        <v>417</v>
      </c>
      <c r="W25">
        <v>18.749199999999998</v>
      </c>
      <c r="Z25" t="s">
        <v>418</v>
      </c>
      <c r="AA25">
        <v>9.077</v>
      </c>
      <c r="AC25" t="s">
        <v>419</v>
      </c>
      <c r="AD25">
        <v>8.3805999999999905</v>
      </c>
      <c r="AG25">
        <v>13.76</v>
      </c>
      <c r="AH25">
        <v>1.02</v>
      </c>
      <c r="AL25">
        <v>27.653500000000001</v>
      </c>
      <c r="AO25">
        <v>29.9419</v>
      </c>
      <c r="AP25">
        <v>0.98</v>
      </c>
    </row>
    <row r="26" spans="1:42" x14ac:dyDescent="0.35">
      <c r="A26" t="s">
        <v>417</v>
      </c>
      <c r="B26">
        <v>-57.74</v>
      </c>
      <c r="E26" t="s">
        <v>422</v>
      </c>
      <c r="F26">
        <v>-71.83</v>
      </c>
      <c r="H26" t="s">
        <v>423</v>
      </c>
      <c r="I26">
        <v>-52</v>
      </c>
      <c r="K26" t="s">
        <v>720</v>
      </c>
      <c r="L26">
        <v>-43.5</v>
      </c>
      <c r="O26" t="s">
        <v>422</v>
      </c>
      <c r="P26">
        <v>-46.237200000000001</v>
      </c>
      <c r="R26" t="s">
        <v>423</v>
      </c>
      <c r="S26">
        <v>-43.930100000000003</v>
      </c>
      <c r="V26" t="s">
        <v>421</v>
      </c>
      <c r="W26">
        <v>11.9109</v>
      </c>
      <c r="Z26" t="s">
        <v>422</v>
      </c>
      <c r="AA26">
        <v>25.5928</v>
      </c>
      <c r="AC26" t="s">
        <v>423</v>
      </c>
      <c r="AD26">
        <v>8.0699000000000005</v>
      </c>
      <c r="AG26">
        <v>18.749199999999998</v>
      </c>
      <c r="AH26">
        <v>3.66</v>
      </c>
      <c r="AL26">
        <v>27.208100000000002</v>
      </c>
      <c r="AO26">
        <v>8.3805999999999905</v>
      </c>
      <c r="AP26">
        <v>1.75</v>
      </c>
    </row>
    <row r="27" spans="1:42" ht="13.15" x14ac:dyDescent="0.4">
      <c r="A27" t="s">
        <v>421</v>
      </c>
      <c r="B27">
        <v>-47</v>
      </c>
      <c r="E27" t="s">
        <v>426</v>
      </c>
      <c r="F27">
        <v>-71.599999999999994</v>
      </c>
      <c r="H27" t="s">
        <v>427</v>
      </c>
      <c r="I27">
        <v>-73.91</v>
      </c>
      <c r="K27" t="s">
        <v>721</v>
      </c>
      <c r="L27">
        <v>-43.2</v>
      </c>
      <c r="O27" t="s">
        <v>426</v>
      </c>
      <c r="P27">
        <v>-56.1218</v>
      </c>
      <c r="R27" t="s">
        <v>430</v>
      </c>
      <c r="S27">
        <v>-39.1327</v>
      </c>
      <c r="V27" t="s">
        <v>425</v>
      </c>
      <c r="W27">
        <v>12.0435</v>
      </c>
      <c r="Z27" t="s">
        <v>426</v>
      </c>
      <c r="AA27">
        <v>15.478199999999999</v>
      </c>
      <c r="AC27" t="s">
        <v>430</v>
      </c>
      <c r="AD27">
        <v>34.347299999999997</v>
      </c>
      <c r="AG27">
        <v>11.9109</v>
      </c>
      <c r="AH27">
        <v>2.5</v>
      </c>
      <c r="AL27">
        <v>26.936599999999999</v>
      </c>
      <c r="AM27" s="1"/>
      <c r="AO27">
        <v>8.0699000000000005</v>
      </c>
      <c r="AP27">
        <v>1.66</v>
      </c>
    </row>
    <row r="28" spans="1:42" x14ac:dyDescent="0.35">
      <c r="A28" t="s">
        <v>425</v>
      </c>
      <c r="B28">
        <v>-49.13</v>
      </c>
      <c r="E28" t="s">
        <v>429</v>
      </c>
      <c r="F28">
        <v>-68.72</v>
      </c>
      <c r="H28" t="s">
        <v>430</v>
      </c>
      <c r="I28">
        <v>-73.48</v>
      </c>
      <c r="K28" t="s">
        <v>722</v>
      </c>
      <c r="L28">
        <v>-43.2</v>
      </c>
      <c r="O28" t="s">
        <v>429</v>
      </c>
      <c r="P28">
        <v>-46.0792</v>
      </c>
      <c r="R28" t="s">
        <v>433</v>
      </c>
      <c r="S28">
        <v>-45.791600000000003</v>
      </c>
      <c r="V28" t="s">
        <v>428</v>
      </c>
      <c r="W28">
        <v>17.410900000000002</v>
      </c>
      <c r="Z28" t="s">
        <v>429</v>
      </c>
      <c r="AA28">
        <v>22.640799999999999</v>
      </c>
      <c r="AC28" t="s">
        <v>433</v>
      </c>
      <c r="AD28">
        <v>20.288399999999999</v>
      </c>
      <c r="AG28">
        <v>12.0435</v>
      </c>
      <c r="AH28">
        <v>1.02</v>
      </c>
      <c r="AL28">
        <v>26.650099999999998</v>
      </c>
      <c r="AP28">
        <v>1.76</v>
      </c>
    </row>
    <row r="29" spans="1:42" ht="13.15" x14ac:dyDescent="0.4">
      <c r="A29" t="s">
        <v>428</v>
      </c>
      <c r="B29">
        <v>-57.63</v>
      </c>
      <c r="E29" t="s">
        <v>432</v>
      </c>
      <c r="F29">
        <v>-81.709999999999994</v>
      </c>
      <c r="H29" t="s">
        <v>433</v>
      </c>
      <c r="I29">
        <v>-66.08</v>
      </c>
      <c r="K29" t="s">
        <v>723</v>
      </c>
      <c r="L29">
        <v>-43.5</v>
      </c>
      <c r="O29" t="s">
        <v>432</v>
      </c>
      <c r="P29">
        <v>-53.945900000000002</v>
      </c>
      <c r="R29" t="s">
        <v>436</v>
      </c>
      <c r="S29">
        <v>-42.2592</v>
      </c>
      <c r="V29" t="s">
        <v>431</v>
      </c>
      <c r="W29">
        <v>15.8269</v>
      </c>
      <c r="Z29" t="s">
        <v>432</v>
      </c>
      <c r="AA29">
        <v>27.764099999999999</v>
      </c>
      <c r="AC29" t="s">
        <v>436</v>
      </c>
      <c r="AD29">
        <v>27.070799999999998</v>
      </c>
      <c r="AG29">
        <v>17.410900000000002</v>
      </c>
      <c r="AH29">
        <v>3.03</v>
      </c>
      <c r="AL29">
        <v>26.5686</v>
      </c>
      <c r="AO29">
        <v>34.347299999999997</v>
      </c>
      <c r="AP29" s="1">
        <f>AVERAGE(Figure6!AP4:AP28)</f>
        <v>0.90920000000000001</v>
      </c>
    </row>
    <row r="30" spans="1:42" x14ac:dyDescent="0.35">
      <c r="A30" t="s">
        <v>431</v>
      </c>
      <c r="B30">
        <v>-54.54</v>
      </c>
      <c r="E30" t="s">
        <v>435</v>
      </c>
      <c r="F30">
        <v>-64.41</v>
      </c>
      <c r="H30" t="s">
        <v>436</v>
      </c>
      <c r="I30">
        <v>-69.33</v>
      </c>
      <c r="K30" t="s">
        <v>724</v>
      </c>
      <c r="L30">
        <v>-43.1</v>
      </c>
      <c r="O30" t="s">
        <v>435</v>
      </c>
      <c r="P30">
        <v>-43.243400000000001</v>
      </c>
      <c r="R30" t="s">
        <v>439</v>
      </c>
      <c r="S30">
        <v>-33.102400000000003</v>
      </c>
      <c r="V30" t="s">
        <v>434</v>
      </c>
      <c r="W30">
        <v>29.836099999999998</v>
      </c>
      <c r="Z30" t="s">
        <v>435</v>
      </c>
      <c r="AA30">
        <v>21.166599999999999</v>
      </c>
      <c r="AC30" t="s">
        <v>439</v>
      </c>
      <c r="AD30">
        <v>32.2776</v>
      </c>
      <c r="AG30">
        <v>15.8269</v>
      </c>
      <c r="AH30">
        <v>2.71</v>
      </c>
      <c r="AL30">
        <v>26.422999999999998</v>
      </c>
      <c r="AO30">
        <v>20.288399999999999</v>
      </c>
    </row>
    <row r="31" spans="1:42" x14ac:dyDescent="0.35">
      <c r="A31" t="s">
        <v>434</v>
      </c>
      <c r="B31">
        <v>-64.06</v>
      </c>
      <c r="E31" t="s">
        <v>438</v>
      </c>
      <c r="F31">
        <v>-57.72</v>
      </c>
      <c r="H31" t="s">
        <v>439</v>
      </c>
      <c r="I31">
        <v>-65.38</v>
      </c>
      <c r="K31" t="s">
        <v>725</v>
      </c>
      <c r="L31">
        <v>-44.8</v>
      </c>
      <c r="O31" t="s">
        <v>438</v>
      </c>
      <c r="P31">
        <v>-46.586599999999997</v>
      </c>
      <c r="R31" t="s">
        <v>442</v>
      </c>
      <c r="S31">
        <v>-46.929900000000004</v>
      </c>
      <c r="V31" t="s">
        <v>437</v>
      </c>
      <c r="W31">
        <v>10.9376</v>
      </c>
      <c r="Z31" t="s">
        <v>438</v>
      </c>
      <c r="AA31">
        <v>11.1334</v>
      </c>
      <c r="AC31" t="s">
        <v>442</v>
      </c>
      <c r="AD31">
        <v>15.5801</v>
      </c>
      <c r="AG31">
        <v>29.836099999999998</v>
      </c>
      <c r="AH31">
        <v>1.75</v>
      </c>
      <c r="AL31">
        <v>26.3081</v>
      </c>
      <c r="AO31">
        <v>27.070799999999998</v>
      </c>
    </row>
    <row r="32" spans="1:42" ht="13.15" x14ac:dyDescent="0.4">
      <c r="A32" t="s">
        <v>437</v>
      </c>
      <c r="B32">
        <v>-48.05</v>
      </c>
      <c r="E32" t="s">
        <v>441</v>
      </c>
      <c r="F32">
        <v>-59.39</v>
      </c>
      <c r="H32" t="s">
        <v>442</v>
      </c>
      <c r="I32">
        <v>-62.51</v>
      </c>
      <c r="K32" t="s">
        <v>726</v>
      </c>
      <c r="L32">
        <v>-44.6</v>
      </c>
      <c r="O32" t="s">
        <v>441</v>
      </c>
      <c r="P32">
        <v>-40.820300000000003</v>
      </c>
      <c r="R32" t="s">
        <v>445</v>
      </c>
      <c r="S32">
        <v>-46.763599999999997</v>
      </c>
      <c r="V32" t="s">
        <v>440</v>
      </c>
      <c r="W32">
        <v>14.9237</v>
      </c>
      <c r="Z32" t="s">
        <v>441</v>
      </c>
      <c r="AA32">
        <v>18.569700000000001</v>
      </c>
      <c r="AC32" t="s">
        <v>445</v>
      </c>
      <c r="AD32">
        <v>11.9864</v>
      </c>
      <c r="AG32">
        <v>10.9376</v>
      </c>
      <c r="AH32">
        <v>1.61</v>
      </c>
      <c r="AL32">
        <v>25.991599999999998</v>
      </c>
      <c r="AM32" s="1"/>
      <c r="AO32">
        <v>32.2776</v>
      </c>
      <c r="AP32" s="1"/>
    </row>
    <row r="33" spans="1:47" x14ac:dyDescent="0.35">
      <c r="A33" t="s">
        <v>440</v>
      </c>
      <c r="B33">
        <v>-51.47</v>
      </c>
      <c r="E33" t="s">
        <v>444</v>
      </c>
      <c r="F33">
        <v>-66.400000000000006</v>
      </c>
      <c r="H33" t="s">
        <v>445</v>
      </c>
      <c r="I33">
        <v>-58.75</v>
      </c>
      <c r="K33" t="s">
        <v>727</v>
      </c>
      <c r="L33">
        <v>-42.3</v>
      </c>
      <c r="O33" t="s">
        <v>444</v>
      </c>
      <c r="P33">
        <v>-34.067500000000003</v>
      </c>
      <c r="R33" t="s">
        <v>448</v>
      </c>
      <c r="S33">
        <v>-37.174999999999997</v>
      </c>
      <c r="V33" t="s">
        <v>443</v>
      </c>
      <c r="W33">
        <v>22.999199999999998</v>
      </c>
      <c r="Z33" t="s">
        <v>444</v>
      </c>
      <c r="AA33">
        <v>32.332500000000003</v>
      </c>
      <c r="AC33" t="s">
        <v>448</v>
      </c>
      <c r="AD33">
        <v>27.215</v>
      </c>
      <c r="AG33">
        <v>14.9237</v>
      </c>
      <c r="AH33">
        <v>2.27</v>
      </c>
      <c r="AL33">
        <v>25.749099999999999</v>
      </c>
      <c r="AO33">
        <v>15.5801</v>
      </c>
    </row>
    <row r="34" spans="1:47" x14ac:dyDescent="0.35">
      <c r="A34" t="s">
        <v>443</v>
      </c>
      <c r="B34">
        <v>-60.31</v>
      </c>
      <c r="E34" t="s">
        <v>447</v>
      </c>
      <c r="F34">
        <v>-66.650000000000006</v>
      </c>
      <c r="H34" t="s">
        <v>448</v>
      </c>
      <c r="I34">
        <v>-64.39</v>
      </c>
      <c r="K34" t="s">
        <v>728</v>
      </c>
      <c r="L34">
        <v>-41.8</v>
      </c>
      <c r="O34" t="s">
        <v>447</v>
      </c>
      <c r="P34">
        <v>-40.341900000000003</v>
      </c>
      <c r="R34" t="s">
        <v>451</v>
      </c>
      <c r="S34">
        <v>-42.277500000000003</v>
      </c>
      <c r="V34" t="s">
        <v>446</v>
      </c>
      <c r="W34">
        <v>27.5716</v>
      </c>
      <c r="Z34" t="s">
        <v>447</v>
      </c>
      <c r="AA34">
        <v>26.3081</v>
      </c>
      <c r="AC34" t="s">
        <v>451</v>
      </c>
      <c r="AD34">
        <v>21.532499999999999</v>
      </c>
      <c r="AG34">
        <v>22.999199999999998</v>
      </c>
      <c r="AH34">
        <v>3.5</v>
      </c>
      <c r="AL34">
        <v>25.600899999999999</v>
      </c>
      <c r="AO34">
        <v>11.9864</v>
      </c>
    </row>
    <row r="35" spans="1:47" x14ac:dyDescent="0.35">
      <c r="A35" t="s">
        <v>446</v>
      </c>
      <c r="B35">
        <v>-61.91</v>
      </c>
      <c r="E35" t="s">
        <v>450</v>
      </c>
      <c r="F35">
        <v>-61.38</v>
      </c>
      <c r="H35" t="s">
        <v>451</v>
      </c>
      <c r="I35">
        <v>-63.81</v>
      </c>
      <c r="K35" t="s">
        <v>729</v>
      </c>
      <c r="L35">
        <v>-35.700000000000003</v>
      </c>
      <c r="O35" t="s">
        <v>450</v>
      </c>
      <c r="P35">
        <v>-41.102600000000002</v>
      </c>
      <c r="R35" t="s">
        <v>454</v>
      </c>
      <c r="S35">
        <v>-44.753999999999998</v>
      </c>
      <c r="V35" s="8" t="s">
        <v>449</v>
      </c>
      <c r="W35">
        <v>10.8444</v>
      </c>
      <c r="Z35" t="s">
        <v>450</v>
      </c>
      <c r="AA35">
        <v>20.2774</v>
      </c>
      <c r="AC35" t="s">
        <v>454</v>
      </c>
      <c r="AD35">
        <v>9.5559999999999992</v>
      </c>
      <c r="AG35">
        <v>27.5716</v>
      </c>
      <c r="AH35">
        <v>4.5599999999999996</v>
      </c>
      <c r="AL35">
        <v>25.5928</v>
      </c>
      <c r="AO35">
        <v>27.215</v>
      </c>
    </row>
    <row r="36" spans="1:47" ht="13.15" x14ac:dyDescent="0.4">
      <c r="A36" s="8" t="s">
        <v>449</v>
      </c>
      <c r="B36">
        <v>-50.18</v>
      </c>
      <c r="E36" t="s">
        <v>453</v>
      </c>
      <c r="F36">
        <v>-57.46</v>
      </c>
      <c r="H36" t="s">
        <v>454</v>
      </c>
      <c r="I36">
        <v>-54.31</v>
      </c>
      <c r="K36" t="s">
        <v>730</v>
      </c>
      <c r="L36">
        <v>-41.3</v>
      </c>
      <c r="O36" t="s">
        <v>453</v>
      </c>
      <c r="P36">
        <v>-38.666499999999999</v>
      </c>
      <c r="R36" t="s">
        <v>457</v>
      </c>
      <c r="S36">
        <v>-42.614699999999999</v>
      </c>
      <c r="V36" t="s">
        <v>452</v>
      </c>
      <c r="W36">
        <v>12.3644</v>
      </c>
      <c r="Z36" t="s">
        <v>453</v>
      </c>
      <c r="AA36">
        <v>18.793500000000002</v>
      </c>
      <c r="AC36" t="s">
        <v>457</v>
      </c>
      <c r="AD36">
        <v>13.625299999999999</v>
      </c>
      <c r="AG36">
        <v>10.8444</v>
      </c>
      <c r="AH36">
        <v>1.93</v>
      </c>
      <c r="AL36">
        <v>25.509340000000002</v>
      </c>
      <c r="AO36">
        <v>21.532499999999999</v>
      </c>
      <c r="AU36" s="1"/>
    </row>
    <row r="37" spans="1:47" ht="13.15" x14ac:dyDescent="0.4">
      <c r="A37" t="s">
        <v>452</v>
      </c>
      <c r="B37">
        <v>-51.7</v>
      </c>
      <c r="E37" t="s">
        <v>456</v>
      </c>
      <c r="F37">
        <v>-57.83</v>
      </c>
      <c r="H37" t="s">
        <v>457</v>
      </c>
      <c r="I37">
        <v>-56.24</v>
      </c>
      <c r="K37" t="s">
        <v>731</v>
      </c>
      <c r="L37">
        <v>-41.3</v>
      </c>
      <c r="O37" t="s">
        <v>456</v>
      </c>
      <c r="P37">
        <v>-30.176500000000001</v>
      </c>
      <c r="R37" t="s">
        <v>460</v>
      </c>
      <c r="S37">
        <v>-37.512900000000002</v>
      </c>
      <c r="V37" t="s">
        <v>455</v>
      </c>
      <c r="W37">
        <v>23.032399999999999</v>
      </c>
      <c r="Z37" t="s">
        <v>456</v>
      </c>
      <c r="AA37">
        <v>27.653500000000001</v>
      </c>
      <c r="AC37" t="s">
        <v>460</v>
      </c>
      <c r="AD37">
        <v>33.187100000000001</v>
      </c>
      <c r="AG37">
        <v>12.3644</v>
      </c>
      <c r="AH37">
        <v>2.75</v>
      </c>
      <c r="AL37">
        <v>25.461300000000001</v>
      </c>
      <c r="AO37">
        <v>9.5559999999999992</v>
      </c>
      <c r="AU37" s="1"/>
    </row>
    <row r="38" spans="1:47" ht="13.15" x14ac:dyDescent="0.4">
      <c r="A38" t="s">
        <v>455</v>
      </c>
      <c r="B38">
        <v>-57.56</v>
      </c>
      <c r="E38" t="s">
        <v>459</v>
      </c>
      <c r="F38">
        <v>-54.15</v>
      </c>
      <c r="H38" t="s">
        <v>460</v>
      </c>
      <c r="I38">
        <v>-70.7</v>
      </c>
      <c r="K38" t="s">
        <v>732</v>
      </c>
      <c r="L38">
        <v>-31.8</v>
      </c>
      <c r="O38" t="s">
        <v>459</v>
      </c>
      <c r="P38">
        <v>-26.4617</v>
      </c>
      <c r="R38" t="s">
        <v>463</v>
      </c>
      <c r="S38">
        <v>-43.260100000000001</v>
      </c>
      <c r="V38" t="s">
        <v>458</v>
      </c>
      <c r="W38">
        <v>9.7620000000000005</v>
      </c>
      <c r="Z38" t="s">
        <v>459</v>
      </c>
      <c r="AA38">
        <v>27.688300000000002</v>
      </c>
      <c r="AC38" t="s">
        <v>463</v>
      </c>
      <c r="AD38">
        <v>9.4598999999999993</v>
      </c>
      <c r="AG38">
        <v>23.032399999999999</v>
      </c>
      <c r="AH38">
        <v>1.8</v>
      </c>
      <c r="AL38">
        <v>25.061</v>
      </c>
      <c r="AO38">
        <v>13.625299999999999</v>
      </c>
      <c r="AU38" s="1"/>
    </row>
    <row r="39" spans="1:47" x14ac:dyDescent="0.35">
      <c r="A39" t="s">
        <v>458</v>
      </c>
      <c r="B39">
        <v>-49.18</v>
      </c>
      <c r="E39" t="s">
        <v>462</v>
      </c>
      <c r="F39">
        <v>-71.22</v>
      </c>
      <c r="H39" t="s">
        <v>463</v>
      </c>
      <c r="I39">
        <v>-52.72</v>
      </c>
      <c r="K39" t="s">
        <v>733</v>
      </c>
      <c r="L39">
        <v>-41.2</v>
      </c>
      <c r="O39" t="s">
        <v>462</v>
      </c>
      <c r="P39">
        <v>-47.363999999999997</v>
      </c>
      <c r="R39" t="s">
        <v>466</v>
      </c>
      <c r="S39">
        <v>-37.379399999999997</v>
      </c>
      <c r="V39" t="s">
        <v>461</v>
      </c>
      <c r="W39">
        <v>17.171800000000001</v>
      </c>
      <c r="Z39" t="s">
        <v>462</v>
      </c>
      <c r="AA39">
        <v>23.856000000000002</v>
      </c>
      <c r="AC39" t="s">
        <v>466</v>
      </c>
      <c r="AD39">
        <v>21.4206</v>
      </c>
      <c r="AG39">
        <v>9.7620000000000005</v>
      </c>
      <c r="AH39">
        <v>2.17</v>
      </c>
      <c r="AL39">
        <v>25.051100000000002</v>
      </c>
      <c r="AO39">
        <v>33.187100000000001</v>
      </c>
    </row>
    <row r="40" spans="1:47" x14ac:dyDescent="0.35">
      <c r="A40" t="s">
        <v>461</v>
      </c>
      <c r="B40">
        <v>-48.55</v>
      </c>
      <c r="E40" t="s">
        <v>465</v>
      </c>
      <c r="F40">
        <v>-71.48</v>
      </c>
      <c r="H40" t="s">
        <v>466</v>
      </c>
      <c r="I40">
        <v>-58.8</v>
      </c>
      <c r="K40" t="s">
        <v>734</v>
      </c>
      <c r="L40">
        <v>-36.72</v>
      </c>
      <c r="O40" t="s">
        <v>465</v>
      </c>
      <c r="P40">
        <v>-50.0824</v>
      </c>
      <c r="R40" t="s">
        <v>469</v>
      </c>
      <c r="S40">
        <v>-40.5319</v>
      </c>
      <c r="V40" t="s">
        <v>464</v>
      </c>
      <c r="W40">
        <v>23.520299999999999</v>
      </c>
      <c r="Z40" t="s">
        <v>465</v>
      </c>
      <c r="AA40">
        <v>21.397600000000001</v>
      </c>
      <c r="AC40" t="s">
        <v>469</v>
      </c>
      <c r="AD40">
        <v>22.868099999999998</v>
      </c>
      <c r="AG40">
        <v>17.171800000000001</v>
      </c>
      <c r="AH40">
        <v>2.3199999999999998</v>
      </c>
      <c r="AL40">
        <v>24.2883</v>
      </c>
      <c r="AO40">
        <v>9.4598999999999993</v>
      </c>
    </row>
    <row r="41" spans="1:47" x14ac:dyDescent="0.35">
      <c r="A41" t="s">
        <v>464</v>
      </c>
      <c r="B41">
        <v>-58.17</v>
      </c>
      <c r="E41" t="s">
        <v>468</v>
      </c>
      <c r="F41">
        <v>-75.959999999999994</v>
      </c>
      <c r="H41" t="s">
        <v>469</v>
      </c>
      <c r="I41">
        <v>-63.4</v>
      </c>
      <c r="K41" t="s">
        <v>735</v>
      </c>
      <c r="L41">
        <v>-36.78</v>
      </c>
      <c r="O41" t="s">
        <v>468</v>
      </c>
      <c r="P41">
        <v>-47.550199999999997</v>
      </c>
      <c r="R41" t="s">
        <v>472</v>
      </c>
      <c r="S41">
        <v>-43.226599999999998</v>
      </c>
      <c r="V41" t="s">
        <v>467</v>
      </c>
      <c r="W41">
        <v>13.086600000000001</v>
      </c>
      <c r="Z41" t="s">
        <v>468</v>
      </c>
      <c r="AA41">
        <v>28.409800000000001</v>
      </c>
      <c r="AC41" t="s">
        <v>472</v>
      </c>
      <c r="AD41">
        <v>13.423400000000001</v>
      </c>
      <c r="AG41">
        <v>23.520299999999999</v>
      </c>
      <c r="AH41">
        <v>3.92</v>
      </c>
      <c r="AL41">
        <v>23.9741</v>
      </c>
      <c r="AO41">
        <v>21.4206</v>
      </c>
    </row>
    <row r="42" spans="1:47" x14ac:dyDescent="0.35">
      <c r="A42" t="s">
        <v>467</v>
      </c>
      <c r="B42">
        <v>-52.41</v>
      </c>
      <c r="E42" t="s">
        <v>471</v>
      </c>
      <c r="F42">
        <v>-76.5</v>
      </c>
      <c r="H42" t="s">
        <v>472</v>
      </c>
      <c r="I42">
        <v>-56.65</v>
      </c>
      <c r="K42" t="s">
        <v>736</v>
      </c>
      <c r="L42">
        <v>-37.5</v>
      </c>
      <c r="O42" t="s">
        <v>471</v>
      </c>
      <c r="P42">
        <v>-45.606000000000002</v>
      </c>
      <c r="R42" t="s">
        <v>475</v>
      </c>
      <c r="S42">
        <v>-42.548400000000001</v>
      </c>
      <c r="V42" t="s">
        <v>470</v>
      </c>
      <c r="W42">
        <v>11.098800000000001</v>
      </c>
      <c r="Z42" t="s">
        <v>471</v>
      </c>
      <c r="AA42">
        <v>30.893999999999998</v>
      </c>
      <c r="AC42" t="s">
        <v>475</v>
      </c>
      <c r="AD42">
        <v>13.021599999999999</v>
      </c>
      <c r="AG42">
        <v>13.086600000000001</v>
      </c>
      <c r="AH42">
        <v>1.2</v>
      </c>
      <c r="AL42">
        <v>23.964500000000001</v>
      </c>
      <c r="AO42">
        <v>22.868099999999998</v>
      </c>
    </row>
    <row r="43" spans="1:47" x14ac:dyDescent="0.35">
      <c r="A43" t="s">
        <v>470</v>
      </c>
      <c r="B43">
        <v>-42.48</v>
      </c>
      <c r="E43" t="s">
        <v>474</v>
      </c>
      <c r="F43">
        <v>-71.040000000000006</v>
      </c>
      <c r="H43" t="s">
        <v>475</v>
      </c>
      <c r="I43">
        <v>-55.57</v>
      </c>
      <c r="K43" t="s">
        <v>737</v>
      </c>
      <c r="L43">
        <v>-38.299999999999997</v>
      </c>
      <c r="O43" t="s">
        <v>474</v>
      </c>
      <c r="P43">
        <v>-45.439100000000003</v>
      </c>
      <c r="R43" t="s">
        <v>478</v>
      </c>
      <c r="S43">
        <v>-45.947299999999998</v>
      </c>
      <c r="V43" t="s">
        <v>473</v>
      </c>
      <c r="W43">
        <v>14.7334</v>
      </c>
      <c r="Z43" t="s">
        <v>474</v>
      </c>
      <c r="AA43">
        <v>25.600899999999999</v>
      </c>
      <c r="AC43" t="s">
        <v>478</v>
      </c>
      <c r="AD43">
        <v>11.6427</v>
      </c>
      <c r="AG43">
        <v>11.098800000000001</v>
      </c>
      <c r="AH43">
        <v>3.52</v>
      </c>
      <c r="AL43">
        <v>23.856000000000002</v>
      </c>
      <c r="AO43">
        <v>13.423400000000001</v>
      </c>
    </row>
    <row r="44" spans="1:47" x14ac:dyDescent="0.35">
      <c r="A44" t="s">
        <v>473</v>
      </c>
      <c r="B44">
        <v>-55.72</v>
      </c>
      <c r="E44" t="s">
        <v>477</v>
      </c>
      <c r="F44">
        <v>-70.92</v>
      </c>
      <c r="H44" t="s">
        <v>478</v>
      </c>
      <c r="I44">
        <v>-57.59</v>
      </c>
      <c r="K44" t="s">
        <v>738</v>
      </c>
      <c r="L44">
        <v>-43.9</v>
      </c>
      <c r="O44" t="s">
        <v>477</v>
      </c>
      <c r="P44">
        <v>-54.5242</v>
      </c>
      <c r="R44" t="s">
        <v>481</v>
      </c>
      <c r="S44">
        <v>-44.915799999999997</v>
      </c>
      <c r="V44" t="s">
        <v>476</v>
      </c>
      <c r="W44">
        <v>16.260000000000002</v>
      </c>
      <c r="Z44" t="s">
        <v>477</v>
      </c>
      <c r="AA44">
        <v>16.395800000000001</v>
      </c>
      <c r="AC44" t="s">
        <v>481</v>
      </c>
      <c r="AD44">
        <v>25.664200000000001</v>
      </c>
      <c r="AG44">
        <v>14.7334</v>
      </c>
      <c r="AH44">
        <v>0.94</v>
      </c>
      <c r="AL44">
        <v>23.8081</v>
      </c>
      <c r="AO44">
        <v>13.021599999999999</v>
      </c>
    </row>
    <row r="45" spans="1:47" x14ac:dyDescent="0.35">
      <c r="A45" t="s">
        <v>476</v>
      </c>
      <c r="B45">
        <v>-56.62</v>
      </c>
      <c r="E45" t="s">
        <v>480</v>
      </c>
      <c r="F45">
        <v>-51.67</v>
      </c>
      <c r="H45" t="s">
        <v>481</v>
      </c>
      <c r="I45">
        <v>-70.58</v>
      </c>
      <c r="K45" t="s">
        <v>739</v>
      </c>
      <c r="L45">
        <v>-39.6</v>
      </c>
      <c r="O45" t="s">
        <v>480</v>
      </c>
      <c r="P45">
        <v>-26.609000000000002</v>
      </c>
      <c r="R45" t="s">
        <v>484</v>
      </c>
      <c r="S45">
        <v>-45.661900000000003</v>
      </c>
      <c r="V45" t="s">
        <v>479</v>
      </c>
      <c r="W45">
        <v>19.89</v>
      </c>
      <c r="Z45" t="s">
        <v>480</v>
      </c>
      <c r="AA45">
        <v>25.061</v>
      </c>
      <c r="AC45" t="s">
        <v>484</v>
      </c>
      <c r="AD45">
        <v>11.648099999999999</v>
      </c>
      <c r="AG45">
        <v>16.260000000000002</v>
      </c>
      <c r="AH45">
        <v>2.82</v>
      </c>
      <c r="AL45">
        <v>23.663</v>
      </c>
      <c r="AO45">
        <v>11.6427</v>
      </c>
    </row>
    <row r="46" spans="1:47" ht="13.15" x14ac:dyDescent="0.4">
      <c r="A46" t="s">
        <v>479</v>
      </c>
      <c r="B46">
        <v>-60.34</v>
      </c>
      <c r="E46" t="s">
        <v>483</v>
      </c>
      <c r="F46">
        <v>-62.81</v>
      </c>
      <c r="H46" t="s">
        <v>484</v>
      </c>
      <c r="I46">
        <v>-57.31</v>
      </c>
      <c r="K46" t="s">
        <v>397</v>
      </c>
      <c r="L46" s="1">
        <f>AVERAGE(L3:L45)</f>
        <v>-40.760465116279057</v>
      </c>
      <c r="O46" t="s">
        <v>483</v>
      </c>
      <c r="P46">
        <v>-46.296599999999998</v>
      </c>
      <c r="R46" t="s">
        <v>487</v>
      </c>
      <c r="S46">
        <v>-42.3431</v>
      </c>
      <c r="V46" t="s">
        <v>482</v>
      </c>
      <c r="W46">
        <v>29.08</v>
      </c>
      <c r="Z46" t="s">
        <v>483</v>
      </c>
      <c r="AA46">
        <v>16.513400000000001</v>
      </c>
      <c r="AC46" t="s">
        <v>487</v>
      </c>
      <c r="AD46">
        <v>20.536899999999999</v>
      </c>
      <c r="AG46">
        <v>19.89</v>
      </c>
      <c r="AH46">
        <v>1.96</v>
      </c>
      <c r="AL46">
        <v>23.497949999999999</v>
      </c>
      <c r="AO46">
        <v>25.664200000000001</v>
      </c>
    </row>
    <row r="47" spans="1:47" ht="13.15" x14ac:dyDescent="0.4">
      <c r="A47" t="s">
        <v>482</v>
      </c>
      <c r="B47">
        <v>-64.33</v>
      </c>
      <c r="E47" t="s">
        <v>486</v>
      </c>
      <c r="F47">
        <v>-65.819999999999993</v>
      </c>
      <c r="H47" t="s">
        <v>487</v>
      </c>
      <c r="I47">
        <v>-62.88</v>
      </c>
      <c r="K47" t="s">
        <v>281</v>
      </c>
      <c r="L47" s="1">
        <f>STDEV(L3:L45)</f>
        <v>3.6122792919814435</v>
      </c>
      <c r="O47" t="s">
        <v>486</v>
      </c>
      <c r="P47">
        <v>-47.364800000000002</v>
      </c>
      <c r="R47" t="s">
        <v>490</v>
      </c>
      <c r="S47">
        <v>-45.057699999999997</v>
      </c>
      <c r="V47" t="s">
        <v>485</v>
      </c>
      <c r="W47">
        <v>20.94</v>
      </c>
      <c r="Z47" t="s">
        <v>486</v>
      </c>
      <c r="AA47">
        <v>18.455200000000001</v>
      </c>
      <c r="AC47" t="s">
        <v>490</v>
      </c>
      <c r="AD47">
        <v>12.7623</v>
      </c>
      <c r="AG47">
        <v>29.08</v>
      </c>
      <c r="AH47">
        <v>0.7</v>
      </c>
      <c r="AL47">
        <v>23.4345</v>
      </c>
      <c r="AO47">
        <v>11.648099999999999</v>
      </c>
    </row>
    <row r="48" spans="1:47" ht="13.15" x14ac:dyDescent="0.4">
      <c r="A48" t="s">
        <v>485</v>
      </c>
      <c r="B48">
        <v>-58.88</v>
      </c>
      <c r="E48" t="s">
        <v>489</v>
      </c>
      <c r="F48">
        <v>-62.83</v>
      </c>
      <c r="H48" t="s">
        <v>490</v>
      </c>
      <c r="I48">
        <v>-57.82</v>
      </c>
      <c r="K48" t="s">
        <v>284</v>
      </c>
      <c r="L48" s="1">
        <f>L47/SQRT(43)</f>
        <v>0.55086742766924357</v>
      </c>
      <c r="O48" t="s">
        <v>489</v>
      </c>
      <c r="P48">
        <v>-54.877499999999998</v>
      </c>
      <c r="R48" t="s">
        <v>493</v>
      </c>
      <c r="S48">
        <v>-44.445799999999998</v>
      </c>
      <c r="V48" t="s">
        <v>488</v>
      </c>
      <c r="W48">
        <v>12.69</v>
      </c>
      <c r="Z48" t="s">
        <v>489</v>
      </c>
      <c r="AA48">
        <v>7.9524999999999997</v>
      </c>
      <c r="AC48" t="s">
        <v>493</v>
      </c>
      <c r="AD48">
        <v>16.2242</v>
      </c>
      <c r="AG48">
        <v>20.94</v>
      </c>
      <c r="AH48">
        <v>0.94</v>
      </c>
      <c r="AL48">
        <v>23.370999999999999</v>
      </c>
      <c r="AO48">
        <v>20.536899999999999</v>
      </c>
    </row>
    <row r="49" spans="1:41" x14ac:dyDescent="0.35">
      <c r="A49" t="s">
        <v>488</v>
      </c>
      <c r="B49">
        <v>-52.64</v>
      </c>
      <c r="E49" t="s">
        <v>492</v>
      </c>
      <c r="F49">
        <v>-73.66</v>
      </c>
      <c r="H49" t="s">
        <v>493</v>
      </c>
      <c r="I49">
        <v>-60.67</v>
      </c>
      <c r="O49" t="s">
        <v>492</v>
      </c>
      <c r="P49">
        <v>-48.198700000000002</v>
      </c>
      <c r="R49" t="s">
        <v>496</v>
      </c>
      <c r="S49">
        <v>-41.261299999999999</v>
      </c>
      <c r="V49" t="s">
        <v>491</v>
      </c>
      <c r="W49">
        <v>23.75</v>
      </c>
      <c r="Z49" t="s">
        <v>492</v>
      </c>
      <c r="AA49">
        <v>25.461300000000001</v>
      </c>
      <c r="AC49" t="s">
        <v>496</v>
      </c>
      <c r="AD49">
        <v>16.738700000000001</v>
      </c>
      <c r="AG49">
        <v>12.69</v>
      </c>
      <c r="AH49">
        <v>1.84</v>
      </c>
      <c r="AL49">
        <v>23.221</v>
      </c>
      <c r="AO49">
        <v>12.7623</v>
      </c>
    </row>
    <row r="50" spans="1:41" x14ac:dyDescent="0.35">
      <c r="A50" t="s">
        <v>491</v>
      </c>
      <c r="B50">
        <v>-57.97</v>
      </c>
      <c r="E50" t="s">
        <v>495</v>
      </c>
      <c r="F50">
        <v>-61.8</v>
      </c>
      <c r="H50" t="s">
        <v>496</v>
      </c>
      <c r="I50">
        <v>-58</v>
      </c>
      <c r="O50" t="s">
        <v>495</v>
      </c>
      <c r="P50">
        <v>-48.554200000000002</v>
      </c>
      <c r="R50" t="s">
        <v>499</v>
      </c>
      <c r="S50">
        <v>-42.881799999999998</v>
      </c>
      <c r="V50" t="s">
        <v>494</v>
      </c>
      <c r="W50">
        <v>21.36</v>
      </c>
      <c r="Z50" t="s">
        <v>495</v>
      </c>
      <c r="AA50">
        <v>13.245799999999999</v>
      </c>
      <c r="AC50" t="s">
        <v>499</v>
      </c>
      <c r="AD50">
        <v>14.308199999999999</v>
      </c>
      <c r="AG50">
        <v>23.75</v>
      </c>
      <c r="AH50">
        <v>1.52</v>
      </c>
      <c r="AL50">
        <v>23.054600000000001</v>
      </c>
      <c r="AO50">
        <v>16.2242</v>
      </c>
    </row>
    <row r="51" spans="1:41" x14ac:dyDescent="0.35">
      <c r="A51" t="s">
        <v>494</v>
      </c>
      <c r="B51">
        <v>-60.05</v>
      </c>
      <c r="E51" t="s">
        <v>498</v>
      </c>
      <c r="F51">
        <v>-70.819999999999993</v>
      </c>
      <c r="H51" t="s">
        <v>499</v>
      </c>
      <c r="I51">
        <v>-57.19</v>
      </c>
      <c r="O51" t="s">
        <v>498</v>
      </c>
      <c r="P51">
        <v>-36.601199999999999</v>
      </c>
      <c r="R51" t="s">
        <v>502</v>
      </c>
      <c r="S51">
        <v>-37.997399999999999</v>
      </c>
      <c r="V51" t="s">
        <v>740</v>
      </c>
      <c r="W51">
        <v>48.78</v>
      </c>
      <c r="Z51" t="s">
        <v>498</v>
      </c>
      <c r="AA51">
        <v>34.218800000000002</v>
      </c>
      <c r="AC51" t="s">
        <v>502</v>
      </c>
      <c r="AD51">
        <v>6.0026000000000002</v>
      </c>
      <c r="AG51">
        <v>21.36</v>
      </c>
      <c r="AH51">
        <v>3.04</v>
      </c>
      <c r="AL51">
        <v>22.9343</v>
      </c>
      <c r="AO51">
        <v>16.738700000000001</v>
      </c>
    </row>
    <row r="52" spans="1:41" x14ac:dyDescent="0.35">
      <c r="A52" t="s">
        <v>740</v>
      </c>
      <c r="B52">
        <v>-48.78</v>
      </c>
      <c r="E52" t="s">
        <v>501</v>
      </c>
      <c r="F52">
        <v>-74.62</v>
      </c>
      <c r="H52" t="s">
        <v>502</v>
      </c>
      <c r="I52">
        <v>-44</v>
      </c>
      <c r="O52" t="s">
        <v>501</v>
      </c>
      <c r="P52">
        <v>-49.568899999999999</v>
      </c>
      <c r="R52" t="s">
        <v>505</v>
      </c>
      <c r="S52">
        <v>-41.096499999999999</v>
      </c>
      <c r="V52" t="s">
        <v>497</v>
      </c>
      <c r="W52">
        <v>15.34</v>
      </c>
      <c r="Z52" t="s">
        <v>501</v>
      </c>
      <c r="AA52">
        <v>25.051100000000002</v>
      </c>
      <c r="AC52" t="s">
        <v>505</v>
      </c>
      <c r="AD52">
        <v>22.083500000000001</v>
      </c>
      <c r="AG52">
        <v>48.78</v>
      </c>
      <c r="AH52">
        <v>1.25</v>
      </c>
      <c r="AL52">
        <v>22.807400000000001</v>
      </c>
      <c r="AO52">
        <v>14.308199999999999</v>
      </c>
    </row>
    <row r="53" spans="1:41" x14ac:dyDescent="0.35">
      <c r="A53" t="s">
        <v>497</v>
      </c>
      <c r="B53">
        <v>-61.32</v>
      </c>
      <c r="E53" t="s">
        <v>504</v>
      </c>
      <c r="F53">
        <v>-67.290000000000006</v>
      </c>
      <c r="H53" t="s">
        <v>505</v>
      </c>
      <c r="I53">
        <v>-63.18</v>
      </c>
      <c r="O53" t="s">
        <v>504</v>
      </c>
      <c r="P53">
        <v>-52.1721</v>
      </c>
      <c r="R53" t="s">
        <v>508</v>
      </c>
      <c r="S53">
        <v>-40.578400000000002</v>
      </c>
      <c r="V53" t="s">
        <v>500</v>
      </c>
      <c r="W53">
        <v>10.52</v>
      </c>
      <c r="Z53" t="s">
        <v>504</v>
      </c>
      <c r="AA53">
        <v>15.117900000000001</v>
      </c>
      <c r="AC53" t="s">
        <v>508</v>
      </c>
      <c r="AD53">
        <v>26.451599999999999</v>
      </c>
      <c r="AG53">
        <v>15.34</v>
      </c>
      <c r="AH53">
        <v>3.48</v>
      </c>
      <c r="AL53">
        <v>22.640799999999999</v>
      </c>
      <c r="AO53">
        <v>6.0026000000000002</v>
      </c>
    </row>
    <row r="54" spans="1:41" x14ac:dyDescent="0.35">
      <c r="A54" t="s">
        <v>500</v>
      </c>
      <c r="B54">
        <v>-51.77</v>
      </c>
      <c r="E54" t="s">
        <v>507</v>
      </c>
      <c r="F54">
        <v>-61.09</v>
      </c>
      <c r="H54" t="s">
        <v>508</v>
      </c>
      <c r="I54">
        <v>-67.03</v>
      </c>
      <c r="O54" t="s">
        <v>507</v>
      </c>
      <c r="P54">
        <v>-50.2258</v>
      </c>
      <c r="R54" t="s">
        <v>511</v>
      </c>
      <c r="S54">
        <v>-28.3416</v>
      </c>
      <c r="V54" t="s">
        <v>503</v>
      </c>
      <c r="W54">
        <v>12.41</v>
      </c>
      <c r="Z54" t="s">
        <v>507</v>
      </c>
      <c r="AA54">
        <v>10.8642</v>
      </c>
      <c r="AC54" t="s">
        <v>511</v>
      </c>
      <c r="AD54">
        <v>26.598400000000002</v>
      </c>
      <c r="AG54">
        <v>10.52</v>
      </c>
      <c r="AH54">
        <v>1.68</v>
      </c>
      <c r="AL54">
        <v>22.582000000000001</v>
      </c>
      <c r="AO54">
        <v>22.083500000000001</v>
      </c>
    </row>
    <row r="55" spans="1:41" x14ac:dyDescent="0.35">
      <c r="A55" t="s">
        <v>503</v>
      </c>
      <c r="B55">
        <v>-52.93</v>
      </c>
      <c r="E55" t="s">
        <v>510</v>
      </c>
      <c r="F55">
        <v>-62.37</v>
      </c>
      <c r="H55" t="s">
        <v>511</v>
      </c>
      <c r="I55">
        <v>-54.94</v>
      </c>
      <c r="O55" t="s">
        <v>510</v>
      </c>
      <c r="P55">
        <v>-58.031500000000001</v>
      </c>
      <c r="R55" t="s">
        <v>514</v>
      </c>
      <c r="S55">
        <v>-47.1999</v>
      </c>
      <c r="V55" t="s">
        <v>506</v>
      </c>
      <c r="W55">
        <v>13.75</v>
      </c>
      <c r="Z55" t="s">
        <v>510</v>
      </c>
      <c r="AA55">
        <v>4.3384999999999998</v>
      </c>
      <c r="AC55" t="s">
        <v>514</v>
      </c>
      <c r="AD55">
        <v>18.190100000000001</v>
      </c>
      <c r="AG55">
        <v>12.41</v>
      </c>
      <c r="AH55">
        <v>0.75</v>
      </c>
      <c r="AL55">
        <v>22.327999999999999</v>
      </c>
      <c r="AO55">
        <v>26.451599999999999</v>
      </c>
    </row>
    <row r="56" spans="1:41" x14ac:dyDescent="0.35">
      <c r="A56" t="s">
        <v>506</v>
      </c>
      <c r="B56">
        <v>-52.92</v>
      </c>
      <c r="E56" t="s">
        <v>513</v>
      </c>
      <c r="F56">
        <v>-69.95</v>
      </c>
      <c r="H56" t="s">
        <v>514</v>
      </c>
      <c r="I56">
        <v>-65.39</v>
      </c>
      <c r="O56" t="s">
        <v>513</v>
      </c>
      <c r="P56">
        <v>-52.2438</v>
      </c>
      <c r="R56" t="s">
        <v>517</v>
      </c>
      <c r="S56">
        <v>-41.105600000000003</v>
      </c>
      <c r="V56" t="s">
        <v>509</v>
      </c>
      <c r="W56">
        <v>0.92000000000000204</v>
      </c>
      <c r="Z56" t="s">
        <v>513</v>
      </c>
      <c r="AA56">
        <v>17.706199999999999</v>
      </c>
      <c r="AC56" t="s">
        <v>517</v>
      </c>
      <c r="AD56">
        <v>31.574400000000001</v>
      </c>
      <c r="AG56">
        <v>13.75</v>
      </c>
      <c r="AH56">
        <v>0.97</v>
      </c>
      <c r="AL56">
        <v>21.7974</v>
      </c>
      <c r="AO56">
        <v>26.598400000000002</v>
      </c>
    </row>
    <row r="57" spans="1:41" x14ac:dyDescent="0.35">
      <c r="A57" t="s">
        <v>509</v>
      </c>
      <c r="B57">
        <v>-40</v>
      </c>
      <c r="E57" t="s">
        <v>516</v>
      </c>
      <c r="F57">
        <v>-70.69</v>
      </c>
      <c r="H57" t="s">
        <v>517</v>
      </c>
      <c r="I57">
        <v>-72.680000000000007</v>
      </c>
      <c r="O57" t="s">
        <v>516</v>
      </c>
      <c r="P57">
        <v>-41.931100000000001</v>
      </c>
      <c r="R57" t="s">
        <v>520</v>
      </c>
      <c r="S57">
        <v>-34.5443</v>
      </c>
      <c r="V57" t="s">
        <v>512</v>
      </c>
      <c r="W57">
        <v>9.94</v>
      </c>
      <c r="Z57" t="s">
        <v>516</v>
      </c>
      <c r="AA57">
        <v>28.758900000000001</v>
      </c>
      <c r="AC57" t="s">
        <v>520</v>
      </c>
      <c r="AD57">
        <v>34.835700000000003</v>
      </c>
      <c r="AG57">
        <v>0.92000000000000204</v>
      </c>
      <c r="AH57">
        <v>2.91</v>
      </c>
      <c r="AL57">
        <v>21.7501</v>
      </c>
      <c r="AO57">
        <v>18.190100000000001</v>
      </c>
    </row>
    <row r="58" spans="1:41" x14ac:dyDescent="0.35">
      <c r="A58" t="s">
        <v>512</v>
      </c>
      <c r="B58">
        <v>-47</v>
      </c>
      <c r="E58" t="s">
        <v>519</v>
      </c>
      <c r="F58">
        <v>-70.459999999999994</v>
      </c>
      <c r="H58" t="s">
        <v>520</v>
      </c>
      <c r="I58">
        <v>-69.38</v>
      </c>
      <c r="O58" t="s">
        <v>519</v>
      </c>
      <c r="P58">
        <v>-48.662599999999998</v>
      </c>
      <c r="R58" t="s">
        <v>523</v>
      </c>
      <c r="S58">
        <v>-40.5426</v>
      </c>
      <c r="V58" t="s">
        <v>515</v>
      </c>
      <c r="W58">
        <v>6.87</v>
      </c>
      <c r="Z58" t="s">
        <v>519</v>
      </c>
      <c r="AA58">
        <v>21.7974</v>
      </c>
      <c r="AC58" t="s">
        <v>523</v>
      </c>
      <c r="AD58">
        <v>32.897399999999998</v>
      </c>
      <c r="AG58">
        <v>9.94</v>
      </c>
      <c r="AH58">
        <v>2.42</v>
      </c>
      <c r="AL58">
        <v>21.728899999999999</v>
      </c>
      <c r="AO58">
        <v>31.574400000000001</v>
      </c>
    </row>
    <row r="59" spans="1:41" x14ac:dyDescent="0.35">
      <c r="A59" t="s">
        <v>515</v>
      </c>
      <c r="B59">
        <v>-46</v>
      </c>
      <c r="E59" t="s">
        <v>522</v>
      </c>
      <c r="F59">
        <v>-75.61</v>
      </c>
      <c r="H59" t="s">
        <v>523</v>
      </c>
      <c r="I59">
        <v>-73.44</v>
      </c>
      <c r="O59" t="s">
        <v>522</v>
      </c>
      <c r="P59">
        <v>-47.245699999999999</v>
      </c>
      <c r="R59" t="s">
        <v>527</v>
      </c>
      <c r="S59">
        <v>-42.159199999999998</v>
      </c>
      <c r="V59" t="s">
        <v>518</v>
      </c>
      <c r="W59">
        <v>15.79</v>
      </c>
      <c r="Z59" t="s">
        <v>522</v>
      </c>
      <c r="AA59">
        <v>28.3643</v>
      </c>
      <c r="AC59" t="s">
        <v>527</v>
      </c>
      <c r="AD59">
        <v>17.800799999999999</v>
      </c>
      <c r="AG59">
        <v>6.87</v>
      </c>
      <c r="AH59">
        <v>5.08</v>
      </c>
      <c r="AL59">
        <v>21.415199999999999</v>
      </c>
      <c r="AO59">
        <v>34.835700000000003</v>
      </c>
    </row>
    <row r="60" spans="1:41" x14ac:dyDescent="0.35">
      <c r="A60" t="s">
        <v>518</v>
      </c>
      <c r="B60">
        <v>-57.93</v>
      </c>
      <c r="E60" t="s">
        <v>526</v>
      </c>
      <c r="F60">
        <v>-60.1</v>
      </c>
      <c r="H60" t="s">
        <v>527</v>
      </c>
      <c r="I60">
        <v>-59.96</v>
      </c>
      <c r="O60" t="s">
        <v>526</v>
      </c>
      <c r="P60">
        <v>-50.920099999999998</v>
      </c>
      <c r="R60" t="s">
        <v>531</v>
      </c>
      <c r="S60">
        <v>-41.203299999999999</v>
      </c>
      <c r="V60" t="s">
        <v>521</v>
      </c>
      <c r="W60">
        <v>9.1</v>
      </c>
      <c r="Z60" t="s">
        <v>526</v>
      </c>
      <c r="AA60">
        <v>9.1798999999999999</v>
      </c>
      <c r="AC60" t="s">
        <v>531</v>
      </c>
      <c r="AD60">
        <v>17.746700000000001</v>
      </c>
      <c r="AG60">
        <v>15.79</v>
      </c>
      <c r="AH60">
        <v>8.51</v>
      </c>
      <c r="AL60">
        <v>21.397600000000001</v>
      </c>
      <c r="AO60">
        <v>32.897399999999998</v>
      </c>
    </row>
    <row r="61" spans="1:41" x14ac:dyDescent="0.35">
      <c r="A61" t="s">
        <v>521</v>
      </c>
      <c r="B61">
        <v>-47.25</v>
      </c>
      <c r="E61" t="s">
        <v>530</v>
      </c>
      <c r="F61">
        <v>-85.49</v>
      </c>
      <c r="H61" t="s">
        <v>531</v>
      </c>
      <c r="I61">
        <v>-58.95</v>
      </c>
      <c r="O61" t="s">
        <v>530</v>
      </c>
      <c r="P61">
        <v>-57.727499999999999</v>
      </c>
      <c r="R61" t="s">
        <v>535</v>
      </c>
      <c r="S61">
        <v>-47.840899999999998</v>
      </c>
      <c r="V61" t="s">
        <v>525</v>
      </c>
      <c r="W61">
        <v>26.62</v>
      </c>
      <c r="Z61" t="s">
        <v>530</v>
      </c>
      <c r="AA61">
        <v>27.762499999999999</v>
      </c>
      <c r="AC61" t="s">
        <v>535</v>
      </c>
      <c r="AD61">
        <v>6.7690999999999999</v>
      </c>
      <c r="AG61">
        <v>9.1</v>
      </c>
      <c r="AH61">
        <v>1.84</v>
      </c>
      <c r="AL61">
        <v>21.328600000000002</v>
      </c>
      <c r="AO61">
        <v>17.800799999999999</v>
      </c>
    </row>
    <row r="62" spans="1:41" x14ac:dyDescent="0.35">
      <c r="A62" t="s">
        <v>525</v>
      </c>
      <c r="B62">
        <v>-73.900000000000006</v>
      </c>
      <c r="E62" t="s">
        <v>534</v>
      </c>
      <c r="F62">
        <v>-64.28</v>
      </c>
      <c r="H62" t="s">
        <v>535</v>
      </c>
      <c r="I62">
        <v>-54.61</v>
      </c>
      <c r="O62" t="s">
        <v>534</v>
      </c>
      <c r="P62">
        <v>-47.628700000000002</v>
      </c>
      <c r="R62" t="s">
        <v>539</v>
      </c>
      <c r="S62">
        <v>-40.499899999999997</v>
      </c>
      <c r="V62" t="s">
        <v>529</v>
      </c>
      <c r="W62">
        <v>12.28</v>
      </c>
      <c r="Z62" t="s">
        <v>534</v>
      </c>
      <c r="AA62">
        <v>16.651299999999999</v>
      </c>
      <c r="AC62" t="s">
        <v>539</v>
      </c>
      <c r="AD62">
        <v>22.210100000000001</v>
      </c>
      <c r="AG62">
        <v>26.62</v>
      </c>
      <c r="AH62">
        <v>2.58</v>
      </c>
      <c r="AL62">
        <v>21.166599999999999</v>
      </c>
      <c r="AO62">
        <v>17.746700000000001</v>
      </c>
    </row>
    <row r="63" spans="1:41" x14ac:dyDescent="0.35">
      <c r="A63" t="s">
        <v>529</v>
      </c>
      <c r="B63">
        <v>-53.9</v>
      </c>
      <c r="E63" t="s">
        <v>538</v>
      </c>
      <c r="F63">
        <v>-58.63</v>
      </c>
      <c r="H63" t="s">
        <v>539</v>
      </c>
      <c r="I63">
        <v>-62.71</v>
      </c>
      <c r="O63" t="s">
        <v>538</v>
      </c>
      <c r="P63">
        <v>-40.459400000000002</v>
      </c>
      <c r="R63" t="s">
        <v>543</v>
      </c>
      <c r="S63">
        <v>-41.648099999999999</v>
      </c>
      <c r="V63" t="s">
        <v>533</v>
      </c>
      <c r="W63">
        <v>17.48</v>
      </c>
      <c r="Z63" t="s">
        <v>538</v>
      </c>
      <c r="AA63">
        <v>18.1706</v>
      </c>
      <c r="AC63" t="s">
        <v>543</v>
      </c>
      <c r="AD63">
        <v>19.901900000000001</v>
      </c>
      <c r="AG63">
        <v>12.28</v>
      </c>
      <c r="AH63">
        <v>1.74</v>
      </c>
      <c r="AL63">
        <v>20.3948</v>
      </c>
      <c r="AO63">
        <v>6.7690999999999999</v>
      </c>
    </row>
    <row r="64" spans="1:41" x14ac:dyDescent="0.35">
      <c r="A64" t="s">
        <v>533</v>
      </c>
      <c r="B64">
        <v>-54</v>
      </c>
      <c r="E64" t="s">
        <v>542</v>
      </c>
      <c r="F64">
        <v>-70.53</v>
      </c>
      <c r="H64" t="s">
        <v>543</v>
      </c>
      <c r="I64">
        <v>-61.55</v>
      </c>
      <c r="O64" t="s">
        <v>542</v>
      </c>
      <c r="P64">
        <v>-24.3523</v>
      </c>
      <c r="R64" t="s">
        <v>547</v>
      </c>
      <c r="S64">
        <v>-49.103499999999997</v>
      </c>
      <c r="V64" t="s">
        <v>537</v>
      </c>
      <c r="W64">
        <v>16.489999999999998</v>
      </c>
      <c r="Z64" t="s">
        <v>542</v>
      </c>
      <c r="AA64">
        <v>46.177700000000002</v>
      </c>
      <c r="AC64" t="s">
        <v>547</v>
      </c>
      <c r="AD64">
        <v>16.246500000000001</v>
      </c>
      <c r="AG64">
        <v>17.48</v>
      </c>
      <c r="AH64">
        <v>5.18</v>
      </c>
      <c r="AL64">
        <v>20.2774</v>
      </c>
      <c r="AO64">
        <v>22.210100000000001</v>
      </c>
    </row>
    <row r="65" spans="1:41" x14ac:dyDescent="0.35">
      <c r="A65" t="s">
        <v>537</v>
      </c>
      <c r="B65">
        <v>-59.9</v>
      </c>
      <c r="E65" t="s">
        <v>546</v>
      </c>
      <c r="F65">
        <v>-71.52</v>
      </c>
      <c r="H65" t="s">
        <v>547</v>
      </c>
      <c r="I65">
        <v>-65.349999999999994</v>
      </c>
      <c r="O65" t="s">
        <v>546</v>
      </c>
      <c r="P65">
        <v>-47.555500000000002</v>
      </c>
      <c r="R65" t="s">
        <v>551</v>
      </c>
      <c r="S65">
        <v>-41.182699999999997</v>
      </c>
      <c r="V65" t="s">
        <v>541</v>
      </c>
      <c r="W65">
        <v>25.67</v>
      </c>
      <c r="Z65" t="s">
        <v>546</v>
      </c>
      <c r="AA65">
        <v>23.964500000000001</v>
      </c>
      <c r="AC65" t="s">
        <v>551</v>
      </c>
      <c r="AD65">
        <v>22.6373</v>
      </c>
      <c r="AG65">
        <v>16.489999999999998</v>
      </c>
      <c r="AH65">
        <v>3.35</v>
      </c>
      <c r="AL65">
        <v>19.944800000000001</v>
      </c>
      <c r="AO65">
        <v>19.901900000000001</v>
      </c>
    </row>
    <row r="66" spans="1:41" x14ac:dyDescent="0.35">
      <c r="A66" t="s">
        <v>541</v>
      </c>
      <c r="B66">
        <v>-64</v>
      </c>
      <c r="E66" t="s">
        <v>550</v>
      </c>
      <c r="F66">
        <v>-57.37</v>
      </c>
      <c r="H66" t="s">
        <v>551</v>
      </c>
      <c r="I66">
        <v>-63.82</v>
      </c>
      <c r="O66" t="s">
        <v>550</v>
      </c>
      <c r="P66">
        <v>-41.292499999999997</v>
      </c>
      <c r="R66" t="s">
        <v>555</v>
      </c>
      <c r="S66">
        <v>-43.1053</v>
      </c>
      <c r="V66" t="s">
        <v>545</v>
      </c>
      <c r="W66">
        <v>12.94</v>
      </c>
      <c r="Z66" t="s">
        <v>550</v>
      </c>
      <c r="AA66">
        <v>16.077500000000001</v>
      </c>
      <c r="AC66" t="s">
        <v>555</v>
      </c>
      <c r="AD66">
        <v>26.154699999999998</v>
      </c>
      <c r="AG66">
        <v>25.67</v>
      </c>
      <c r="AH66">
        <v>1.79</v>
      </c>
      <c r="AL66">
        <v>19.9115</v>
      </c>
      <c r="AO66">
        <v>16.246500000000001</v>
      </c>
    </row>
    <row r="67" spans="1:41" x14ac:dyDescent="0.35">
      <c r="A67" t="s">
        <v>545</v>
      </c>
      <c r="B67">
        <v>-53.7</v>
      </c>
      <c r="E67" t="s">
        <v>554</v>
      </c>
      <c r="F67">
        <v>-58.25</v>
      </c>
      <c r="H67" t="s">
        <v>555</v>
      </c>
      <c r="I67">
        <v>-69.260000000000005</v>
      </c>
      <c r="O67" t="s">
        <v>554</v>
      </c>
      <c r="P67">
        <v>-47.7791</v>
      </c>
      <c r="R67" t="s">
        <v>559</v>
      </c>
      <c r="S67">
        <v>-37.043799999999997</v>
      </c>
      <c r="V67" t="s">
        <v>549</v>
      </c>
      <c r="W67">
        <v>16.77</v>
      </c>
      <c r="Z67" t="s">
        <v>554</v>
      </c>
      <c r="AA67">
        <v>10.4709</v>
      </c>
      <c r="AC67" t="s">
        <v>559</v>
      </c>
      <c r="AD67">
        <v>28.6462</v>
      </c>
      <c r="AG67">
        <v>12.94</v>
      </c>
      <c r="AH67">
        <v>5.98</v>
      </c>
      <c r="AL67">
        <v>19.759699999999999</v>
      </c>
      <c r="AO67">
        <v>22.6373</v>
      </c>
    </row>
    <row r="68" spans="1:41" x14ac:dyDescent="0.35">
      <c r="A68" t="s">
        <v>549</v>
      </c>
      <c r="B68">
        <v>-57.61</v>
      </c>
      <c r="E68" t="s">
        <v>558</v>
      </c>
      <c r="F68">
        <v>-71.11</v>
      </c>
      <c r="H68" t="s">
        <v>559</v>
      </c>
      <c r="I68">
        <v>-65.69</v>
      </c>
      <c r="O68" t="s">
        <v>558</v>
      </c>
      <c r="P68">
        <v>-49.694800000000001</v>
      </c>
      <c r="R68" t="s">
        <v>563</v>
      </c>
      <c r="S68">
        <v>-40.221400000000003</v>
      </c>
      <c r="V68" t="s">
        <v>553</v>
      </c>
      <c r="W68">
        <v>19.3</v>
      </c>
      <c r="Z68" t="s">
        <v>558</v>
      </c>
      <c r="AA68">
        <v>21.415199999999999</v>
      </c>
      <c r="AC68" t="s">
        <v>563</v>
      </c>
      <c r="AD68">
        <v>23.2986</v>
      </c>
      <c r="AG68">
        <v>16.77</v>
      </c>
      <c r="AH68">
        <v>2.4700000000000002</v>
      </c>
      <c r="AL68">
        <v>19.703900000000001</v>
      </c>
      <c r="AO68">
        <v>26.154699999999998</v>
      </c>
    </row>
    <row r="69" spans="1:41" x14ac:dyDescent="0.35">
      <c r="A69" t="s">
        <v>553</v>
      </c>
      <c r="B69">
        <v>-59</v>
      </c>
      <c r="E69" t="s">
        <v>562</v>
      </c>
      <c r="F69">
        <v>-71.63</v>
      </c>
      <c r="H69" t="s">
        <v>563</v>
      </c>
      <c r="I69">
        <v>-63.52</v>
      </c>
      <c r="O69" t="s">
        <v>562</v>
      </c>
      <c r="P69">
        <v>-45.061399999999999</v>
      </c>
      <c r="R69" t="s">
        <v>567</v>
      </c>
      <c r="S69">
        <v>-45.741999999999997</v>
      </c>
      <c r="V69" t="s">
        <v>557</v>
      </c>
      <c r="W69">
        <v>25.78</v>
      </c>
      <c r="Z69" t="s">
        <v>562</v>
      </c>
      <c r="AA69">
        <v>26.5686</v>
      </c>
      <c r="AC69" t="s">
        <v>567</v>
      </c>
      <c r="AD69">
        <v>14.157999999999999</v>
      </c>
      <c r="AG69">
        <v>19.3</v>
      </c>
      <c r="AH69">
        <v>0.62</v>
      </c>
      <c r="AL69">
        <v>19.691299999999998</v>
      </c>
      <c r="AO69">
        <v>28.6462</v>
      </c>
    </row>
    <row r="70" spans="1:41" x14ac:dyDescent="0.35">
      <c r="A70" t="s">
        <v>557</v>
      </c>
      <c r="B70">
        <v>-68.11</v>
      </c>
      <c r="E70" t="s">
        <v>566</v>
      </c>
      <c r="F70">
        <v>-69.22</v>
      </c>
      <c r="H70" t="s">
        <v>567</v>
      </c>
      <c r="I70">
        <v>-59.9</v>
      </c>
      <c r="O70" t="s">
        <v>566</v>
      </c>
      <c r="P70">
        <v>-49.275199999999998</v>
      </c>
      <c r="R70" t="s">
        <v>571</v>
      </c>
      <c r="S70">
        <v>-48.111699999999999</v>
      </c>
      <c r="V70" t="s">
        <v>561</v>
      </c>
      <c r="W70">
        <v>15.31</v>
      </c>
      <c r="Z70" t="s">
        <v>566</v>
      </c>
      <c r="AA70">
        <v>19.944800000000001</v>
      </c>
      <c r="AC70" t="s">
        <v>571</v>
      </c>
      <c r="AD70">
        <v>14.8683</v>
      </c>
      <c r="AG70">
        <v>25.78</v>
      </c>
      <c r="AH70">
        <v>6.82</v>
      </c>
      <c r="AL70">
        <v>19.564599999999999</v>
      </c>
      <c r="AO70">
        <v>23.2986</v>
      </c>
    </row>
    <row r="71" spans="1:41" x14ac:dyDescent="0.35">
      <c r="A71" t="s">
        <v>561</v>
      </c>
      <c r="B71">
        <v>-54.26</v>
      </c>
      <c r="E71" t="s">
        <v>570</v>
      </c>
      <c r="F71">
        <v>-71.52</v>
      </c>
      <c r="H71" t="s">
        <v>571</v>
      </c>
      <c r="I71">
        <v>-62.98</v>
      </c>
      <c r="O71" t="s">
        <v>570</v>
      </c>
      <c r="P71">
        <v>-52.915100000000002</v>
      </c>
      <c r="R71" t="s">
        <v>575</v>
      </c>
      <c r="S71">
        <v>-37.442799999999998</v>
      </c>
      <c r="V71" t="s">
        <v>565</v>
      </c>
      <c r="W71">
        <v>20.58</v>
      </c>
      <c r="Z71" t="s">
        <v>570</v>
      </c>
      <c r="AA71">
        <v>18.604900000000001</v>
      </c>
      <c r="AC71" t="s">
        <v>575</v>
      </c>
      <c r="AD71">
        <v>18.557200000000002</v>
      </c>
      <c r="AG71">
        <v>15.31</v>
      </c>
      <c r="AH71">
        <v>1.28</v>
      </c>
      <c r="AL71">
        <v>19.509699999999999</v>
      </c>
      <c r="AO71">
        <v>14.157999999999999</v>
      </c>
    </row>
    <row r="72" spans="1:41" x14ac:dyDescent="0.35">
      <c r="A72" t="s">
        <v>565</v>
      </c>
      <c r="B72">
        <v>-61</v>
      </c>
      <c r="E72" t="s">
        <v>574</v>
      </c>
      <c r="F72">
        <v>-76.09</v>
      </c>
      <c r="H72" t="s">
        <v>575</v>
      </c>
      <c r="I72">
        <v>-56</v>
      </c>
      <c r="O72" t="s">
        <v>574</v>
      </c>
      <c r="P72">
        <v>-53.508000000000003</v>
      </c>
      <c r="R72" t="s">
        <v>578</v>
      </c>
      <c r="S72">
        <v>-39.184600000000003</v>
      </c>
      <c r="V72" t="s">
        <v>569</v>
      </c>
      <c r="W72">
        <v>13.39</v>
      </c>
      <c r="Z72" t="s">
        <v>574</v>
      </c>
      <c r="AA72">
        <v>22.582000000000001</v>
      </c>
      <c r="AC72" t="s">
        <v>578</v>
      </c>
      <c r="AD72">
        <v>19.195399999999999</v>
      </c>
      <c r="AG72">
        <v>20.58</v>
      </c>
      <c r="AH72">
        <v>5.03</v>
      </c>
      <c r="AL72">
        <v>19.490500000000001</v>
      </c>
      <c r="AO72">
        <v>14.8683</v>
      </c>
    </row>
    <row r="73" spans="1:41" x14ac:dyDescent="0.35">
      <c r="A73" t="s">
        <v>569</v>
      </c>
      <c r="B73">
        <v>-49.5</v>
      </c>
      <c r="E73" t="s">
        <v>577</v>
      </c>
      <c r="F73">
        <v>-75.7</v>
      </c>
      <c r="H73" t="s">
        <v>578</v>
      </c>
      <c r="I73">
        <v>-58.38</v>
      </c>
      <c r="O73" t="s">
        <v>577</v>
      </c>
      <c r="P73">
        <v>-45.795400000000001</v>
      </c>
      <c r="R73" t="s">
        <v>581</v>
      </c>
      <c r="S73">
        <v>-27.4299</v>
      </c>
      <c r="V73" t="s">
        <v>573</v>
      </c>
      <c r="W73">
        <v>17.57</v>
      </c>
      <c r="Z73" t="s">
        <v>577</v>
      </c>
      <c r="AA73">
        <v>29.904599999999999</v>
      </c>
      <c r="AC73" t="s">
        <v>581</v>
      </c>
      <c r="AD73">
        <v>34.000100000000003</v>
      </c>
      <c r="AG73">
        <v>13.39</v>
      </c>
      <c r="AH73">
        <v>5.39</v>
      </c>
      <c r="AL73">
        <v>18.9206</v>
      </c>
      <c r="AO73">
        <v>18.557200000000002</v>
      </c>
    </row>
    <row r="74" spans="1:41" ht="13.15" x14ac:dyDescent="0.4">
      <c r="A74" t="s">
        <v>573</v>
      </c>
      <c r="B74">
        <v>-57.49</v>
      </c>
      <c r="E74" t="s">
        <v>580</v>
      </c>
      <c r="F74">
        <v>-67.319999999999993</v>
      </c>
      <c r="H74" t="s">
        <v>581</v>
      </c>
      <c r="I74">
        <v>-61.43</v>
      </c>
      <c r="O74" t="s">
        <v>580</v>
      </c>
      <c r="P74">
        <v>-55.319200000000002</v>
      </c>
      <c r="R74" t="s">
        <v>584</v>
      </c>
      <c r="S74">
        <v>-38.9831</v>
      </c>
      <c r="V74" t="s">
        <v>576</v>
      </c>
      <c r="W74">
        <v>22.31</v>
      </c>
      <c r="Z74" t="s">
        <v>580</v>
      </c>
      <c r="AA74">
        <v>12.0008</v>
      </c>
      <c r="AC74" t="s">
        <v>584</v>
      </c>
      <c r="AD74">
        <v>19.396899999999999</v>
      </c>
      <c r="AG74">
        <v>17.57</v>
      </c>
      <c r="AH74" s="1">
        <f>AVERAGE(AH4:AH73)</f>
        <v>2.3947142857142856</v>
      </c>
      <c r="AL74">
        <v>18.793500000000002</v>
      </c>
      <c r="AO74">
        <v>19.195399999999999</v>
      </c>
    </row>
    <row r="75" spans="1:41" x14ac:dyDescent="0.35">
      <c r="A75" t="s">
        <v>576</v>
      </c>
      <c r="B75">
        <v>-59.56</v>
      </c>
      <c r="E75" t="s">
        <v>583</v>
      </c>
      <c r="F75">
        <v>-76.540000000000006</v>
      </c>
      <c r="H75" t="s">
        <v>584</v>
      </c>
      <c r="I75">
        <v>-58.38</v>
      </c>
      <c r="O75" t="s">
        <v>583</v>
      </c>
      <c r="P75">
        <v>-54.811100000000003</v>
      </c>
      <c r="R75" t="s">
        <v>587</v>
      </c>
      <c r="S75">
        <v>-33.615099999999998</v>
      </c>
      <c r="V75" t="s">
        <v>741</v>
      </c>
      <c r="W75">
        <v>35.15</v>
      </c>
      <c r="Z75" t="s">
        <v>583</v>
      </c>
      <c r="AA75">
        <v>21.728899999999999</v>
      </c>
      <c r="AC75" t="s">
        <v>587</v>
      </c>
      <c r="AD75">
        <v>37.654899999999998</v>
      </c>
      <c r="AG75">
        <v>22.31</v>
      </c>
      <c r="AL75">
        <v>18.661300000000001</v>
      </c>
      <c r="AO75">
        <v>34.000100000000003</v>
      </c>
    </row>
    <row r="76" spans="1:41" x14ac:dyDescent="0.35">
      <c r="A76" t="s">
        <v>741</v>
      </c>
      <c r="B76">
        <v>-69.239999999999995</v>
      </c>
      <c r="E76" t="s">
        <v>586</v>
      </c>
      <c r="F76">
        <v>-72.13</v>
      </c>
      <c r="H76" t="s">
        <v>587</v>
      </c>
      <c r="I76">
        <v>-71.27</v>
      </c>
      <c r="O76" t="s">
        <v>586</v>
      </c>
      <c r="P76">
        <v>-48.63205</v>
      </c>
      <c r="R76" t="s">
        <v>593</v>
      </c>
      <c r="S76">
        <v>-39.501899999999999</v>
      </c>
      <c r="V76" t="s">
        <v>579</v>
      </c>
      <c r="W76">
        <v>20.37</v>
      </c>
      <c r="Z76" t="s">
        <v>586</v>
      </c>
      <c r="AA76">
        <v>23.497949999999999</v>
      </c>
      <c r="AC76" t="s">
        <v>593</v>
      </c>
      <c r="AD76">
        <v>25.078099999999999</v>
      </c>
      <c r="AG76">
        <v>35.15</v>
      </c>
      <c r="AL76">
        <v>18.604900000000001</v>
      </c>
      <c r="AO76">
        <v>19.396899999999999</v>
      </c>
    </row>
    <row r="77" spans="1:41" x14ac:dyDescent="0.35">
      <c r="A77" t="s">
        <v>579</v>
      </c>
      <c r="B77">
        <v>-54.46</v>
      </c>
      <c r="E77" t="s">
        <v>589</v>
      </c>
      <c r="F77">
        <v>-70.72</v>
      </c>
      <c r="H77" t="s">
        <v>590</v>
      </c>
      <c r="I77">
        <v>-55.29</v>
      </c>
      <c r="O77" t="s">
        <v>589</v>
      </c>
      <c r="P77">
        <v>-42.053199999999997</v>
      </c>
      <c r="R77" t="s">
        <v>596</v>
      </c>
      <c r="S77">
        <v>-40.525100000000002</v>
      </c>
      <c r="V77" t="s">
        <v>582</v>
      </c>
      <c r="W77">
        <v>22.06</v>
      </c>
      <c r="Z77" t="s">
        <v>589</v>
      </c>
      <c r="AA77">
        <v>28.666799999999999</v>
      </c>
      <c r="AC77" t="s">
        <v>596</v>
      </c>
      <c r="AD77">
        <v>16.944900000000001</v>
      </c>
      <c r="AG77">
        <v>20.37</v>
      </c>
      <c r="AL77">
        <v>18.569700000000001</v>
      </c>
      <c r="AO77">
        <v>37.654899999999998</v>
      </c>
    </row>
    <row r="78" spans="1:41" ht="13.15" x14ac:dyDescent="0.4">
      <c r="A78" t="s">
        <v>582</v>
      </c>
      <c r="B78">
        <v>-58.43</v>
      </c>
      <c r="E78" t="s">
        <v>592</v>
      </c>
      <c r="F78">
        <v>-74.53</v>
      </c>
      <c r="H78" t="s">
        <v>593</v>
      </c>
      <c r="I78">
        <v>-64.58</v>
      </c>
      <c r="O78" t="s">
        <v>592</v>
      </c>
      <c r="P78">
        <v>-44.576300000000003</v>
      </c>
      <c r="R78" t="s">
        <v>599</v>
      </c>
      <c r="S78">
        <v>-35.366799999999998</v>
      </c>
      <c r="V78" t="s">
        <v>585</v>
      </c>
      <c r="W78">
        <v>10.28</v>
      </c>
      <c r="Z78" t="s">
        <v>592</v>
      </c>
      <c r="AA78">
        <v>29.953700000000001</v>
      </c>
      <c r="AC78" t="s">
        <v>599</v>
      </c>
      <c r="AD78">
        <v>23.5932</v>
      </c>
      <c r="AG78">
        <v>22.06</v>
      </c>
      <c r="AH78" s="1"/>
      <c r="AL78">
        <v>18.455200000000001</v>
      </c>
    </row>
    <row r="79" spans="1:41" x14ac:dyDescent="0.35">
      <c r="A79" t="s">
        <v>585</v>
      </c>
      <c r="B79">
        <v>-50.77</v>
      </c>
      <c r="E79" t="s">
        <v>595</v>
      </c>
      <c r="F79">
        <v>-74.3</v>
      </c>
      <c r="H79" t="s">
        <v>596</v>
      </c>
      <c r="I79">
        <v>-57.47</v>
      </c>
      <c r="O79" t="s">
        <v>595</v>
      </c>
      <c r="P79">
        <v>-50.637</v>
      </c>
      <c r="R79" t="s">
        <v>602</v>
      </c>
      <c r="S79">
        <v>-40.001800000000003</v>
      </c>
      <c r="V79" t="s">
        <v>588</v>
      </c>
      <c r="W79">
        <v>22.47</v>
      </c>
      <c r="Z79" t="s">
        <v>595</v>
      </c>
      <c r="AA79">
        <v>23.663</v>
      </c>
      <c r="AC79" t="s">
        <v>602</v>
      </c>
      <c r="AD79">
        <v>21.398199999999999</v>
      </c>
      <c r="AG79">
        <v>10.28</v>
      </c>
      <c r="AL79">
        <v>18.334</v>
      </c>
      <c r="AO79">
        <v>25.078099999999999</v>
      </c>
    </row>
    <row r="80" spans="1:41" x14ac:dyDescent="0.35">
      <c r="A80" t="s">
        <v>588</v>
      </c>
      <c r="B80">
        <v>-58.48</v>
      </c>
      <c r="E80" t="s">
        <v>598</v>
      </c>
      <c r="F80">
        <v>-68.53</v>
      </c>
      <c r="H80" t="s">
        <v>599</v>
      </c>
      <c r="I80">
        <v>-58.96</v>
      </c>
      <c r="O80" t="s">
        <v>598</v>
      </c>
      <c r="P80">
        <v>-48.965400000000002</v>
      </c>
      <c r="R80" t="s">
        <v>605</v>
      </c>
      <c r="S80">
        <v>-49.313299999999998</v>
      </c>
      <c r="V80" t="s">
        <v>591</v>
      </c>
      <c r="W80">
        <v>16.78</v>
      </c>
      <c r="Z80" t="s">
        <v>598</v>
      </c>
      <c r="AA80">
        <v>19.564599999999999</v>
      </c>
      <c r="AC80" t="s">
        <v>605</v>
      </c>
      <c r="AD80">
        <v>18.646699999999999</v>
      </c>
      <c r="AG80">
        <v>22.47</v>
      </c>
      <c r="AL80">
        <v>18.1706</v>
      </c>
      <c r="AO80">
        <v>16.944900000000001</v>
      </c>
    </row>
    <row r="81" spans="1:41" x14ac:dyDescent="0.35">
      <c r="A81" t="s">
        <v>591</v>
      </c>
      <c r="B81">
        <v>-60.12</v>
      </c>
      <c r="E81" t="s">
        <v>601</v>
      </c>
      <c r="F81">
        <v>-71.25</v>
      </c>
      <c r="H81" t="s">
        <v>602</v>
      </c>
      <c r="I81">
        <v>-61.4</v>
      </c>
      <c r="O81" t="s">
        <v>601</v>
      </c>
      <c r="P81">
        <v>-44.599899999999998</v>
      </c>
      <c r="R81" t="s">
        <v>608</v>
      </c>
      <c r="S81">
        <v>-41.696100000000001</v>
      </c>
      <c r="V81" t="s">
        <v>742</v>
      </c>
      <c r="W81">
        <v>21.77</v>
      </c>
      <c r="Z81" t="s">
        <v>601</v>
      </c>
      <c r="AA81">
        <v>26.650099999999998</v>
      </c>
      <c r="AC81" t="s">
        <v>608</v>
      </c>
      <c r="AD81">
        <v>14.693899999999999</v>
      </c>
      <c r="AG81">
        <v>16.78</v>
      </c>
      <c r="AL81">
        <v>17.950199999999999</v>
      </c>
      <c r="AO81">
        <v>23.5932</v>
      </c>
    </row>
    <row r="82" spans="1:41" x14ac:dyDescent="0.35">
      <c r="A82" t="s">
        <v>742</v>
      </c>
      <c r="B82">
        <v>-58.73</v>
      </c>
      <c r="E82" t="s">
        <v>604</v>
      </c>
      <c r="F82">
        <v>-61.67</v>
      </c>
      <c r="H82" t="s">
        <v>605</v>
      </c>
      <c r="I82">
        <v>-67.959999999999994</v>
      </c>
      <c r="O82" t="s">
        <v>604</v>
      </c>
      <c r="P82">
        <v>-45.5398</v>
      </c>
      <c r="R82" t="s">
        <v>611</v>
      </c>
      <c r="S82">
        <v>-40.622700000000002</v>
      </c>
      <c r="V82" t="s">
        <v>594</v>
      </c>
      <c r="W82">
        <v>10.02</v>
      </c>
      <c r="Z82" t="s">
        <v>604</v>
      </c>
      <c r="AA82">
        <v>16.130199999999999</v>
      </c>
      <c r="AC82" t="s">
        <v>611</v>
      </c>
      <c r="AD82">
        <v>30.4373</v>
      </c>
      <c r="AG82">
        <v>21.77</v>
      </c>
      <c r="AL82">
        <v>17.7849</v>
      </c>
      <c r="AO82">
        <v>21.398199999999999</v>
      </c>
    </row>
    <row r="83" spans="1:41" x14ac:dyDescent="0.35">
      <c r="A83" t="s">
        <v>594</v>
      </c>
      <c r="B83">
        <v>-45.9</v>
      </c>
      <c r="E83" t="s">
        <v>607</v>
      </c>
      <c r="F83">
        <v>-66.489999999999995</v>
      </c>
      <c r="H83" t="s">
        <v>608</v>
      </c>
      <c r="I83">
        <v>-56.39</v>
      </c>
      <c r="O83" t="s">
        <v>607</v>
      </c>
      <c r="P83">
        <v>-47.828699999999998</v>
      </c>
      <c r="R83" t="s">
        <v>614</v>
      </c>
      <c r="S83">
        <v>-49.702399999999997</v>
      </c>
      <c r="V83" t="s">
        <v>743</v>
      </c>
      <c r="W83">
        <v>30.77</v>
      </c>
      <c r="Z83" t="s">
        <v>607</v>
      </c>
      <c r="AA83">
        <v>18.661300000000001</v>
      </c>
      <c r="AC83" t="s">
        <v>614</v>
      </c>
      <c r="AD83">
        <v>5.7176</v>
      </c>
      <c r="AG83">
        <v>10.02</v>
      </c>
      <c r="AL83">
        <v>17.706199999999999</v>
      </c>
      <c r="AO83">
        <v>18.646699999999999</v>
      </c>
    </row>
    <row r="84" spans="1:41" x14ac:dyDescent="0.35">
      <c r="A84" t="s">
        <v>743</v>
      </c>
      <c r="B84">
        <v>-67.489999999999995</v>
      </c>
      <c r="E84" t="s">
        <v>610</v>
      </c>
      <c r="F84">
        <v>-52.94</v>
      </c>
      <c r="H84" t="s">
        <v>611</v>
      </c>
      <c r="I84">
        <v>-71.06</v>
      </c>
      <c r="O84" t="s">
        <v>610</v>
      </c>
      <c r="P84">
        <v>-35.896999999999998</v>
      </c>
      <c r="R84" t="s">
        <v>617</v>
      </c>
      <c r="S84">
        <v>-45.183500000000002</v>
      </c>
      <c r="V84" t="s">
        <v>597</v>
      </c>
      <c r="W84">
        <v>18.11</v>
      </c>
      <c r="Z84" t="s">
        <v>610</v>
      </c>
      <c r="AA84">
        <v>17.042999999999999</v>
      </c>
      <c r="AC84" t="s">
        <v>617</v>
      </c>
      <c r="AD84">
        <v>10.436500000000001</v>
      </c>
      <c r="AG84">
        <v>30.77</v>
      </c>
      <c r="AL84">
        <v>17.632899999999999</v>
      </c>
      <c r="AO84">
        <v>14.693899999999999</v>
      </c>
    </row>
    <row r="85" spans="1:41" x14ac:dyDescent="0.35">
      <c r="A85" t="s">
        <v>597</v>
      </c>
      <c r="B85">
        <v>-57.16</v>
      </c>
      <c r="E85" t="s">
        <v>613</v>
      </c>
      <c r="F85">
        <v>-51.52</v>
      </c>
      <c r="H85" t="s">
        <v>614</v>
      </c>
      <c r="I85">
        <v>-55.42</v>
      </c>
      <c r="O85" t="s">
        <v>613</v>
      </c>
      <c r="P85">
        <v>-34.3765</v>
      </c>
      <c r="R85" t="s">
        <v>620</v>
      </c>
      <c r="S85">
        <v>-34.216299999999997</v>
      </c>
      <c r="V85" t="s">
        <v>600</v>
      </c>
      <c r="W85">
        <v>21.08</v>
      </c>
      <c r="Z85" t="s">
        <v>613</v>
      </c>
      <c r="AA85">
        <v>17.1435</v>
      </c>
      <c r="AC85" t="s">
        <v>620</v>
      </c>
      <c r="AD85">
        <v>27.313700000000001</v>
      </c>
      <c r="AG85">
        <v>18.11</v>
      </c>
      <c r="AL85">
        <v>17.1435</v>
      </c>
      <c r="AO85">
        <v>30.4373</v>
      </c>
    </row>
    <row r="86" spans="1:41" x14ac:dyDescent="0.35">
      <c r="A86" t="s">
        <v>600</v>
      </c>
      <c r="B86">
        <v>-58.65</v>
      </c>
      <c r="E86" t="s">
        <v>616</v>
      </c>
      <c r="F86">
        <v>-54.33</v>
      </c>
      <c r="H86" t="s">
        <v>617</v>
      </c>
      <c r="I86">
        <v>-55.62</v>
      </c>
      <c r="O86" t="s">
        <v>616</v>
      </c>
      <c r="P86">
        <v>-39.068600000000004</v>
      </c>
      <c r="R86" t="s">
        <v>623</v>
      </c>
      <c r="S86">
        <v>-42.426299999999998</v>
      </c>
      <c r="V86" t="s">
        <v>603</v>
      </c>
      <c r="W86">
        <v>21.52</v>
      </c>
      <c r="Z86" t="s">
        <v>616</v>
      </c>
      <c r="AA86">
        <v>15.2614</v>
      </c>
      <c r="AC86" t="s">
        <v>623</v>
      </c>
      <c r="AD86">
        <v>25.653700000000001</v>
      </c>
      <c r="AG86">
        <v>21.08</v>
      </c>
      <c r="AL86">
        <v>17.042999999999999</v>
      </c>
      <c r="AO86">
        <v>5.7176</v>
      </c>
    </row>
    <row r="87" spans="1:41" x14ac:dyDescent="0.35">
      <c r="A87" t="s">
        <v>603</v>
      </c>
      <c r="B87">
        <v>-56.25</v>
      </c>
      <c r="E87" t="s">
        <v>619</v>
      </c>
      <c r="F87">
        <v>-47.64</v>
      </c>
      <c r="H87" t="s">
        <v>620</v>
      </c>
      <c r="I87">
        <v>-61.53</v>
      </c>
      <c r="O87" t="s">
        <v>619</v>
      </c>
      <c r="P87">
        <v>-37.025399999999998</v>
      </c>
      <c r="R87" t="s">
        <v>626</v>
      </c>
      <c r="S87">
        <v>-41.743400000000001</v>
      </c>
      <c r="V87" t="s">
        <v>606</v>
      </c>
      <c r="W87">
        <v>23.3</v>
      </c>
      <c r="Z87" t="s">
        <v>619</v>
      </c>
      <c r="AA87">
        <v>10.614599999999999</v>
      </c>
      <c r="AC87" t="s">
        <v>626</v>
      </c>
      <c r="AD87">
        <v>23.2666</v>
      </c>
      <c r="AG87">
        <v>21.52</v>
      </c>
      <c r="AL87">
        <v>16.8203</v>
      </c>
      <c r="AO87">
        <v>10.436500000000001</v>
      </c>
    </row>
    <row r="88" spans="1:41" x14ac:dyDescent="0.35">
      <c r="A88" t="s">
        <v>606</v>
      </c>
      <c r="B88">
        <v>-58.09</v>
      </c>
      <c r="E88" t="s">
        <v>622</v>
      </c>
      <c r="F88">
        <v>-67.03</v>
      </c>
      <c r="H88" t="s">
        <v>623</v>
      </c>
      <c r="I88">
        <v>-68.08</v>
      </c>
      <c r="O88" t="s">
        <v>622</v>
      </c>
      <c r="P88">
        <v>-40.606999999999999</v>
      </c>
      <c r="R88" t="s">
        <v>629</v>
      </c>
      <c r="S88">
        <v>-43.979599999999998</v>
      </c>
      <c r="V88" t="s">
        <v>609</v>
      </c>
      <c r="W88">
        <v>10.46</v>
      </c>
      <c r="Z88" t="s">
        <v>622</v>
      </c>
      <c r="AA88">
        <v>26.422999999999998</v>
      </c>
      <c r="AC88" t="s">
        <v>629</v>
      </c>
      <c r="AD88">
        <v>23.990400000000001</v>
      </c>
      <c r="AG88">
        <v>23.3</v>
      </c>
      <c r="AL88">
        <v>16.6889</v>
      </c>
      <c r="AO88">
        <v>27.313700000000001</v>
      </c>
    </row>
    <row r="89" spans="1:41" x14ac:dyDescent="0.35">
      <c r="A89" t="s">
        <v>609</v>
      </c>
      <c r="B89">
        <v>-44.55</v>
      </c>
      <c r="E89" t="s">
        <v>625</v>
      </c>
      <c r="F89">
        <v>-56.92</v>
      </c>
      <c r="H89" t="s">
        <v>626</v>
      </c>
      <c r="I89">
        <v>-65.010000000000005</v>
      </c>
      <c r="O89" t="s">
        <v>625</v>
      </c>
      <c r="P89">
        <v>-43.328099999999999</v>
      </c>
      <c r="R89" t="s">
        <v>632</v>
      </c>
      <c r="S89">
        <v>-53.470599999999997</v>
      </c>
      <c r="V89" t="s">
        <v>612</v>
      </c>
      <c r="W89">
        <v>12.13</v>
      </c>
      <c r="Z89" t="s">
        <v>625</v>
      </c>
      <c r="AA89">
        <v>13.591900000000001</v>
      </c>
      <c r="AC89" t="s">
        <v>632</v>
      </c>
      <c r="AD89">
        <v>7.1794000000000002</v>
      </c>
      <c r="AG89">
        <v>10.46</v>
      </c>
      <c r="AL89">
        <v>16.675799999999999</v>
      </c>
      <c r="AO89">
        <v>25.653700000000001</v>
      </c>
    </row>
    <row r="90" spans="1:41" x14ac:dyDescent="0.35">
      <c r="A90" t="s">
        <v>612</v>
      </c>
      <c r="B90">
        <v>-51.11</v>
      </c>
      <c r="E90" t="s">
        <v>628</v>
      </c>
      <c r="F90">
        <v>-65.61</v>
      </c>
      <c r="H90" t="s">
        <v>629</v>
      </c>
      <c r="I90">
        <v>-67.97</v>
      </c>
      <c r="O90" t="s">
        <v>628</v>
      </c>
      <c r="P90">
        <v>-41.635899999999999</v>
      </c>
      <c r="R90" t="s">
        <v>635</v>
      </c>
      <c r="S90">
        <v>-47.39</v>
      </c>
      <c r="V90" t="s">
        <v>615</v>
      </c>
      <c r="W90">
        <v>12.18</v>
      </c>
      <c r="Z90" t="s">
        <v>628</v>
      </c>
      <c r="AA90">
        <v>23.9741</v>
      </c>
      <c r="AC90" t="s">
        <v>635</v>
      </c>
      <c r="AD90">
        <v>20.98</v>
      </c>
      <c r="AG90">
        <v>12.13</v>
      </c>
      <c r="AL90">
        <v>16.651299999999999</v>
      </c>
      <c r="AO90">
        <v>23.2666</v>
      </c>
    </row>
    <row r="91" spans="1:41" x14ac:dyDescent="0.35">
      <c r="A91" t="s">
        <v>615</v>
      </c>
      <c r="B91">
        <v>-52.02</v>
      </c>
      <c r="E91" t="s">
        <v>631</v>
      </c>
      <c r="F91">
        <v>-68.569999999999993</v>
      </c>
      <c r="H91" t="s">
        <v>632</v>
      </c>
      <c r="I91">
        <v>-60.65</v>
      </c>
      <c r="O91" t="s">
        <v>631</v>
      </c>
      <c r="P91">
        <v>-41.633400000000002</v>
      </c>
      <c r="R91" t="s">
        <v>638</v>
      </c>
      <c r="S91">
        <v>-40.4602</v>
      </c>
      <c r="V91" t="s">
        <v>618</v>
      </c>
      <c r="W91">
        <v>11.63</v>
      </c>
      <c r="Z91" t="s">
        <v>631</v>
      </c>
      <c r="AA91">
        <v>26.936599999999999</v>
      </c>
      <c r="AC91" t="s">
        <v>638</v>
      </c>
      <c r="AD91">
        <v>24.3398</v>
      </c>
      <c r="AG91">
        <v>12.18</v>
      </c>
      <c r="AL91">
        <v>16.581</v>
      </c>
      <c r="AO91">
        <v>23.990400000000001</v>
      </c>
    </row>
    <row r="92" spans="1:41" ht="13.15" x14ac:dyDescent="0.4">
      <c r="A92" t="s">
        <v>618</v>
      </c>
      <c r="B92">
        <v>-49.17</v>
      </c>
      <c r="E92" t="s">
        <v>634</v>
      </c>
      <c r="F92">
        <v>-55.95</v>
      </c>
      <c r="H92" t="s">
        <v>635</v>
      </c>
      <c r="I92">
        <v>-68.37</v>
      </c>
      <c r="O92" t="s">
        <v>634</v>
      </c>
      <c r="P92">
        <v>-38.317100000000003</v>
      </c>
      <c r="R92" t="s">
        <v>397</v>
      </c>
      <c r="S92" s="1">
        <f>AVERAGE(S3:S91)</f>
        <v>-41.285495505617973</v>
      </c>
      <c r="V92" t="s">
        <v>621</v>
      </c>
      <c r="W92">
        <v>16.309999999999999</v>
      </c>
      <c r="Z92" t="s">
        <v>634</v>
      </c>
      <c r="AA92">
        <v>17.632899999999999</v>
      </c>
      <c r="AC92" t="s">
        <v>397</v>
      </c>
      <c r="AD92" s="1">
        <f>AVERAGE(AD3:AD91)</f>
        <v>19.716414606741576</v>
      </c>
      <c r="AG92">
        <v>11.63</v>
      </c>
      <c r="AL92">
        <v>16.513400000000001</v>
      </c>
      <c r="AO92">
        <v>7.1794000000000002</v>
      </c>
    </row>
    <row r="93" spans="1:41" ht="13.15" x14ac:dyDescent="0.4">
      <c r="A93" t="s">
        <v>621</v>
      </c>
      <c r="B93">
        <v>-54.91</v>
      </c>
      <c r="E93" t="s">
        <v>637</v>
      </c>
      <c r="F93">
        <v>-52.78</v>
      </c>
      <c r="H93" t="s">
        <v>638</v>
      </c>
      <c r="I93">
        <v>-64.8</v>
      </c>
      <c r="O93" t="s">
        <v>637</v>
      </c>
      <c r="P93">
        <v>-39.720100000000002</v>
      </c>
      <c r="R93" t="s">
        <v>281</v>
      </c>
      <c r="S93" s="1">
        <f>STDEV(S3:S91)</f>
        <v>4.8775831820853837</v>
      </c>
      <c r="V93" t="s">
        <v>624</v>
      </c>
      <c r="W93">
        <v>11.21</v>
      </c>
      <c r="Z93" t="s">
        <v>637</v>
      </c>
      <c r="AA93">
        <v>13.059900000000001</v>
      </c>
      <c r="AC93" t="s">
        <v>281</v>
      </c>
      <c r="AD93" s="1">
        <f>STDEV(AD3:AD91)</f>
        <v>8.1327473519596598</v>
      </c>
      <c r="AG93">
        <v>16.309999999999999</v>
      </c>
      <c r="AL93">
        <v>16.395800000000001</v>
      </c>
      <c r="AO93">
        <v>20.98</v>
      </c>
    </row>
    <row r="94" spans="1:41" ht="13.15" x14ac:dyDescent="0.4">
      <c r="A94" t="s">
        <v>624</v>
      </c>
      <c r="B94">
        <v>-51.94</v>
      </c>
      <c r="E94" t="s">
        <v>640</v>
      </c>
      <c r="F94">
        <v>-63.22</v>
      </c>
      <c r="H94" t="s">
        <v>744</v>
      </c>
      <c r="I94" s="1">
        <f>AVERAGE(I3:I93)</f>
        <v>-61.080989010989029</v>
      </c>
      <c r="O94" t="s">
        <v>640</v>
      </c>
      <c r="P94">
        <v>-43.528700000000001</v>
      </c>
      <c r="R94" t="s">
        <v>284</v>
      </c>
      <c r="S94" s="1">
        <f>S93/SQRT(89)</f>
        <v>0.51702278325651818</v>
      </c>
      <c r="V94" t="s">
        <v>627</v>
      </c>
      <c r="W94">
        <v>20.220300000000002</v>
      </c>
      <c r="Z94" t="s">
        <v>640</v>
      </c>
      <c r="AA94">
        <v>19.691299999999998</v>
      </c>
      <c r="AC94" t="s">
        <v>284</v>
      </c>
      <c r="AD94" s="1">
        <f>AD93/SQRT(89)</f>
        <v>0.86206949517045783</v>
      </c>
      <c r="AG94">
        <v>11.21</v>
      </c>
      <c r="AL94">
        <v>16.334</v>
      </c>
      <c r="AO94">
        <v>24.3398</v>
      </c>
    </row>
    <row r="95" spans="1:41" ht="13.15" x14ac:dyDescent="0.4">
      <c r="A95" t="s">
        <v>627</v>
      </c>
      <c r="B95">
        <v>-57.38</v>
      </c>
      <c r="E95" t="s">
        <v>642</v>
      </c>
      <c r="F95">
        <v>-65.959999999999994</v>
      </c>
      <c r="H95" t="s">
        <v>281</v>
      </c>
      <c r="I95" s="1">
        <f>STDEV(I3:I93)</f>
        <v>6.6386369174777364</v>
      </c>
      <c r="O95" t="s">
        <v>642</v>
      </c>
      <c r="P95">
        <v>-37.427500000000002</v>
      </c>
      <c r="V95" t="s">
        <v>630</v>
      </c>
      <c r="W95">
        <v>18.806000000000001</v>
      </c>
      <c r="Z95" t="s">
        <v>642</v>
      </c>
      <c r="AA95">
        <v>28.532499999999999</v>
      </c>
      <c r="AG95">
        <v>20.220300000000002</v>
      </c>
      <c r="AL95">
        <v>16.262699999999999</v>
      </c>
      <c r="AO95" s="1">
        <f>AVERAGE(Figure6!AO4:AO94)</f>
        <v>19.716414606741576</v>
      </c>
    </row>
    <row r="96" spans="1:41" ht="13.15" x14ac:dyDescent="0.4">
      <c r="A96" t="s">
        <v>630</v>
      </c>
      <c r="B96">
        <v>-56.48</v>
      </c>
      <c r="E96" t="s">
        <v>644</v>
      </c>
      <c r="F96">
        <v>-67.73</v>
      </c>
      <c r="H96" t="s">
        <v>284</v>
      </c>
      <c r="I96" s="1">
        <f>I95/SQRT(91)</f>
        <v>0.69591824170942485</v>
      </c>
      <c r="O96" t="s">
        <v>644</v>
      </c>
      <c r="P96">
        <v>-53.852800000000002</v>
      </c>
      <c r="V96" t="s">
        <v>633</v>
      </c>
      <c r="W96">
        <v>26.512599999999999</v>
      </c>
      <c r="Z96" t="s">
        <v>644</v>
      </c>
      <c r="AA96">
        <v>13.8772</v>
      </c>
      <c r="AG96">
        <v>18.806000000000001</v>
      </c>
      <c r="AL96">
        <v>16.130199999999999</v>
      </c>
    </row>
    <row r="97" spans="1:38" x14ac:dyDescent="0.35">
      <c r="A97" t="s">
        <v>633</v>
      </c>
      <c r="B97">
        <v>-62.18</v>
      </c>
      <c r="E97" t="s">
        <v>646</v>
      </c>
      <c r="F97">
        <v>-61.58</v>
      </c>
      <c r="O97" t="s">
        <v>646</v>
      </c>
      <c r="P97">
        <v>-33.436599999999999</v>
      </c>
      <c r="V97" t="s">
        <v>636</v>
      </c>
      <c r="W97">
        <v>23.414200000000001</v>
      </c>
      <c r="Z97" t="s">
        <v>646</v>
      </c>
      <c r="AA97">
        <v>28.1434</v>
      </c>
      <c r="AG97">
        <v>26.512599999999999</v>
      </c>
      <c r="AL97">
        <v>16.077500000000001</v>
      </c>
    </row>
    <row r="98" spans="1:38" x14ac:dyDescent="0.35">
      <c r="A98" t="s">
        <v>636</v>
      </c>
      <c r="B98">
        <v>-58.9</v>
      </c>
      <c r="E98" t="s">
        <v>648</v>
      </c>
      <c r="F98">
        <v>-65.7</v>
      </c>
      <c r="O98" t="s">
        <v>648</v>
      </c>
      <c r="P98">
        <v>-43.9499</v>
      </c>
      <c r="V98" t="s">
        <v>639</v>
      </c>
      <c r="W98">
        <v>17.911200000000001</v>
      </c>
      <c r="Z98" t="s">
        <v>648</v>
      </c>
      <c r="AA98">
        <v>21.7501</v>
      </c>
      <c r="AG98">
        <v>23.414200000000001</v>
      </c>
      <c r="AL98">
        <v>15.478199999999999</v>
      </c>
    </row>
    <row r="99" spans="1:38" x14ac:dyDescent="0.35">
      <c r="A99" t="s">
        <v>639</v>
      </c>
      <c r="B99">
        <v>-48</v>
      </c>
      <c r="E99" t="s">
        <v>650</v>
      </c>
      <c r="F99">
        <v>-60.7</v>
      </c>
      <c r="O99" t="s">
        <v>650</v>
      </c>
      <c r="P99">
        <v>-47.88</v>
      </c>
      <c r="V99" t="s">
        <v>641</v>
      </c>
      <c r="W99">
        <v>12.303900000000001</v>
      </c>
      <c r="Z99" t="s">
        <v>650</v>
      </c>
      <c r="AA99">
        <v>12.82</v>
      </c>
      <c r="AG99">
        <v>17.911200000000001</v>
      </c>
      <c r="AL99">
        <v>15.2614</v>
      </c>
    </row>
    <row r="100" spans="1:38" x14ac:dyDescent="0.35">
      <c r="A100" t="s">
        <v>641</v>
      </c>
      <c r="B100">
        <v>-49.16</v>
      </c>
      <c r="E100" t="s">
        <v>652</v>
      </c>
      <c r="F100">
        <v>-54.89</v>
      </c>
      <c r="O100" t="s">
        <v>652</v>
      </c>
      <c r="P100">
        <v>-45.169800000000002</v>
      </c>
      <c r="V100" t="s">
        <v>643</v>
      </c>
      <c r="W100">
        <v>24.620100000000001</v>
      </c>
      <c r="Z100" t="s">
        <v>652</v>
      </c>
      <c r="AA100">
        <v>9.7202000000000002</v>
      </c>
      <c r="AG100">
        <v>12.303900000000001</v>
      </c>
      <c r="AL100">
        <v>15.196</v>
      </c>
    </row>
    <row r="101" spans="1:38" x14ac:dyDescent="0.35">
      <c r="A101" t="s">
        <v>643</v>
      </c>
      <c r="B101">
        <v>-63.06</v>
      </c>
      <c r="E101" t="s">
        <v>654</v>
      </c>
      <c r="F101">
        <v>-65.400000000000006</v>
      </c>
      <c r="O101" t="s">
        <v>654</v>
      </c>
      <c r="P101">
        <v>-41.965499999999999</v>
      </c>
      <c r="V101" t="s">
        <v>645</v>
      </c>
      <c r="W101">
        <v>17.429400000000001</v>
      </c>
      <c r="Z101" t="s">
        <v>654</v>
      </c>
      <c r="AA101">
        <v>23.4345</v>
      </c>
      <c r="AG101">
        <v>24.620100000000001</v>
      </c>
      <c r="AL101">
        <v>15.117900000000001</v>
      </c>
    </row>
    <row r="102" spans="1:38" x14ac:dyDescent="0.35">
      <c r="A102" t="s">
        <v>645</v>
      </c>
      <c r="B102">
        <v>-52.43</v>
      </c>
      <c r="E102" t="s">
        <v>656</v>
      </c>
      <c r="F102">
        <v>-65.709999999999994</v>
      </c>
      <c r="O102" t="s">
        <v>656</v>
      </c>
      <c r="P102">
        <v>-42.775700000000001</v>
      </c>
      <c r="V102" t="s">
        <v>647</v>
      </c>
      <c r="W102">
        <v>8.3085000000000004</v>
      </c>
      <c r="Z102" t="s">
        <v>656</v>
      </c>
      <c r="AA102">
        <v>22.9343</v>
      </c>
      <c r="AG102">
        <v>17.429400000000001</v>
      </c>
      <c r="AL102">
        <v>14.6404</v>
      </c>
    </row>
    <row r="103" spans="1:38" x14ac:dyDescent="0.35">
      <c r="A103" t="s">
        <v>647</v>
      </c>
      <c r="B103">
        <v>-45.16</v>
      </c>
      <c r="E103" t="s">
        <v>658</v>
      </c>
      <c r="F103">
        <v>-66.87</v>
      </c>
      <c r="O103" t="s">
        <v>658</v>
      </c>
      <c r="P103">
        <v>-45.541400000000003</v>
      </c>
      <c r="V103" t="s">
        <v>649</v>
      </c>
      <c r="W103">
        <v>10.884399999999999</v>
      </c>
      <c r="Z103" t="s">
        <v>658</v>
      </c>
      <c r="AA103">
        <v>21.328600000000002</v>
      </c>
      <c r="AG103">
        <v>8.3085000000000004</v>
      </c>
      <c r="AL103">
        <v>14.1328</v>
      </c>
    </row>
    <row r="104" spans="1:38" x14ac:dyDescent="0.35">
      <c r="A104" t="s">
        <v>649</v>
      </c>
      <c r="B104">
        <v>-47.15</v>
      </c>
      <c r="E104" t="s">
        <v>660</v>
      </c>
      <c r="F104">
        <v>-66.739999999999995</v>
      </c>
      <c r="O104" t="s">
        <v>660</v>
      </c>
      <c r="P104">
        <v>-46.9803</v>
      </c>
      <c r="V104" t="s">
        <v>745</v>
      </c>
      <c r="W104">
        <v>23.492599999999999</v>
      </c>
      <c r="Z104" t="s">
        <v>660</v>
      </c>
      <c r="AA104">
        <v>19.759699999999999</v>
      </c>
      <c r="AG104">
        <v>10.884399999999999</v>
      </c>
      <c r="AL104">
        <v>13.8772</v>
      </c>
    </row>
    <row r="105" spans="1:38" x14ac:dyDescent="0.35">
      <c r="A105" t="s">
        <v>745</v>
      </c>
      <c r="B105">
        <v>-61.96</v>
      </c>
      <c r="E105" t="s">
        <v>662</v>
      </c>
      <c r="F105">
        <v>-60.63</v>
      </c>
      <c r="O105" t="s">
        <v>662</v>
      </c>
      <c r="P105">
        <v>-46.777299999999997</v>
      </c>
      <c r="V105" t="s">
        <v>651</v>
      </c>
      <c r="W105">
        <v>18.100000000000001</v>
      </c>
      <c r="Z105" t="s">
        <v>662</v>
      </c>
      <c r="AA105">
        <v>13.8527</v>
      </c>
      <c r="AG105">
        <v>23.492599999999999</v>
      </c>
      <c r="AL105">
        <v>13.8527</v>
      </c>
    </row>
    <row r="106" spans="1:38" x14ac:dyDescent="0.35">
      <c r="A106" t="s">
        <v>651</v>
      </c>
      <c r="B106">
        <v>-52.2</v>
      </c>
      <c r="E106" t="s">
        <v>664</v>
      </c>
      <c r="F106">
        <v>-73.23</v>
      </c>
      <c r="O106" t="s">
        <v>664</v>
      </c>
      <c r="P106">
        <v>-50.422600000000003</v>
      </c>
      <c r="V106" t="s">
        <v>653</v>
      </c>
      <c r="W106">
        <v>29.73</v>
      </c>
      <c r="Z106" t="s">
        <v>664</v>
      </c>
      <c r="AA106">
        <v>22.807400000000001</v>
      </c>
      <c r="AG106">
        <v>18.100000000000001</v>
      </c>
      <c r="AL106">
        <v>13.591900000000001</v>
      </c>
    </row>
    <row r="107" spans="1:38" x14ac:dyDescent="0.35">
      <c r="A107" t="s">
        <v>653</v>
      </c>
      <c r="B107">
        <v>-68.959999999999994</v>
      </c>
      <c r="E107" t="s">
        <v>666</v>
      </c>
      <c r="F107">
        <v>-57.8</v>
      </c>
      <c r="O107" t="s">
        <v>666</v>
      </c>
      <c r="P107">
        <v>-32.290660000000003</v>
      </c>
      <c r="V107" t="s">
        <v>655</v>
      </c>
      <c r="W107">
        <v>15.359</v>
      </c>
      <c r="Z107" t="s">
        <v>666</v>
      </c>
      <c r="AA107">
        <v>25.509340000000002</v>
      </c>
      <c r="AG107">
        <v>29.73</v>
      </c>
      <c r="AL107">
        <v>13.245799999999999</v>
      </c>
    </row>
    <row r="108" spans="1:38" x14ac:dyDescent="0.35">
      <c r="A108" t="s">
        <v>655</v>
      </c>
      <c r="B108">
        <v>-53.11</v>
      </c>
      <c r="E108" t="s">
        <v>668</v>
      </c>
      <c r="F108">
        <v>-69.819999999999993</v>
      </c>
      <c r="O108" t="s">
        <v>668</v>
      </c>
      <c r="P108">
        <v>-39.0518</v>
      </c>
      <c r="V108" t="s">
        <v>657</v>
      </c>
      <c r="W108">
        <v>18.930499999999999</v>
      </c>
      <c r="Z108" t="s">
        <v>668</v>
      </c>
      <c r="AA108">
        <v>30.7682</v>
      </c>
      <c r="AG108">
        <v>15.359</v>
      </c>
      <c r="AL108">
        <v>13.059900000000001</v>
      </c>
    </row>
    <row r="109" spans="1:38" x14ac:dyDescent="0.35">
      <c r="A109" t="s">
        <v>657</v>
      </c>
      <c r="B109">
        <v>-57.98</v>
      </c>
      <c r="E109" t="s">
        <v>670</v>
      </c>
      <c r="F109">
        <v>-54.41</v>
      </c>
      <c r="O109" t="s">
        <v>670</v>
      </c>
      <c r="P109">
        <v>-37.734200000000001</v>
      </c>
      <c r="V109" t="s">
        <v>659</v>
      </c>
      <c r="W109">
        <v>19.7271</v>
      </c>
      <c r="Z109" t="s">
        <v>670</v>
      </c>
      <c r="AA109">
        <v>16.675799999999999</v>
      </c>
      <c r="AG109">
        <v>18.930499999999999</v>
      </c>
      <c r="AL109">
        <v>12.82</v>
      </c>
    </row>
    <row r="110" spans="1:38" x14ac:dyDescent="0.35">
      <c r="A110" t="s">
        <v>659</v>
      </c>
      <c r="B110">
        <v>-61.54</v>
      </c>
      <c r="E110" t="s">
        <v>672</v>
      </c>
      <c r="F110">
        <v>-67.78</v>
      </c>
      <c r="O110" t="s">
        <v>672</v>
      </c>
      <c r="P110">
        <v>-39.942100000000003</v>
      </c>
      <c r="V110" t="s">
        <v>661</v>
      </c>
      <c r="W110">
        <v>16.381900000000002</v>
      </c>
      <c r="Z110" t="s">
        <v>672</v>
      </c>
      <c r="AA110">
        <v>27.837900000000001</v>
      </c>
      <c r="AG110">
        <v>19.7271</v>
      </c>
      <c r="AL110">
        <v>12.605600000000001</v>
      </c>
    </row>
    <row r="111" spans="1:38" x14ac:dyDescent="0.35">
      <c r="A111" t="s">
        <v>661</v>
      </c>
      <c r="B111">
        <v>-53.09</v>
      </c>
      <c r="E111" t="s">
        <v>674</v>
      </c>
      <c r="F111">
        <v>-55.28</v>
      </c>
      <c r="O111" t="s">
        <v>674</v>
      </c>
      <c r="P111">
        <v>-35.789499999999997</v>
      </c>
      <c r="V111" t="s">
        <v>663</v>
      </c>
      <c r="W111">
        <v>23.207100000000001</v>
      </c>
      <c r="Z111" t="s">
        <v>674</v>
      </c>
      <c r="AA111">
        <v>19.490500000000001</v>
      </c>
      <c r="AG111">
        <v>16.381900000000002</v>
      </c>
      <c r="AL111">
        <v>12.3672</v>
      </c>
    </row>
    <row r="112" spans="1:38" x14ac:dyDescent="0.35">
      <c r="A112" t="s">
        <v>663</v>
      </c>
      <c r="B112">
        <v>-61.65</v>
      </c>
      <c r="E112" t="s">
        <v>676</v>
      </c>
      <c r="F112">
        <v>-68.430000000000007</v>
      </c>
      <c r="O112" t="s">
        <v>676</v>
      </c>
      <c r="P112">
        <v>-38.90305</v>
      </c>
      <c r="V112" t="s">
        <v>665</v>
      </c>
      <c r="W112">
        <v>22.8123</v>
      </c>
      <c r="Z112" t="s">
        <v>676</v>
      </c>
      <c r="AA112">
        <v>29.526949999999999</v>
      </c>
      <c r="AG112">
        <v>23.207100000000001</v>
      </c>
      <c r="AL112">
        <v>12.0008</v>
      </c>
    </row>
    <row r="113" spans="1:38" x14ac:dyDescent="0.35">
      <c r="A113" t="s">
        <v>665</v>
      </c>
      <c r="B113">
        <v>-59.28</v>
      </c>
      <c r="E113" t="s">
        <v>678</v>
      </c>
      <c r="F113">
        <v>-70.430000000000007</v>
      </c>
      <c r="O113" t="s">
        <v>678</v>
      </c>
      <c r="P113">
        <v>-39.214300000000001</v>
      </c>
      <c r="V113" t="s">
        <v>667</v>
      </c>
      <c r="W113">
        <v>25.884</v>
      </c>
      <c r="Z113" t="s">
        <v>678</v>
      </c>
      <c r="AA113">
        <v>31.215699999999998</v>
      </c>
      <c r="AG113">
        <v>22.8123</v>
      </c>
      <c r="AL113">
        <v>11.853</v>
      </c>
    </row>
    <row r="114" spans="1:38" x14ac:dyDescent="0.35">
      <c r="A114" t="s">
        <v>667</v>
      </c>
      <c r="B114">
        <v>-65.430000000000007</v>
      </c>
      <c r="E114" t="s">
        <v>680</v>
      </c>
      <c r="F114">
        <v>-69.099999999999994</v>
      </c>
      <c r="O114" t="s">
        <v>680</v>
      </c>
      <c r="P114">
        <v>-49.590299999999999</v>
      </c>
      <c r="V114" t="s">
        <v>669</v>
      </c>
      <c r="W114">
        <v>16.34</v>
      </c>
      <c r="Z114" t="s">
        <v>680</v>
      </c>
      <c r="AA114">
        <v>19.509699999999999</v>
      </c>
      <c r="AG114">
        <v>25.884</v>
      </c>
      <c r="AL114">
        <v>11.1334</v>
      </c>
    </row>
    <row r="115" spans="1:38" x14ac:dyDescent="0.35">
      <c r="A115" t="s">
        <v>669</v>
      </c>
      <c r="B115">
        <v>-54</v>
      </c>
      <c r="E115" t="s">
        <v>682</v>
      </c>
      <c r="F115">
        <v>-68.569999999999993</v>
      </c>
      <c r="O115" t="s">
        <v>682</v>
      </c>
      <c r="P115">
        <v>-54.437199999999997</v>
      </c>
      <c r="V115" t="s">
        <v>671</v>
      </c>
      <c r="W115">
        <v>23.221</v>
      </c>
      <c r="Z115" t="s">
        <v>682</v>
      </c>
      <c r="AA115">
        <v>14.1328</v>
      </c>
      <c r="AG115">
        <v>16.34</v>
      </c>
      <c r="AL115">
        <v>10.8642</v>
      </c>
    </row>
    <row r="116" spans="1:38" x14ac:dyDescent="0.35">
      <c r="A116" t="s">
        <v>671</v>
      </c>
      <c r="B116">
        <v>-57.22</v>
      </c>
      <c r="E116" t="s">
        <v>684</v>
      </c>
      <c r="F116">
        <v>-71.37</v>
      </c>
      <c r="O116" t="s">
        <v>684</v>
      </c>
      <c r="P116">
        <v>-47.081699999999998</v>
      </c>
      <c r="V116" t="s">
        <v>673</v>
      </c>
      <c r="W116">
        <v>8.0969999999999995</v>
      </c>
      <c r="Z116" t="s">
        <v>684</v>
      </c>
      <c r="AA116">
        <v>24.2883</v>
      </c>
      <c r="AG116">
        <v>23.221</v>
      </c>
      <c r="AL116">
        <v>10.614599999999999</v>
      </c>
    </row>
    <row r="117" spans="1:38" x14ac:dyDescent="0.35">
      <c r="A117" t="s">
        <v>673</v>
      </c>
      <c r="B117">
        <v>-43.63</v>
      </c>
      <c r="E117" t="s">
        <v>686</v>
      </c>
      <c r="F117">
        <v>-71.73</v>
      </c>
      <c r="O117" t="s">
        <v>686</v>
      </c>
      <c r="P117">
        <v>-51.3352</v>
      </c>
      <c r="V117" t="s">
        <v>675</v>
      </c>
      <c r="W117">
        <v>20.451599999999999</v>
      </c>
      <c r="Z117" t="s">
        <v>686</v>
      </c>
      <c r="AA117">
        <v>20.3948</v>
      </c>
      <c r="AG117">
        <v>8.0969999999999995</v>
      </c>
      <c r="AL117">
        <v>10.4709</v>
      </c>
    </row>
    <row r="118" spans="1:38" x14ac:dyDescent="0.35">
      <c r="A118" t="s">
        <v>675</v>
      </c>
      <c r="B118">
        <v>-56.28</v>
      </c>
      <c r="E118" t="s">
        <v>688</v>
      </c>
      <c r="F118">
        <v>-60.9</v>
      </c>
      <c r="O118" t="s">
        <v>688</v>
      </c>
      <c r="P118">
        <v>-44.637300000000003</v>
      </c>
      <c r="V118" t="s">
        <v>677</v>
      </c>
      <c r="W118">
        <v>8.4600000000000009</v>
      </c>
      <c r="Z118" t="s">
        <v>688</v>
      </c>
      <c r="AA118">
        <v>16.262699999999999</v>
      </c>
      <c r="AG118">
        <v>20.451599999999999</v>
      </c>
      <c r="AL118">
        <v>10.042199999999999</v>
      </c>
    </row>
    <row r="119" spans="1:38" x14ac:dyDescent="0.35">
      <c r="A119" t="s">
        <v>677</v>
      </c>
      <c r="B119">
        <v>-44.47</v>
      </c>
      <c r="E119" t="s">
        <v>689</v>
      </c>
      <c r="F119">
        <v>-65.739999999999995</v>
      </c>
      <c r="O119" t="s">
        <v>689</v>
      </c>
      <c r="P119">
        <v>-39.748399999999997</v>
      </c>
      <c r="V119" t="s">
        <v>679</v>
      </c>
      <c r="W119">
        <v>12.4734</v>
      </c>
      <c r="Z119" t="s">
        <v>689</v>
      </c>
      <c r="AA119">
        <v>25.991599999999998</v>
      </c>
      <c r="AG119">
        <v>8.4600000000000009</v>
      </c>
      <c r="AL119">
        <v>9.7302999999999997</v>
      </c>
    </row>
    <row r="120" spans="1:38" x14ac:dyDescent="0.35">
      <c r="A120" t="s">
        <v>679</v>
      </c>
      <c r="B120">
        <v>-51.6</v>
      </c>
      <c r="E120" t="s">
        <v>690</v>
      </c>
      <c r="F120">
        <v>-66.150000000000006</v>
      </c>
      <c r="O120" t="s">
        <v>690</v>
      </c>
      <c r="P120">
        <v>-43.095399999999998</v>
      </c>
      <c r="V120" t="s">
        <v>681</v>
      </c>
      <c r="W120">
        <v>15.9061</v>
      </c>
      <c r="Z120" t="s">
        <v>690</v>
      </c>
      <c r="AA120">
        <v>23.054600000000001</v>
      </c>
      <c r="AG120">
        <v>12.4734</v>
      </c>
      <c r="AL120">
        <v>9.7202000000000002</v>
      </c>
    </row>
    <row r="121" spans="1:38" x14ac:dyDescent="0.35">
      <c r="A121" t="s">
        <v>681</v>
      </c>
      <c r="B121">
        <v>-52.47</v>
      </c>
      <c r="E121" t="s">
        <v>691</v>
      </c>
      <c r="F121">
        <v>-67.040000000000006</v>
      </c>
      <c r="O121" t="s">
        <v>691</v>
      </c>
      <c r="P121">
        <v>-43.231900000000003</v>
      </c>
      <c r="V121" t="s">
        <v>683</v>
      </c>
      <c r="W121">
        <v>14.639900000000001</v>
      </c>
      <c r="Z121" t="s">
        <v>691</v>
      </c>
      <c r="AA121">
        <v>23.8081</v>
      </c>
      <c r="AG121">
        <v>15.9061</v>
      </c>
      <c r="AL121">
        <v>9.1798999999999999</v>
      </c>
    </row>
    <row r="122" spans="1:38" x14ac:dyDescent="0.35">
      <c r="A122" t="s">
        <v>683</v>
      </c>
      <c r="B122">
        <v>-54.08</v>
      </c>
      <c r="E122" t="s">
        <v>692</v>
      </c>
      <c r="F122">
        <v>-62.17</v>
      </c>
      <c r="O122" t="s">
        <v>692</v>
      </c>
      <c r="P122">
        <v>-53.041800000000002</v>
      </c>
      <c r="V122" t="s">
        <v>685</v>
      </c>
      <c r="W122">
        <v>10.656499999999999</v>
      </c>
      <c r="Z122" t="s">
        <v>692</v>
      </c>
      <c r="AA122">
        <v>9.1281999999999996</v>
      </c>
      <c r="AG122">
        <v>14.639900000000001</v>
      </c>
      <c r="AL122">
        <v>9.1281999999999996</v>
      </c>
    </row>
    <row r="123" spans="1:38" x14ac:dyDescent="0.35">
      <c r="A123" t="s">
        <v>685</v>
      </c>
      <c r="B123">
        <v>-50.43</v>
      </c>
      <c r="E123" t="s">
        <v>693</v>
      </c>
      <c r="F123">
        <v>-65.599999999999994</v>
      </c>
      <c r="O123" t="s">
        <v>693</v>
      </c>
      <c r="P123">
        <v>-45.896099999999997</v>
      </c>
      <c r="V123" t="s">
        <v>687</v>
      </c>
      <c r="W123">
        <v>14.498699999999999</v>
      </c>
      <c r="Z123" t="s">
        <v>693</v>
      </c>
      <c r="AA123">
        <v>19.703900000000001</v>
      </c>
      <c r="AG123">
        <v>10.656499999999999</v>
      </c>
      <c r="AL123">
        <v>9.077</v>
      </c>
    </row>
    <row r="124" spans="1:38" ht="13.15" x14ac:dyDescent="0.4">
      <c r="A124" t="s">
        <v>687</v>
      </c>
      <c r="B124">
        <v>-50.06</v>
      </c>
      <c r="E124" t="s">
        <v>694</v>
      </c>
      <c r="F124">
        <v>-65.569999999999993</v>
      </c>
      <c r="O124" t="s">
        <v>694</v>
      </c>
      <c r="P124">
        <v>-39.820900000000002</v>
      </c>
      <c r="V124" t="s">
        <v>397</v>
      </c>
      <c r="W124" s="1">
        <f>AVERAGE(W3:W123)</f>
        <v>17.372917355371904</v>
      </c>
      <c r="Z124" t="s">
        <v>694</v>
      </c>
      <c r="AA124">
        <v>25.749099999999999</v>
      </c>
      <c r="AG124">
        <v>14.498699999999999</v>
      </c>
      <c r="AL124">
        <v>7.9524999999999997</v>
      </c>
    </row>
    <row r="125" spans="1:38" ht="13.15" x14ac:dyDescent="0.4">
      <c r="A125" t="s">
        <v>699</v>
      </c>
      <c r="B125">
        <v>-52.73</v>
      </c>
      <c r="E125" t="s">
        <v>695</v>
      </c>
      <c r="F125">
        <v>-63.57</v>
      </c>
      <c r="O125" t="s">
        <v>695</v>
      </c>
      <c r="P125">
        <v>-48.929600000000001</v>
      </c>
      <c r="V125" t="s">
        <v>281</v>
      </c>
      <c r="W125" s="1">
        <f>STDEV(W3:W123)</f>
        <v>6.8392810103679436</v>
      </c>
      <c r="Z125" t="s">
        <v>695</v>
      </c>
      <c r="AA125">
        <v>14.6404</v>
      </c>
      <c r="AG125" s="1">
        <f>AVERAGE(AG4:AG124)</f>
        <v>17.372917355371904</v>
      </c>
      <c r="AL125">
        <v>7.82899999999999</v>
      </c>
    </row>
    <row r="126" spans="1:38" ht="13.15" x14ac:dyDescent="0.4">
      <c r="A126" t="s">
        <v>702</v>
      </c>
      <c r="B126">
        <v>-63.1</v>
      </c>
      <c r="E126" t="s">
        <v>397</v>
      </c>
      <c r="F126" s="1">
        <f>AVERAGE(F3:F125)</f>
        <v>-65.239593495934926</v>
      </c>
      <c r="O126" t="s">
        <v>397</v>
      </c>
      <c r="P126" s="1">
        <f>AVERAGE(P3:P125)</f>
        <v>-44.664641951219529</v>
      </c>
      <c r="V126" t="s">
        <v>284</v>
      </c>
      <c r="W126" s="1">
        <f>W125/SQRT(121)</f>
        <v>0.62175281912435854</v>
      </c>
      <c r="Z126" t="s">
        <v>397</v>
      </c>
      <c r="AA126" s="1">
        <f>AVERAGE(AA3:AA125)</f>
        <v>20.574951544715454</v>
      </c>
      <c r="AL126">
        <v>4.3384999999999998</v>
      </c>
    </row>
    <row r="127" spans="1:38" ht="13.15" x14ac:dyDescent="0.4">
      <c r="A127" t="s">
        <v>703</v>
      </c>
      <c r="B127">
        <v>-56.73</v>
      </c>
      <c r="E127" t="s">
        <v>281</v>
      </c>
      <c r="F127" s="1">
        <f>STDEV(F3:F125)</f>
        <v>6.9627043217955089</v>
      </c>
      <c r="O127" t="s">
        <v>281</v>
      </c>
      <c r="P127" s="1">
        <f>STDEV(P3:P125)</f>
        <v>6.5034714063374501</v>
      </c>
      <c r="Z127" t="s">
        <v>281</v>
      </c>
      <c r="AA127" s="1">
        <f>STDEV(AA3:AA125)</f>
        <v>6.9041144651908199</v>
      </c>
      <c r="AL127" s="1">
        <f>AVERAGE(AL4:AL126)</f>
        <v>20.57495154471545</v>
      </c>
    </row>
    <row r="128" spans="1:38" ht="13.15" x14ac:dyDescent="0.4">
      <c r="A128" t="s">
        <v>704</v>
      </c>
      <c r="B128">
        <v>-62</v>
      </c>
      <c r="E128" t="s">
        <v>284</v>
      </c>
      <c r="F128" s="1">
        <f>F127/SQRT(123)</f>
        <v>0.62780590621307086</v>
      </c>
      <c r="O128" t="s">
        <v>284</v>
      </c>
      <c r="P128" s="1">
        <f>STDEV(P4:P126)/SQRT(123)</f>
        <v>0.58631981574210446</v>
      </c>
      <c r="Z128" t="s">
        <v>284</v>
      </c>
      <c r="AA128" s="1">
        <f>AA127/SQRT(123)</f>
        <v>0.62252303675307408</v>
      </c>
    </row>
    <row r="129" spans="1:2" x14ac:dyDescent="0.35">
      <c r="A129" t="s">
        <v>705</v>
      </c>
      <c r="B129">
        <v>-58.83</v>
      </c>
    </row>
    <row r="130" spans="1:2" x14ac:dyDescent="0.35">
      <c r="A130" t="s">
        <v>706</v>
      </c>
      <c r="B130">
        <v>-64.73</v>
      </c>
    </row>
    <row r="131" spans="1:2" x14ac:dyDescent="0.35">
      <c r="A131" t="s">
        <v>707</v>
      </c>
      <c r="B131">
        <v>-62.8</v>
      </c>
    </row>
    <row r="132" spans="1:2" x14ac:dyDescent="0.35">
      <c r="A132" t="s">
        <v>205</v>
      </c>
      <c r="B132">
        <v>-62.14</v>
      </c>
    </row>
    <row r="133" spans="1:2" x14ac:dyDescent="0.35">
      <c r="A133" t="s">
        <v>708</v>
      </c>
      <c r="B133">
        <v>-60.94</v>
      </c>
    </row>
    <row r="134" spans="1:2" x14ac:dyDescent="0.35">
      <c r="A134" t="s">
        <v>208</v>
      </c>
      <c r="B134">
        <v>-54.47</v>
      </c>
    </row>
    <row r="135" spans="1:2" x14ac:dyDescent="0.35">
      <c r="A135" t="s">
        <v>213</v>
      </c>
      <c r="B135">
        <v>-64.599999999999994</v>
      </c>
    </row>
    <row r="136" spans="1:2" x14ac:dyDescent="0.35">
      <c r="A136" t="s">
        <v>216</v>
      </c>
      <c r="B136">
        <v>-70.430000000000007</v>
      </c>
    </row>
    <row r="137" spans="1:2" x14ac:dyDescent="0.35">
      <c r="A137" t="s">
        <v>219</v>
      </c>
      <c r="B137">
        <v>-68.680000000000007</v>
      </c>
    </row>
    <row r="138" spans="1:2" x14ac:dyDescent="0.35">
      <c r="A138" t="s">
        <v>709</v>
      </c>
      <c r="B138">
        <v>-75.33</v>
      </c>
    </row>
    <row r="139" spans="1:2" x14ac:dyDescent="0.35">
      <c r="A139" t="s">
        <v>710</v>
      </c>
      <c r="B139">
        <v>-60.13</v>
      </c>
    </row>
    <row r="140" spans="1:2" x14ac:dyDescent="0.35">
      <c r="A140" t="s">
        <v>712</v>
      </c>
      <c r="B140">
        <v>-61.21</v>
      </c>
    </row>
    <row r="141" spans="1:2" x14ac:dyDescent="0.35">
      <c r="A141" t="s">
        <v>713</v>
      </c>
      <c r="B141">
        <v>-67</v>
      </c>
    </row>
    <row r="142" spans="1:2" x14ac:dyDescent="0.35">
      <c r="A142" t="s">
        <v>714</v>
      </c>
      <c r="B142">
        <v>-53.47</v>
      </c>
    </row>
    <row r="143" spans="1:2" x14ac:dyDescent="0.35">
      <c r="A143" t="s">
        <v>715</v>
      </c>
      <c r="B143">
        <v>-59.33</v>
      </c>
    </row>
    <row r="144" spans="1:2" x14ac:dyDescent="0.35">
      <c r="A144" t="s">
        <v>716</v>
      </c>
      <c r="B144">
        <v>-62.12</v>
      </c>
    </row>
    <row r="145" spans="1:2" x14ac:dyDescent="0.35">
      <c r="A145" t="s">
        <v>717</v>
      </c>
      <c r="B145">
        <v>-71.78</v>
      </c>
    </row>
    <row r="146" spans="1:2" x14ac:dyDescent="0.35">
      <c r="A146" t="s">
        <v>718</v>
      </c>
      <c r="B146">
        <v>-56.54</v>
      </c>
    </row>
    <row r="147" spans="1:2" x14ac:dyDescent="0.35">
      <c r="A147" t="s">
        <v>719</v>
      </c>
      <c r="B147">
        <v>-65.3</v>
      </c>
    </row>
    <row r="148" spans="1:2" x14ac:dyDescent="0.35">
      <c r="A148" t="s">
        <v>720</v>
      </c>
      <c r="B148">
        <v>-61.31</v>
      </c>
    </row>
    <row r="149" spans="1:2" x14ac:dyDescent="0.35">
      <c r="A149" t="s">
        <v>721</v>
      </c>
      <c r="B149">
        <v>-54.73</v>
      </c>
    </row>
    <row r="150" spans="1:2" x14ac:dyDescent="0.35">
      <c r="A150" t="s">
        <v>722</v>
      </c>
      <c r="B150">
        <v>-67.56</v>
      </c>
    </row>
    <row r="151" spans="1:2" x14ac:dyDescent="0.35">
      <c r="A151" t="s">
        <v>723</v>
      </c>
      <c r="B151">
        <v>-63.34</v>
      </c>
    </row>
    <row r="152" spans="1:2" x14ac:dyDescent="0.35">
      <c r="A152" t="s">
        <v>724</v>
      </c>
      <c r="B152">
        <v>-60.88</v>
      </c>
    </row>
    <row r="153" spans="1:2" x14ac:dyDescent="0.35">
      <c r="A153" t="s">
        <v>725</v>
      </c>
      <c r="B153">
        <v>-59.11</v>
      </c>
    </row>
    <row r="154" spans="1:2" x14ac:dyDescent="0.35">
      <c r="A154" t="s">
        <v>726</v>
      </c>
      <c r="B154">
        <v>-58.77</v>
      </c>
    </row>
    <row r="155" spans="1:2" x14ac:dyDescent="0.35">
      <c r="A155" t="s">
        <v>727</v>
      </c>
      <c r="B155">
        <v>-60.52</v>
      </c>
    </row>
    <row r="156" spans="1:2" x14ac:dyDescent="0.35">
      <c r="A156" t="s">
        <v>728</v>
      </c>
      <c r="B156">
        <v>-55.35</v>
      </c>
    </row>
    <row r="157" spans="1:2" x14ac:dyDescent="0.35">
      <c r="A157" t="s">
        <v>729</v>
      </c>
      <c r="B157">
        <v>-62.25</v>
      </c>
    </row>
    <row r="158" spans="1:2" x14ac:dyDescent="0.35">
      <c r="A158" t="s">
        <v>730</v>
      </c>
      <c r="B158">
        <v>-59.39</v>
      </c>
    </row>
    <row r="159" spans="1:2" x14ac:dyDescent="0.35">
      <c r="A159" t="s">
        <v>731</v>
      </c>
      <c r="B159">
        <v>-57.12</v>
      </c>
    </row>
    <row r="160" spans="1:2" x14ac:dyDescent="0.35">
      <c r="A160" t="s">
        <v>732</v>
      </c>
      <c r="B160">
        <v>-62.23</v>
      </c>
    </row>
    <row r="161" spans="1:2" x14ac:dyDescent="0.35">
      <c r="A161" t="s">
        <v>733</v>
      </c>
      <c r="B161">
        <v>-58.73</v>
      </c>
    </row>
    <row r="162" spans="1:2" x14ac:dyDescent="0.35">
      <c r="A162" t="s">
        <v>734</v>
      </c>
      <c r="B162">
        <v>-58.17</v>
      </c>
    </row>
    <row r="163" spans="1:2" x14ac:dyDescent="0.35">
      <c r="A163" t="s">
        <v>735</v>
      </c>
      <c r="B163">
        <v>-64.63</v>
      </c>
    </row>
    <row r="164" spans="1:2" x14ac:dyDescent="0.35">
      <c r="A164" t="s">
        <v>736</v>
      </c>
      <c r="B164">
        <v>-59.68</v>
      </c>
    </row>
    <row r="165" spans="1:2" x14ac:dyDescent="0.35">
      <c r="A165" t="s">
        <v>737</v>
      </c>
      <c r="B165">
        <v>-56.64</v>
      </c>
    </row>
    <row r="166" spans="1:2" x14ac:dyDescent="0.35">
      <c r="A166" t="s">
        <v>738</v>
      </c>
      <c r="B166">
        <v>-59.73</v>
      </c>
    </row>
    <row r="167" spans="1:2" x14ac:dyDescent="0.35">
      <c r="A167" t="s">
        <v>739</v>
      </c>
      <c r="B167">
        <v>-67</v>
      </c>
    </row>
    <row r="168" spans="1:2" ht="13.15" x14ac:dyDescent="0.4">
      <c r="A168" t="s">
        <v>397</v>
      </c>
      <c r="B168" s="1">
        <f>AVERAGE(B3:B167)</f>
        <v>-56.715454545454527</v>
      </c>
    </row>
    <row r="169" spans="1:2" ht="13.15" x14ac:dyDescent="0.4">
      <c r="A169" t="s">
        <v>281</v>
      </c>
      <c r="B169" s="1">
        <f>STDEV(B3:B167)</f>
        <v>6.5402333118809732</v>
      </c>
    </row>
    <row r="170" spans="1:2" ht="13.15" x14ac:dyDescent="0.4">
      <c r="A170" t="s">
        <v>284</v>
      </c>
      <c r="B170" s="1">
        <f>B169/SQRT(166)</f>
        <v>0.5076205523258488</v>
      </c>
    </row>
  </sheetData>
  <mergeCells count="12">
    <mergeCell ref="AL2:AM2"/>
    <mergeCell ref="AO2:AP2"/>
    <mergeCell ref="R1:S1"/>
    <mergeCell ref="V1:W1"/>
    <mergeCell ref="Z1:AA1"/>
    <mergeCell ref="AC1:AD1"/>
    <mergeCell ref="AG2:AH2"/>
    <mergeCell ref="A1:B1"/>
    <mergeCell ref="E1:F1"/>
    <mergeCell ref="H1:I1"/>
    <mergeCell ref="K1:L1"/>
    <mergeCell ref="O1:P1"/>
  </mergeCells>
  <pageMargins left="0.78749999999999998" right="0.78749999999999998" top="1.0249999999999999" bottom="1.0249999999999999" header="0.78749999999999998" footer="0.78749999999999998"/>
  <pageSetup firstPageNumber="0" orientation="portrait" horizontalDpi="1200" verticalDpi="1200" r:id="rId1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zoomScale="120" zoomScaleNormal="120" workbookViewId="0">
      <selection activeCell="A6" sqref="A6"/>
    </sheetView>
  </sheetViews>
  <sheetFormatPr defaultRowHeight="12.75" x14ac:dyDescent="0.35"/>
  <sheetData>
    <row r="1" spans="1:1" ht="13.15" x14ac:dyDescent="0.4">
      <c r="A1" s="38" t="s">
        <v>1178</v>
      </c>
    </row>
  </sheetData>
  <pageMargins left="0.78749999999999998" right="0.78749999999999998" top="1.0249999999999999" bottom="1.0249999999999999" header="0.78749999999999998" footer="0.78749999999999998"/>
  <pageSetup firstPageNumber="0" orientation="portrait" horizontalDpi="1200" verticalDpi="1200" r:id="rId1"/>
  <headerFooter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253"/>
  <sheetViews>
    <sheetView zoomScale="120" zoomScaleNormal="120" workbookViewId="0">
      <selection activeCell="I227" sqref="I227"/>
    </sheetView>
  </sheetViews>
  <sheetFormatPr defaultRowHeight="12.75" x14ac:dyDescent="0.35"/>
  <sheetData>
    <row r="1" spans="1:25" ht="13.15" x14ac:dyDescent="0.4">
      <c r="A1" s="39" t="s">
        <v>1</v>
      </c>
      <c r="B1" s="39"/>
      <c r="C1" s="39"/>
      <c r="D1" s="39"/>
      <c r="E1" s="39"/>
      <c r="F1" s="39"/>
      <c r="G1" s="39"/>
      <c r="I1" s="40" t="s">
        <v>9</v>
      </c>
      <c r="J1" s="40"/>
      <c r="K1" s="40"/>
      <c r="L1" s="40"/>
      <c r="M1" s="40"/>
      <c r="N1" s="40"/>
      <c r="O1" s="40"/>
      <c r="P1" s="40"/>
      <c r="R1" s="41" t="s">
        <v>10</v>
      </c>
      <c r="S1" s="41"/>
      <c r="T1" s="41"/>
      <c r="U1" s="41"/>
      <c r="V1" s="41"/>
      <c r="W1" s="41"/>
      <c r="X1" s="41"/>
      <c r="Y1" s="41"/>
    </row>
    <row r="2" spans="1:25" x14ac:dyDescent="0.3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8</v>
      </c>
      <c r="R2" t="s">
        <v>2</v>
      </c>
      <c r="S2" t="s">
        <v>3</v>
      </c>
      <c r="T2" t="s">
        <v>4</v>
      </c>
      <c r="U2" t="s">
        <v>5</v>
      </c>
      <c r="V2" t="s">
        <v>6</v>
      </c>
      <c r="W2" t="s">
        <v>7</v>
      </c>
      <c r="X2" t="s">
        <v>8</v>
      </c>
    </row>
    <row r="3" spans="1:25" x14ac:dyDescent="0.35">
      <c r="A3" s="2">
        <v>291121</v>
      </c>
      <c r="B3" s="2">
        <v>6</v>
      </c>
      <c r="C3" s="2">
        <v>0</v>
      </c>
      <c r="D3" s="2">
        <v>30</v>
      </c>
      <c r="E3" s="2">
        <v>0</v>
      </c>
      <c r="F3" s="2">
        <v>30</v>
      </c>
      <c r="G3" s="2">
        <v>3</v>
      </c>
      <c r="I3">
        <v>300721</v>
      </c>
      <c r="J3">
        <v>4</v>
      </c>
      <c r="K3">
        <v>3</v>
      </c>
      <c r="L3">
        <v>12</v>
      </c>
      <c r="M3">
        <v>6</v>
      </c>
      <c r="N3">
        <v>12</v>
      </c>
      <c r="O3">
        <f>SUM(Supplementary_Fig1!L3:N3)</f>
        <v>30</v>
      </c>
      <c r="R3">
        <v>20322</v>
      </c>
      <c r="S3">
        <v>3</v>
      </c>
      <c r="T3">
        <v>0</v>
      </c>
      <c r="U3">
        <v>6</v>
      </c>
      <c r="V3">
        <v>0</v>
      </c>
      <c r="W3">
        <v>6</v>
      </c>
      <c r="X3">
        <v>0</v>
      </c>
    </row>
    <row r="4" spans="1:25" x14ac:dyDescent="0.35">
      <c r="A4">
        <v>301121</v>
      </c>
      <c r="B4">
        <v>4</v>
      </c>
      <c r="C4">
        <v>0</v>
      </c>
      <c r="D4">
        <v>12</v>
      </c>
      <c r="E4">
        <v>0</v>
      </c>
      <c r="F4">
        <v>12</v>
      </c>
      <c r="I4">
        <v>30821</v>
      </c>
      <c r="J4">
        <v>2</v>
      </c>
      <c r="K4">
        <v>4</v>
      </c>
      <c r="L4">
        <v>8</v>
      </c>
      <c r="M4">
        <v>2</v>
      </c>
      <c r="N4">
        <v>12</v>
      </c>
      <c r="O4">
        <f>SUM(Supplementary_Fig1!L4:N4)</f>
        <v>22</v>
      </c>
      <c r="R4" s="2">
        <v>203222</v>
      </c>
      <c r="S4" s="2">
        <v>6</v>
      </c>
      <c r="T4" s="2">
        <v>0</v>
      </c>
      <c r="U4" s="2">
        <v>30</v>
      </c>
      <c r="V4" s="2">
        <v>0</v>
      </c>
      <c r="W4" s="2">
        <v>30</v>
      </c>
      <c r="X4" s="2">
        <v>3</v>
      </c>
    </row>
    <row r="5" spans="1:25" x14ac:dyDescent="0.35">
      <c r="A5">
        <v>11221</v>
      </c>
      <c r="B5">
        <v>6</v>
      </c>
      <c r="C5">
        <v>0</v>
      </c>
      <c r="D5">
        <v>30</v>
      </c>
      <c r="E5">
        <v>0</v>
      </c>
      <c r="F5">
        <v>30</v>
      </c>
      <c r="I5">
        <v>40821</v>
      </c>
      <c r="J5">
        <v>2</v>
      </c>
      <c r="K5">
        <v>4</v>
      </c>
      <c r="L5">
        <v>8</v>
      </c>
      <c r="M5">
        <v>2</v>
      </c>
      <c r="N5">
        <v>12</v>
      </c>
      <c r="O5">
        <f>SUM(Supplementary_Fig1!L5:N5)</f>
        <v>22</v>
      </c>
      <c r="R5">
        <v>30322</v>
      </c>
      <c r="S5">
        <v>4</v>
      </c>
      <c r="T5">
        <v>0</v>
      </c>
      <c r="U5">
        <v>12</v>
      </c>
      <c r="V5">
        <v>0</v>
      </c>
      <c r="W5">
        <v>12</v>
      </c>
      <c r="X5">
        <v>0</v>
      </c>
    </row>
    <row r="6" spans="1:25" x14ac:dyDescent="0.35">
      <c r="A6" s="2">
        <v>21221</v>
      </c>
      <c r="B6" s="2">
        <v>7</v>
      </c>
      <c r="C6" s="2">
        <v>0</v>
      </c>
      <c r="D6" s="2">
        <v>42</v>
      </c>
      <c r="E6" s="2">
        <v>0</v>
      </c>
      <c r="F6" s="2">
        <v>42</v>
      </c>
      <c r="G6" s="2">
        <v>1</v>
      </c>
      <c r="I6">
        <v>408212</v>
      </c>
      <c r="J6">
        <v>2</v>
      </c>
      <c r="K6">
        <v>3</v>
      </c>
      <c r="L6">
        <v>6</v>
      </c>
      <c r="M6">
        <v>2</v>
      </c>
      <c r="N6">
        <v>6</v>
      </c>
      <c r="O6">
        <f>SUM(Supplementary_Fig1!L6:N6)</f>
        <v>14</v>
      </c>
      <c r="R6" s="2">
        <v>80322</v>
      </c>
      <c r="S6" s="2">
        <v>8</v>
      </c>
      <c r="T6" s="2">
        <v>0</v>
      </c>
      <c r="U6" s="2">
        <v>56</v>
      </c>
      <c r="V6" s="2">
        <v>0</v>
      </c>
      <c r="W6" s="2">
        <v>56</v>
      </c>
      <c r="X6" s="2">
        <v>2</v>
      </c>
    </row>
    <row r="7" spans="1:25" x14ac:dyDescent="0.35">
      <c r="A7">
        <v>212212</v>
      </c>
      <c r="B7">
        <v>3</v>
      </c>
      <c r="C7">
        <v>1</v>
      </c>
      <c r="D7">
        <v>6</v>
      </c>
      <c r="E7">
        <v>6</v>
      </c>
      <c r="F7">
        <v>12</v>
      </c>
      <c r="I7">
        <v>50821</v>
      </c>
      <c r="J7">
        <v>4</v>
      </c>
      <c r="K7">
        <v>4</v>
      </c>
      <c r="L7">
        <v>16</v>
      </c>
      <c r="M7">
        <v>12</v>
      </c>
      <c r="N7">
        <v>12</v>
      </c>
      <c r="O7">
        <f>SUM(Supplementary_Fig1!L7:N7)</f>
        <v>40</v>
      </c>
      <c r="R7">
        <v>803222</v>
      </c>
      <c r="S7">
        <v>6</v>
      </c>
      <c r="T7">
        <v>0</v>
      </c>
      <c r="U7">
        <v>30</v>
      </c>
      <c r="V7">
        <v>0</v>
      </c>
      <c r="W7">
        <v>30</v>
      </c>
      <c r="X7">
        <v>0</v>
      </c>
    </row>
    <row r="8" spans="1:25" x14ac:dyDescent="0.35">
      <c r="A8">
        <v>61221</v>
      </c>
      <c r="B8">
        <v>5</v>
      </c>
      <c r="C8">
        <v>0</v>
      </c>
      <c r="D8">
        <v>20</v>
      </c>
      <c r="E8">
        <v>0</v>
      </c>
      <c r="F8">
        <v>20</v>
      </c>
      <c r="I8">
        <v>508212</v>
      </c>
      <c r="J8">
        <v>3</v>
      </c>
      <c r="K8">
        <v>2</v>
      </c>
      <c r="L8">
        <v>6</v>
      </c>
      <c r="M8">
        <v>6</v>
      </c>
      <c r="N8">
        <v>2</v>
      </c>
      <c r="O8">
        <f>SUM(Supplementary_Fig1!L8:N8)</f>
        <v>14</v>
      </c>
      <c r="R8" s="2">
        <v>100322</v>
      </c>
      <c r="S8" s="2">
        <v>8</v>
      </c>
      <c r="T8" s="2">
        <v>0</v>
      </c>
      <c r="U8" s="2">
        <v>56</v>
      </c>
      <c r="V8" s="2">
        <v>0</v>
      </c>
      <c r="W8" s="2">
        <v>56</v>
      </c>
      <c r="X8" s="2">
        <v>2</v>
      </c>
    </row>
    <row r="9" spans="1:25" x14ac:dyDescent="0.35">
      <c r="A9">
        <v>612212</v>
      </c>
      <c r="B9">
        <v>8</v>
      </c>
      <c r="C9">
        <v>0</v>
      </c>
      <c r="D9">
        <v>56</v>
      </c>
      <c r="E9">
        <v>0</v>
      </c>
      <c r="F9">
        <v>56</v>
      </c>
      <c r="I9">
        <v>90821</v>
      </c>
      <c r="J9">
        <v>4</v>
      </c>
      <c r="K9">
        <v>4</v>
      </c>
      <c r="L9">
        <v>16</v>
      </c>
      <c r="M9">
        <v>12</v>
      </c>
      <c r="N9">
        <v>12</v>
      </c>
      <c r="O9">
        <f>SUM(Supplementary_Fig1!L9:N9)</f>
        <v>40</v>
      </c>
      <c r="R9">
        <v>140322</v>
      </c>
      <c r="S9">
        <v>6</v>
      </c>
      <c r="T9">
        <v>0</v>
      </c>
      <c r="U9">
        <v>30</v>
      </c>
      <c r="V9">
        <v>0</v>
      </c>
      <c r="W9">
        <v>30</v>
      </c>
      <c r="X9">
        <v>0</v>
      </c>
    </row>
    <row r="10" spans="1:25" x14ac:dyDescent="0.35">
      <c r="A10" s="2">
        <v>712212</v>
      </c>
      <c r="B10" s="2">
        <v>5</v>
      </c>
      <c r="C10" s="2">
        <v>0</v>
      </c>
      <c r="D10" s="2">
        <v>20</v>
      </c>
      <c r="E10" s="2">
        <v>0</v>
      </c>
      <c r="F10" s="2">
        <v>20</v>
      </c>
      <c r="G10" s="2">
        <v>1</v>
      </c>
      <c r="I10">
        <v>908212</v>
      </c>
      <c r="J10">
        <v>3</v>
      </c>
      <c r="K10">
        <v>3</v>
      </c>
      <c r="L10">
        <v>9</v>
      </c>
      <c r="M10">
        <v>6</v>
      </c>
      <c r="N10">
        <v>6</v>
      </c>
      <c r="O10">
        <f>SUM(Supplementary_Fig1!L10:N10)</f>
        <v>21</v>
      </c>
      <c r="R10">
        <v>150322</v>
      </c>
      <c r="S10">
        <v>7</v>
      </c>
      <c r="T10">
        <v>0</v>
      </c>
      <c r="U10">
        <v>42</v>
      </c>
      <c r="V10">
        <v>0</v>
      </c>
      <c r="W10" s="8">
        <v>42</v>
      </c>
      <c r="X10">
        <v>0</v>
      </c>
    </row>
    <row r="11" spans="1:25" x14ac:dyDescent="0.35">
      <c r="A11">
        <v>91221</v>
      </c>
      <c r="B11">
        <v>5</v>
      </c>
      <c r="C11">
        <v>1</v>
      </c>
      <c r="D11">
        <v>20</v>
      </c>
      <c r="E11">
        <v>10</v>
      </c>
      <c r="F11">
        <v>30</v>
      </c>
      <c r="I11">
        <v>160821</v>
      </c>
      <c r="J11">
        <v>4</v>
      </c>
      <c r="K11">
        <v>4</v>
      </c>
      <c r="L11">
        <v>16</v>
      </c>
      <c r="M11">
        <v>12</v>
      </c>
      <c r="N11">
        <v>12</v>
      </c>
      <c r="O11">
        <f>SUM(Supplementary_Fig1!L11:N11)</f>
        <v>40</v>
      </c>
      <c r="R11">
        <v>1503222</v>
      </c>
      <c r="S11">
        <v>7</v>
      </c>
      <c r="T11">
        <v>1</v>
      </c>
      <c r="U11">
        <v>42</v>
      </c>
      <c r="V11">
        <v>14</v>
      </c>
      <c r="W11">
        <v>56</v>
      </c>
      <c r="X11">
        <v>0</v>
      </c>
    </row>
    <row r="12" spans="1:25" x14ac:dyDescent="0.35">
      <c r="A12">
        <v>912212</v>
      </c>
      <c r="B12">
        <v>7</v>
      </c>
      <c r="C12">
        <v>1</v>
      </c>
      <c r="D12">
        <v>42</v>
      </c>
      <c r="E12">
        <v>14</v>
      </c>
      <c r="F12">
        <v>56</v>
      </c>
      <c r="I12">
        <v>1608212</v>
      </c>
      <c r="J12">
        <v>3</v>
      </c>
      <c r="K12">
        <v>4</v>
      </c>
      <c r="L12">
        <v>12</v>
      </c>
      <c r="M12">
        <v>6</v>
      </c>
      <c r="N12">
        <v>12</v>
      </c>
      <c r="O12">
        <f>SUM(Supplementary_Fig1!L12:N12)</f>
        <v>30</v>
      </c>
      <c r="R12">
        <v>220322</v>
      </c>
      <c r="S12">
        <v>8</v>
      </c>
      <c r="T12">
        <v>0</v>
      </c>
      <c r="U12">
        <v>56</v>
      </c>
      <c r="V12">
        <v>0</v>
      </c>
      <c r="W12">
        <v>56</v>
      </c>
      <c r="X12">
        <v>0</v>
      </c>
    </row>
    <row r="13" spans="1:25" x14ac:dyDescent="0.35">
      <c r="A13">
        <v>131221</v>
      </c>
      <c r="B13">
        <v>6</v>
      </c>
      <c r="C13">
        <v>0</v>
      </c>
      <c r="D13">
        <v>30</v>
      </c>
      <c r="E13">
        <v>0</v>
      </c>
      <c r="F13">
        <v>30</v>
      </c>
      <c r="I13">
        <v>230821</v>
      </c>
      <c r="J13">
        <v>4</v>
      </c>
      <c r="K13">
        <v>4</v>
      </c>
      <c r="L13">
        <v>16</v>
      </c>
      <c r="M13">
        <v>12</v>
      </c>
      <c r="N13">
        <v>12</v>
      </c>
      <c r="O13">
        <f>SUM(Supplementary_Fig1!L13:N13)</f>
        <v>40</v>
      </c>
      <c r="R13">
        <v>230322</v>
      </c>
      <c r="S13">
        <v>6</v>
      </c>
      <c r="T13">
        <v>0</v>
      </c>
      <c r="U13">
        <v>30</v>
      </c>
      <c r="V13">
        <v>0</v>
      </c>
      <c r="W13">
        <v>30</v>
      </c>
      <c r="X13">
        <v>0</v>
      </c>
    </row>
    <row r="14" spans="1:25" x14ac:dyDescent="0.35">
      <c r="A14" s="2">
        <v>1312212</v>
      </c>
      <c r="B14" s="2">
        <v>7</v>
      </c>
      <c r="C14" s="2">
        <v>0</v>
      </c>
      <c r="D14" s="2">
        <v>42</v>
      </c>
      <c r="E14" s="2">
        <v>0</v>
      </c>
      <c r="F14" s="2">
        <v>42</v>
      </c>
      <c r="G14" s="2">
        <v>2</v>
      </c>
      <c r="I14">
        <v>240821</v>
      </c>
      <c r="J14">
        <v>4</v>
      </c>
      <c r="K14">
        <v>3</v>
      </c>
      <c r="L14">
        <v>12</v>
      </c>
      <c r="M14">
        <v>6</v>
      </c>
      <c r="N14">
        <v>12</v>
      </c>
      <c r="O14">
        <f>SUM(Supplementary_Fig1!L14:N14)</f>
        <v>30</v>
      </c>
      <c r="R14">
        <v>2303222</v>
      </c>
      <c r="S14">
        <v>4</v>
      </c>
      <c r="T14">
        <v>0</v>
      </c>
      <c r="U14">
        <v>12</v>
      </c>
      <c r="V14">
        <v>0</v>
      </c>
      <c r="W14">
        <v>12</v>
      </c>
      <c r="X14">
        <v>0</v>
      </c>
    </row>
    <row r="15" spans="1:25" x14ac:dyDescent="0.35">
      <c r="A15" s="2">
        <v>201221</v>
      </c>
      <c r="B15" s="2">
        <v>5</v>
      </c>
      <c r="C15" s="2">
        <v>0</v>
      </c>
      <c r="D15" s="2">
        <v>20</v>
      </c>
      <c r="E15" s="2">
        <v>0</v>
      </c>
      <c r="F15" s="2">
        <v>20</v>
      </c>
      <c r="G15" s="2">
        <v>1</v>
      </c>
      <c r="I15">
        <v>2408212</v>
      </c>
      <c r="J15">
        <v>2</v>
      </c>
      <c r="K15">
        <v>3</v>
      </c>
      <c r="L15">
        <v>6</v>
      </c>
      <c r="M15">
        <v>2</v>
      </c>
      <c r="N15">
        <v>6</v>
      </c>
      <c r="O15">
        <f>SUM(Supplementary_Fig1!L15:N15)</f>
        <v>14</v>
      </c>
      <c r="R15" s="2">
        <v>240322</v>
      </c>
      <c r="S15" s="2">
        <v>7</v>
      </c>
      <c r="T15" s="2">
        <v>0</v>
      </c>
      <c r="U15" s="2">
        <v>42</v>
      </c>
      <c r="V15" s="2">
        <v>0</v>
      </c>
      <c r="W15" s="2">
        <v>42</v>
      </c>
      <c r="X15" s="2">
        <v>1</v>
      </c>
    </row>
    <row r="16" spans="1:25" x14ac:dyDescent="0.35">
      <c r="A16" s="2">
        <v>211221</v>
      </c>
      <c r="B16" s="2">
        <v>8</v>
      </c>
      <c r="C16" s="2">
        <v>0</v>
      </c>
      <c r="D16" s="2">
        <v>56</v>
      </c>
      <c r="E16" s="2">
        <v>0</v>
      </c>
      <c r="F16" s="2">
        <v>56</v>
      </c>
      <c r="G16" s="2">
        <v>2</v>
      </c>
      <c r="I16">
        <v>250821</v>
      </c>
      <c r="J16">
        <v>4</v>
      </c>
      <c r="K16">
        <v>1</v>
      </c>
      <c r="L16">
        <v>4</v>
      </c>
      <c r="M16">
        <v>6</v>
      </c>
      <c r="N16">
        <v>0</v>
      </c>
      <c r="O16">
        <f>SUM(Supplementary_Fig1!L16:N16)</f>
        <v>10</v>
      </c>
      <c r="R16" s="2">
        <v>60422</v>
      </c>
      <c r="S16" s="2">
        <v>4</v>
      </c>
      <c r="T16" s="2">
        <v>0</v>
      </c>
      <c r="U16" s="2">
        <v>12</v>
      </c>
      <c r="V16" s="2">
        <v>0</v>
      </c>
      <c r="W16" s="2">
        <v>12</v>
      </c>
      <c r="X16" s="2">
        <v>1</v>
      </c>
    </row>
    <row r="17" spans="1:24" x14ac:dyDescent="0.35">
      <c r="A17">
        <v>2112212</v>
      </c>
      <c r="B17">
        <v>7</v>
      </c>
      <c r="C17">
        <v>0</v>
      </c>
      <c r="D17">
        <v>42</v>
      </c>
      <c r="E17">
        <v>0</v>
      </c>
      <c r="F17">
        <v>42</v>
      </c>
      <c r="I17">
        <v>2508212</v>
      </c>
      <c r="J17">
        <v>4</v>
      </c>
      <c r="K17">
        <v>4</v>
      </c>
      <c r="L17">
        <v>16</v>
      </c>
      <c r="M17">
        <v>12</v>
      </c>
      <c r="N17">
        <v>12</v>
      </c>
      <c r="O17">
        <f>SUM(Supplementary_Fig1!L17:N17)</f>
        <v>40</v>
      </c>
      <c r="R17">
        <v>140422</v>
      </c>
      <c r="S17">
        <v>5</v>
      </c>
      <c r="T17">
        <v>0</v>
      </c>
      <c r="U17">
        <v>20</v>
      </c>
      <c r="V17">
        <v>0</v>
      </c>
      <c r="W17">
        <v>20</v>
      </c>
      <c r="X17">
        <v>0</v>
      </c>
    </row>
    <row r="18" spans="1:24" x14ac:dyDescent="0.35">
      <c r="A18" s="2">
        <v>221221</v>
      </c>
      <c r="B18" s="2">
        <v>8</v>
      </c>
      <c r="C18" s="2">
        <v>0</v>
      </c>
      <c r="D18" s="2">
        <v>56</v>
      </c>
      <c r="E18" s="2">
        <v>0</v>
      </c>
      <c r="F18" s="2">
        <v>56</v>
      </c>
      <c r="G18" s="2">
        <v>2</v>
      </c>
      <c r="I18">
        <v>260821</v>
      </c>
      <c r="J18">
        <v>4</v>
      </c>
      <c r="K18">
        <v>3</v>
      </c>
      <c r="L18">
        <v>12</v>
      </c>
      <c r="M18">
        <v>6</v>
      </c>
      <c r="N18">
        <v>12</v>
      </c>
      <c r="O18">
        <f>SUM(Supplementary_Fig1!L18:N18)</f>
        <v>30</v>
      </c>
      <c r="R18" s="2">
        <v>200422</v>
      </c>
      <c r="S18" s="2">
        <v>5</v>
      </c>
      <c r="T18" s="2">
        <v>0</v>
      </c>
      <c r="U18" s="2">
        <v>20</v>
      </c>
      <c r="V18" s="2">
        <v>0</v>
      </c>
      <c r="W18" s="2">
        <v>20</v>
      </c>
      <c r="X18" s="2">
        <v>1</v>
      </c>
    </row>
    <row r="19" spans="1:24" x14ac:dyDescent="0.35">
      <c r="A19" s="2">
        <v>231221</v>
      </c>
      <c r="B19" s="2">
        <v>6</v>
      </c>
      <c r="C19" s="2">
        <v>0</v>
      </c>
      <c r="D19" s="2">
        <v>30</v>
      </c>
      <c r="E19" s="2">
        <v>0</v>
      </c>
      <c r="F19" s="2">
        <v>30</v>
      </c>
      <c r="G19" s="2">
        <v>1</v>
      </c>
      <c r="I19">
        <v>60921</v>
      </c>
      <c r="J19">
        <v>2</v>
      </c>
      <c r="K19">
        <v>4</v>
      </c>
      <c r="L19">
        <v>8</v>
      </c>
      <c r="M19">
        <v>2</v>
      </c>
      <c r="N19">
        <v>12</v>
      </c>
      <c r="O19">
        <f>SUM(Supplementary_Fig1!L19:N19)</f>
        <v>22</v>
      </c>
      <c r="R19" s="2">
        <v>2004222</v>
      </c>
      <c r="S19" s="2">
        <v>8</v>
      </c>
      <c r="T19" s="2">
        <v>0</v>
      </c>
      <c r="U19" s="2">
        <v>56</v>
      </c>
      <c r="V19" s="2">
        <v>0</v>
      </c>
      <c r="W19" s="2">
        <v>56</v>
      </c>
      <c r="X19" s="2">
        <v>1</v>
      </c>
    </row>
    <row r="20" spans="1:24" x14ac:dyDescent="0.35">
      <c r="A20">
        <v>2312212</v>
      </c>
      <c r="B20">
        <v>6</v>
      </c>
      <c r="C20">
        <v>0</v>
      </c>
      <c r="D20">
        <v>30</v>
      </c>
      <c r="E20">
        <v>0</v>
      </c>
      <c r="F20">
        <v>30</v>
      </c>
      <c r="I20" s="2">
        <v>70921</v>
      </c>
      <c r="J20" s="2">
        <v>4</v>
      </c>
      <c r="K20" s="2">
        <v>4</v>
      </c>
      <c r="L20" s="2">
        <v>16</v>
      </c>
      <c r="M20" s="2">
        <v>12</v>
      </c>
      <c r="N20" s="2">
        <v>12</v>
      </c>
      <c r="O20" s="2">
        <f>SUM(Supplementary_Fig1!L20:N20)</f>
        <v>40</v>
      </c>
      <c r="P20" s="2">
        <v>2</v>
      </c>
      <c r="R20">
        <v>210422</v>
      </c>
      <c r="S20">
        <v>7</v>
      </c>
      <c r="T20">
        <v>0</v>
      </c>
      <c r="U20">
        <v>42</v>
      </c>
      <c r="V20">
        <v>0</v>
      </c>
      <c r="W20">
        <v>43</v>
      </c>
      <c r="X20">
        <v>0</v>
      </c>
    </row>
    <row r="21" spans="1:24" x14ac:dyDescent="0.35">
      <c r="A21" s="2">
        <v>180122</v>
      </c>
      <c r="B21" s="2">
        <v>4</v>
      </c>
      <c r="C21" s="2">
        <v>0</v>
      </c>
      <c r="D21" s="2">
        <v>12</v>
      </c>
      <c r="E21" s="2">
        <v>0</v>
      </c>
      <c r="F21" s="2">
        <v>12</v>
      </c>
      <c r="G21" s="2">
        <v>1</v>
      </c>
      <c r="I21">
        <v>709212</v>
      </c>
      <c r="J21">
        <v>2</v>
      </c>
      <c r="K21">
        <v>3</v>
      </c>
      <c r="L21">
        <v>6</v>
      </c>
      <c r="M21">
        <v>2</v>
      </c>
      <c r="N21">
        <v>6</v>
      </c>
      <c r="O21">
        <f>SUM(Supplementary_Fig1!L21:N21)</f>
        <v>14</v>
      </c>
      <c r="R21">
        <v>2104222</v>
      </c>
      <c r="S21">
        <v>6</v>
      </c>
      <c r="T21">
        <v>0</v>
      </c>
      <c r="U21">
        <v>30</v>
      </c>
      <c r="V21">
        <v>0</v>
      </c>
      <c r="W21">
        <v>30</v>
      </c>
      <c r="X21">
        <v>0</v>
      </c>
    </row>
    <row r="22" spans="1:24" x14ac:dyDescent="0.35">
      <c r="A22" s="2">
        <v>1801222</v>
      </c>
      <c r="B22" s="2">
        <v>8</v>
      </c>
      <c r="C22" s="2">
        <v>0</v>
      </c>
      <c r="D22" s="2">
        <v>56</v>
      </c>
      <c r="E22" s="2">
        <v>0</v>
      </c>
      <c r="F22" s="2">
        <v>56</v>
      </c>
      <c r="G22" s="2">
        <v>2</v>
      </c>
      <c r="I22">
        <v>80921</v>
      </c>
      <c r="J22">
        <v>2</v>
      </c>
      <c r="K22">
        <v>4</v>
      </c>
      <c r="L22">
        <v>8</v>
      </c>
      <c r="M22">
        <v>2</v>
      </c>
      <c r="N22">
        <v>12</v>
      </c>
      <c r="O22">
        <f>SUM(Supplementary_Fig1!L22:N22)</f>
        <v>22</v>
      </c>
      <c r="R22">
        <v>260422</v>
      </c>
      <c r="S22">
        <v>8</v>
      </c>
      <c r="T22">
        <v>0</v>
      </c>
      <c r="U22">
        <v>56</v>
      </c>
      <c r="V22">
        <v>0</v>
      </c>
      <c r="W22">
        <v>56</v>
      </c>
      <c r="X22">
        <v>0</v>
      </c>
    </row>
    <row r="23" spans="1:24" x14ac:dyDescent="0.35">
      <c r="A23">
        <v>250122</v>
      </c>
      <c r="B23">
        <v>4</v>
      </c>
      <c r="C23">
        <v>0</v>
      </c>
      <c r="D23">
        <v>12</v>
      </c>
      <c r="E23">
        <v>0</v>
      </c>
      <c r="F23">
        <v>12</v>
      </c>
      <c r="I23">
        <v>809212</v>
      </c>
      <c r="J23">
        <v>2</v>
      </c>
      <c r="K23">
        <v>4</v>
      </c>
      <c r="L23">
        <v>8</v>
      </c>
      <c r="M23">
        <v>2</v>
      </c>
      <c r="N23">
        <v>12</v>
      </c>
      <c r="O23">
        <f>SUM(Supplementary_Fig1!L23:N23)</f>
        <v>22</v>
      </c>
      <c r="R23">
        <v>2604222</v>
      </c>
      <c r="S23">
        <v>7</v>
      </c>
      <c r="T23">
        <v>0</v>
      </c>
      <c r="U23">
        <v>42</v>
      </c>
      <c r="V23">
        <v>0</v>
      </c>
      <c r="W23">
        <v>42</v>
      </c>
      <c r="X23">
        <v>0</v>
      </c>
    </row>
    <row r="24" spans="1:24" x14ac:dyDescent="0.35">
      <c r="A24" s="2">
        <v>2501222</v>
      </c>
      <c r="B24" s="2">
        <v>8</v>
      </c>
      <c r="C24" s="2">
        <v>0</v>
      </c>
      <c r="D24" s="2">
        <v>54</v>
      </c>
      <c r="E24" s="2">
        <v>0</v>
      </c>
      <c r="F24" s="2">
        <v>54</v>
      </c>
      <c r="G24" s="2">
        <v>5</v>
      </c>
      <c r="I24">
        <v>90921</v>
      </c>
      <c r="J24">
        <v>3</v>
      </c>
      <c r="K24">
        <v>4</v>
      </c>
      <c r="L24">
        <v>12</v>
      </c>
      <c r="M24">
        <v>6</v>
      </c>
      <c r="N24">
        <v>12</v>
      </c>
      <c r="O24">
        <f>SUM(Supplementary_Fig1!L24:N24)</f>
        <v>30</v>
      </c>
      <c r="R24" s="2">
        <v>280422</v>
      </c>
      <c r="S24" s="2">
        <v>6</v>
      </c>
      <c r="T24" s="2">
        <v>0</v>
      </c>
      <c r="U24" s="2">
        <v>30</v>
      </c>
      <c r="V24" s="2">
        <v>0</v>
      </c>
      <c r="W24" s="2">
        <v>30</v>
      </c>
      <c r="X24" s="2">
        <v>1</v>
      </c>
    </row>
    <row r="25" spans="1:24" x14ac:dyDescent="0.35">
      <c r="A25" s="2">
        <v>260122</v>
      </c>
      <c r="B25" s="2">
        <v>6</v>
      </c>
      <c r="C25" s="2">
        <v>0</v>
      </c>
      <c r="D25" s="2">
        <v>30</v>
      </c>
      <c r="E25" s="2">
        <v>0</v>
      </c>
      <c r="F25" s="2">
        <v>25</v>
      </c>
      <c r="G25" s="2">
        <v>2</v>
      </c>
      <c r="I25">
        <v>909212</v>
      </c>
      <c r="J25">
        <v>4</v>
      </c>
      <c r="K25">
        <v>2</v>
      </c>
      <c r="L25">
        <v>8</v>
      </c>
      <c r="M25">
        <v>12</v>
      </c>
      <c r="N25">
        <v>2</v>
      </c>
      <c r="O25">
        <f>SUM(Supplementary_Fig1!L25:N25)</f>
        <v>22</v>
      </c>
      <c r="R25">
        <v>2804222</v>
      </c>
      <c r="S25">
        <v>7</v>
      </c>
      <c r="T25">
        <v>0</v>
      </c>
      <c r="U25">
        <v>42</v>
      </c>
      <c r="V25">
        <v>0</v>
      </c>
      <c r="W25">
        <v>42</v>
      </c>
      <c r="X25">
        <v>0</v>
      </c>
    </row>
    <row r="26" spans="1:24" x14ac:dyDescent="0.35">
      <c r="A26" s="2">
        <v>2601222</v>
      </c>
      <c r="B26" s="2">
        <v>6</v>
      </c>
      <c r="C26" s="2">
        <v>0</v>
      </c>
      <c r="D26" s="2">
        <f>Supplementary_Fig1!B26*5</f>
        <v>30</v>
      </c>
      <c r="E26" s="2">
        <v>0</v>
      </c>
      <c r="F26" s="2">
        <v>28</v>
      </c>
      <c r="G26" s="2">
        <v>2</v>
      </c>
      <c r="I26">
        <v>140921</v>
      </c>
      <c r="J26">
        <v>4</v>
      </c>
      <c r="K26">
        <v>3</v>
      </c>
      <c r="L26">
        <v>12</v>
      </c>
      <c r="M26">
        <v>6</v>
      </c>
      <c r="N26">
        <v>12</v>
      </c>
      <c r="O26">
        <f>SUM(Supplementary_Fig1!L26:N26)</f>
        <v>30</v>
      </c>
      <c r="R26">
        <v>20522</v>
      </c>
      <c r="S26">
        <v>4</v>
      </c>
      <c r="T26">
        <v>1</v>
      </c>
      <c r="U26">
        <v>12</v>
      </c>
      <c r="V26">
        <v>8</v>
      </c>
      <c r="W26">
        <v>20</v>
      </c>
      <c r="X26">
        <v>0</v>
      </c>
    </row>
    <row r="27" spans="1:24" x14ac:dyDescent="0.35">
      <c r="A27" s="2">
        <v>10222</v>
      </c>
      <c r="B27" s="2">
        <v>4</v>
      </c>
      <c r="C27" s="2">
        <v>1</v>
      </c>
      <c r="D27" s="2">
        <v>12</v>
      </c>
      <c r="E27" s="2">
        <v>2</v>
      </c>
      <c r="F27" s="2">
        <v>14</v>
      </c>
      <c r="G27" s="2">
        <v>1</v>
      </c>
      <c r="I27">
        <v>1409212</v>
      </c>
      <c r="J27">
        <v>3</v>
      </c>
      <c r="K27">
        <v>4</v>
      </c>
      <c r="L27">
        <v>12</v>
      </c>
      <c r="M27">
        <v>6</v>
      </c>
      <c r="N27">
        <v>12</v>
      </c>
      <c r="O27">
        <f>SUM(Supplementary_Fig1!L27:N27)</f>
        <v>30</v>
      </c>
      <c r="R27">
        <v>30522</v>
      </c>
      <c r="S27">
        <v>8</v>
      </c>
      <c r="T27">
        <v>0</v>
      </c>
      <c r="U27">
        <v>56</v>
      </c>
      <c r="V27">
        <v>0</v>
      </c>
      <c r="W27">
        <v>56</v>
      </c>
      <c r="X27">
        <v>0</v>
      </c>
    </row>
    <row r="28" spans="1:24" x14ac:dyDescent="0.35">
      <c r="A28" s="2">
        <v>102222</v>
      </c>
      <c r="B28" s="2">
        <v>7</v>
      </c>
      <c r="C28" s="2">
        <v>0</v>
      </c>
      <c r="D28" s="2">
        <v>42</v>
      </c>
      <c r="E28" s="2">
        <v>0</v>
      </c>
      <c r="F28" s="2">
        <v>36</v>
      </c>
      <c r="G28" s="2">
        <v>1</v>
      </c>
      <c r="I28" s="2">
        <v>150921</v>
      </c>
      <c r="J28" s="2">
        <v>3</v>
      </c>
      <c r="K28" s="2">
        <v>3</v>
      </c>
      <c r="L28" s="2">
        <v>9</v>
      </c>
      <c r="M28" s="2">
        <v>6</v>
      </c>
      <c r="N28" s="2">
        <v>6</v>
      </c>
      <c r="O28" s="2">
        <f>SUM(Supplementary_Fig1!L28:N28)</f>
        <v>21</v>
      </c>
      <c r="P28" s="2">
        <v>1</v>
      </c>
      <c r="R28">
        <v>305222</v>
      </c>
      <c r="S28">
        <v>6</v>
      </c>
      <c r="T28">
        <v>0</v>
      </c>
      <c r="U28">
        <v>30</v>
      </c>
      <c r="V28">
        <v>0</v>
      </c>
      <c r="W28">
        <v>30</v>
      </c>
      <c r="X28">
        <v>0</v>
      </c>
    </row>
    <row r="29" spans="1:24" x14ac:dyDescent="0.35">
      <c r="A29" s="2">
        <v>160522</v>
      </c>
      <c r="B29" s="2">
        <v>8</v>
      </c>
      <c r="C29" s="2">
        <v>0</v>
      </c>
      <c r="D29" s="2">
        <v>56</v>
      </c>
      <c r="E29" s="2">
        <v>0</v>
      </c>
      <c r="F29" s="2">
        <v>56</v>
      </c>
      <c r="G29" s="2">
        <v>3</v>
      </c>
      <c r="I29">
        <v>1509212</v>
      </c>
      <c r="J29">
        <v>3</v>
      </c>
      <c r="K29">
        <v>3</v>
      </c>
      <c r="L29">
        <v>9</v>
      </c>
      <c r="M29">
        <v>6</v>
      </c>
      <c r="N29">
        <v>6</v>
      </c>
      <c r="O29">
        <f>SUM(Supplementary_Fig1!L29:N29)</f>
        <v>21</v>
      </c>
      <c r="R29">
        <v>170522</v>
      </c>
      <c r="S29">
        <v>6</v>
      </c>
      <c r="T29">
        <v>0</v>
      </c>
      <c r="U29">
        <v>30</v>
      </c>
      <c r="V29">
        <v>0</v>
      </c>
      <c r="W29">
        <v>30</v>
      </c>
      <c r="X29">
        <v>0</v>
      </c>
    </row>
    <row r="30" spans="1:24" x14ac:dyDescent="0.35">
      <c r="A30" s="2">
        <v>70223</v>
      </c>
      <c r="B30" s="2">
        <v>3</v>
      </c>
      <c r="C30" s="2">
        <v>0</v>
      </c>
      <c r="D30" s="2">
        <v>6</v>
      </c>
      <c r="E30" s="2">
        <v>0</v>
      </c>
      <c r="F30" s="2">
        <v>6</v>
      </c>
      <c r="G30" s="2">
        <v>3</v>
      </c>
      <c r="I30">
        <v>160921</v>
      </c>
      <c r="J30">
        <v>3</v>
      </c>
      <c r="K30">
        <v>4</v>
      </c>
      <c r="L30">
        <v>12</v>
      </c>
      <c r="M30">
        <v>6</v>
      </c>
      <c r="N30">
        <v>12</v>
      </c>
      <c r="O30">
        <f>SUM(Supplementary_Fig1!L30:N30)</f>
        <v>30</v>
      </c>
      <c r="R30">
        <v>20622</v>
      </c>
      <c r="S30">
        <v>4</v>
      </c>
      <c r="T30">
        <v>0</v>
      </c>
      <c r="U30">
        <v>12</v>
      </c>
      <c r="V30">
        <v>0</v>
      </c>
      <c r="W30">
        <v>30</v>
      </c>
      <c r="X30">
        <v>0</v>
      </c>
    </row>
    <row r="31" spans="1:24" x14ac:dyDescent="0.35">
      <c r="A31">
        <v>150223</v>
      </c>
      <c r="B31">
        <v>3</v>
      </c>
      <c r="C31">
        <v>0</v>
      </c>
      <c r="D31">
        <v>6</v>
      </c>
      <c r="E31">
        <v>0</v>
      </c>
      <c r="F31">
        <v>6</v>
      </c>
      <c r="I31" s="2">
        <v>1609212</v>
      </c>
      <c r="J31" s="2">
        <v>3</v>
      </c>
      <c r="K31" s="2">
        <v>4</v>
      </c>
      <c r="L31" s="2">
        <v>12</v>
      </c>
      <c r="M31" s="2">
        <v>6</v>
      </c>
      <c r="N31" s="2">
        <v>12</v>
      </c>
      <c r="O31" s="2">
        <f>SUM(Supplementary_Fig1!L31:N31)</f>
        <v>30</v>
      </c>
      <c r="P31" s="2">
        <v>1</v>
      </c>
      <c r="R31">
        <v>70622</v>
      </c>
      <c r="S31">
        <v>8</v>
      </c>
      <c r="T31">
        <v>0</v>
      </c>
      <c r="U31">
        <v>56</v>
      </c>
      <c r="V31">
        <v>0</v>
      </c>
      <c r="W31">
        <v>56</v>
      </c>
      <c r="X31">
        <v>0</v>
      </c>
    </row>
    <row r="32" spans="1:24" x14ac:dyDescent="0.35">
      <c r="A32" s="2">
        <v>1502232</v>
      </c>
      <c r="B32" s="2">
        <v>8</v>
      </c>
      <c r="C32" s="2">
        <v>0</v>
      </c>
      <c r="D32" s="2">
        <v>56</v>
      </c>
      <c r="E32" s="2">
        <v>0</v>
      </c>
      <c r="F32" s="2">
        <v>56</v>
      </c>
      <c r="G32" s="2">
        <v>1</v>
      </c>
      <c r="I32" s="2">
        <v>210921</v>
      </c>
      <c r="J32" s="2">
        <v>4</v>
      </c>
      <c r="K32" s="2">
        <v>4</v>
      </c>
      <c r="L32" s="2">
        <v>16</v>
      </c>
      <c r="M32" s="2">
        <v>12</v>
      </c>
      <c r="N32" s="2">
        <v>12</v>
      </c>
      <c r="O32" s="2">
        <f>SUM(Supplementary_Fig1!L32:N32)</f>
        <v>40</v>
      </c>
      <c r="P32" s="2">
        <v>1</v>
      </c>
      <c r="R32">
        <v>706222</v>
      </c>
      <c r="S32">
        <v>7</v>
      </c>
      <c r="T32">
        <v>1</v>
      </c>
      <c r="U32">
        <v>42</v>
      </c>
      <c r="V32">
        <v>14</v>
      </c>
      <c r="W32">
        <v>56</v>
      </c>
      <c r="X32">
        <v>0</v>
      </c>
    </row>
    <row r="33" spans="1:24" x14ac:dyDescent="0.35">
      <c r="A33" s="2">
        <v>160223</v>
      </c>
      <c r="B33" s="2">
        <v>7</v>
      </c>
      <c r="C33" s="2">
        <v>0</v>
      </c>
      <c r="D33" s="2">
        <v>42</v>
      </c>
      <c r="E33" s="2">
        <v>0</v>
      </c>
      <c r="F33" s="2">
        <v>42</v>
      </c>
      <c r="G33" s="2">
        <v>3</v>
      </c>
      <c r="I33">
        <v>220921</v>
      </c>
      <c r="J33">
        <v>4</v>
      </c>
      <c r="K33">
        <v>1</v>
      </c>
      <c r="L33">
        <v>4</v>
      </c>
      <c r="M33">
        <v>12</v>
      </c>
      <c r="N33">
        <v>0</v>
      </c>
      <c r="O33">
        <v>16</v>
      </c>
      <c r="R33">
        <v>90622</v>
      </c>
      <c r="S33">
        <v>5</v>
      </c>
      <c r="T33">
        <v>0</v>
      </c>
      <c r="U33">
        <v>20</v>
      </c>
      <c r="V33">
        <v>0</v>
      </c>
      <c r="W33">
        <v>20</v>
      </c>
      <c r="X33">
        <v>0</v>
      </c>
    </row>
    <row r="34" spans="1:24" x14ac:dyDescent="0.35">
      <c r="A34" s="2">
        <v>1602232</v>
      </c>
      <c r="B34" s="2">
        <v>8</v>
      </c>
      <c r="C34" s="2">
        <v>0</v>
      </c>
      <c r="D34" s="2">
        <v>56</v>
      </c>
      <c r="E34" s="2">
        <v>0</v>
      </c>
      <c r="F34" s="2">
        <v>56</v>
      </c>
      <c r="G34" s="2">
        <v>5</v>
      </c>
      <c r="I34">
        <v>2209212</v>
      </c>
      <c r="J34">
        <v>3</v>
      </c>
      <c r="K34">
        <v>3</v>
      </c>
      <c r="L34">
        <v>9</v>
      </c>
      <c r="M34">
        <v>6</v>
      </c>
      <c r="N34">
        <v>6</v>
      </c>
      <c r="O34">
        <f>SUM(Supplementary_Fig1!L34:N34)</f>
        <v>21</v>
      </c>
      <c r="R34">
        <v>906222</v>
      </c>
      <c r="S34">
        <v>6</v>
      </c>
      <c r="T34">
        <v>0</v>
      </c>
      <c r="U34">
        <v>30</v>
      </c>
      <c r="V34">
        <v>0</v>
      </c>
      <c r="W34">
        <v>30</v>
      </c>
      <c r="X34">
        <v>0</v>
      </c>
    </row>
    <row r="35" spans="1:24" x14ac:dyDescent="0.35">
      <c r="A35" s="2">
        <v>170223</v>
      </c>
      <c r="B35" s="2">
        <v>8</v>
      </c>
      <c r="C35" s="2">
        <v>0</v>
      </c>
      <c r="D35" s="2">
        <v>56</v>
      </c>
      <c r="E35" s="2">
        <v>0</v>
      </c>
      <c r="F35" s="2">
        <v>56</v>
      </c>
      <c r="G35" s="2">
        <v>2</v>
      </c>
      <c r="I35" s="2">
        <v>230921</v>
      </c>
      <c r="J35" s="2">
        <v>4</v>
      </c>
      <c r="K35" s="2">
        <v>4</v>
      </c>
      <c r="L35" s="2">
        <v>16</v>
      </c>
      <c r="M35" s="2">
        <v>12</v>
      </c>
      <c r="N35" s="2">
        <v>12</v>
      </c>
      <c r="O35" s="2">
        <f>SUM(Supplementary_Fig1!L35:N35)</f>
        <v>40</v>
      </c>
      <c r="P35" s="2">
        <v>1</v>
      </c>
      <c r="R35">
        <v>210622</v>
      </c>
      <c r="S35">
        <v>6</v>
      </c>
      <c r="T35">
        <v>0</v>
      </c>
      <c r="U35">
        <v>30</v>
      </c>
      <c r="V35">
        <v>0</v>
      </c>
      <c r="W35">
        <v>30</v>
      </c>
      <c r="X35">
        <v>0</v>
      </c>
    </row>
    <row r="36" spans="1:24" x14ac:dyDescent="0.35">
      <c r="A36" s="2">
        <v>200223</v>
      </c>
      <c r="B36" s="2">
        <v>8</v>
      </c>
      <c r="C36" s="2">
        <v>0</v>
      </c>
      <c r="D36" s="2">
        <v>56</v>
      </c>
      <c r="E36" s="2">
        <v>0</v>
      </c>
      <c r="F36" s="2">
        <v>56</v>
      </c>
      <c r="G36" s="2">
        <v>2</v>
      </c>
      <c r="I36">
        <v>201021</v>
      </c>
      <c r="J36">
        <v>4</v>
      </c>
      <c r="K36">
        <v>3</v>
      </c>
      <c r="L36">
        <v>12</v>
      </c>
      <c r="M36">
        <v>6</v>
      </c>
      <c r="N36">
        <v>12</v>
      </c>
      <c r="O36">
        <f>SUM(Supplementary_Fig1!L36:N36)</f>
        <v>30</v>
      </c>
      <c r="R36">
        <v>40722</v>
      </c>
      <c r="S36">
        <v>7</v>
      </c>
      <c r="T36">
        <v>0</v>
      </c>
      <c r="U36">
        <v>42</v>
      </c>
      <c r="V36">
        <v>0</v>
      </c>
      <c r="W36">
        <v>42</v>
      </c>
      <c r="X36">
        <v>0</v>
      </c>
    </row>
    <row r="37" spans="1:24" x14ac:dyDescent="0.35">
      <c r="A37" s="2">
        <v>2002232</v>
      </c>
      <c r="B37" s="2">
        <v>7</v>
      </c>
      <c r="C37" s="2">
        <v>0</v>
      </c>
      <c r="D37" s="2">
        <v>42</v>
      </c>
      <c r="E37" s="2">
        <v>0</v>
      </c>
      <c r="F37" s="2">
        <v>43</v>
      </c>
      <c r="G37" s="2">
        <v>2</v>
      </c>
      <c r="I37">
        <v>211021</v>
      </c>
      <c r="J37">
        <v>4</v>
      </c>
      <c r="K37">
        <v>3</v>
      </c>
      <c r="L37">
        <v>12</v>
      </c>
      <c r="M37">
        <v>6</v>
      </c>
      <c r="N37">
        <v>12</v>
      </c>
      <c r="O37">
        <f>SUM(Supplementary_Fig1!L37:N37)</f>
        <v>30</v>
      </c>
      <c r="R37" s="2">
        <v>110722</v>
      </c>
      <c r="S37" s="2">
        <v>7</v>
      </c>
      <c r="T37" s="2">
        <v>0</v>
      </c>
      <c r="U37" s="2">
        <v>42</v>
      </c>
      <c r="V37" s="2">
        <v>0</v>
      </c>
      <c r="W37" s="2">
        <v>30</v>
      </c>
      <c r="X37" s="10">
        <v>1</v>
      </c>
    </row>
    <row r="38" spans="1:24" x14ac:dyDescent="0.35">
      <c r="A38">
        <v>210223</v>
      </c>
      <c r="B38">
        <v>8</v>
      </c>
      <c r="C38">
        <v>0</v>
      </c>
      <c r="D38">
        <v>56</v>
      </c>
      <c r="E38">
        <v>0</v>
      </c>
      <c r="F38">
        <v>56</v>
      </c>
      <c r="I38">
        <v>2110212</v>
      </c>
      <c r="J38">
        <v>4</v>
      </c>
      <c r="K38">
        <v>3</v>
      </c>
      <c r="L38">
        <v>12</v>
      </c>
      <c r="M38">
        <v>6</v>
      </c>
      <c r="N38">
        <v>12</v>
      </c>
      <c r="O38">
        <f>SUM(Supplementary_Fig1!L38:N38)</f>
        <v>30</v>
      </c>
      <c r="R38" s="2">
        <v>120722</v>
      </c>
      <c r="S38" s="2">
        <v>7</v>
      </c>
      <c r="T38" s="2">
        <v>0</v>
      </c>
      <c r="U38" s="2">
        <v>42</v>
      </c>
      <c r="V38" s="2">
        <v>0</v>
      </c>
      <c r="W38" s="2">
        <v>42</v>
      </c>
      <c r="X38" s="10">
        <v>1</v>
      </c>
    </row>
    <row r="39" spans="1:24" x14ac:dyDescent="0.35">
      <c r="A39" s="2">
        <v>2102232</v>
      </c>
      <c r="B39" s="2">
        <v>6</v>
      </c>
      <c r="C39" s="2">
        <v>0</v>
      </c>
      <c r="D39" s="2">
        <v>30</v>
      </c>
      <c r="E39" s="2">
        <v>0</v>
      </c>
      <c r="F39" s="2">
        <v>30</v>
      </c>
      <c r="G39" s="2">
        <v>1</v>
      </c>
      <c r="I39" s="2">
        <v>231121</v>
      </c>
      <c r="J39" s="2">
        <v>4</v>
      </c>
      <c r="K39" s="2">
        <v>4</v>
      </c>
      <c r="L39" s="2">
        <v>16</v>
      </c>
      <c r="M39" s="2">
        <v>12</v>
      </c>
      <c r="N39" s="2">
        <v>12</v>
      </c>
      <c r="O39" s="2">
        <f>SUM(Supplementary_Fig1!L39:N39)</f>
        <v>40</v>
      </c>
      <c r="P39" s="2">
        <v>1</v>
      </c>
      <c r="R39">
        <v>51222</v>
      </c>
      <c r="S39">
        <v>6</v>
      </c>
      <c r="T39">
        <v>0</v>
      </c>
      <c r="U39">
        <v>30</v>
      </c>
      <c r="V39">
        <v>0</v>
      </c>
      <c r="W39">
        <v>30</v>
      </c>
      <c r="X39">
        <v>0</v>
      </c>
    </row>
    <row r="40" spans="1:24" ht="13.15" x14ac:dyDescent="0.4">
      <c r="A40" s="2">
        <v>220223</v>
      </c>
      <c r="B40" s="2">
        <v>7</v>
      </c>
      <c r="C40" s="2">
        <v>0</v>
      </c>
      <c r="D40" s="2">
        <v>42</v>
      </c>
      <c r="E40" s="2">
        <v>0</v>
      </c>
      <c r="F40" s="2">
        <v>42</v>
      </c>
      <c r="G40" s="2">
        <v>3</v>
      </c>
      <c r="J40" s="1"/>
      <c r="K40" s="1"/>
      <c r="L40" s="1"/>
      <c r="M40" s="1"/>
      <c r="N40" s="1"/>
      <c r="O40" s="1"/>
      <c r="P40" s="1"/>
      <c r="R40">
        <v>61222</v>
      </c>
      <c r="S40">
        <v>8</v>
      </c>
      <c r="T40">
        <v>0</v>
      </c>
      <c r="U40">
        <v>56</v>
      </c>
      <c r="V40">
        <v>0</v>
      </c>
      <c r="W40">
        <v>56</v>
      </c>
      <c r="X40">
        <v>0</v>
      </c>
    </row>
    <row r="41" spans="1:24" x14ac:dyDescent="0.35">
      <c r="A41" s="2">
        <v>240223</v>
      </c>
      <c r="B41" s="2">
        <v>7</v>
      </c>
      <c r="C41" s="2">
        <v>0</v>
      </c>
      <c r="D41" s="2">
        <v>42</v>
      </c>
      <c r="E41" s="2">
        <v>0</v>
      </c>
      <c r="F41" s="2">
        <v>42</v>
      </c>
      <c r="G41" s="2">
        <v>1</v>
      </c>
      <c r="R41">
        <v>191222</v>
      </c>
      <c r="S41">
        <v>6</v>
      </c>
      <c r="T41">
        <v>0</v>
      </c>
      <c r="U41">
        <v>30</v>
      </c>
      <c r="V41">
        <v>0</v>
      </c>
      <c r="W41">
        <v>30</v>
      </c>
      <c r="X41">
        <v>0</v>
      </c>
    </row>
    <row r="42" spans="1:24" x14ac:dyDescent="0.35">
      <c r="A42" s="2">
        <v>60423</v>
      </c>
      <c r="B42" s="2">
        <v>5</v>
      </c>
      <c r="C42" s="2">
        <v>1</v>
      </c>
      <c r="D42" s="2">
        <v>20</v>
      </c>
      <c r="E42" s="2">
        <v>10</v>
      </c>
      <c r="F42" s="2">
        <v>30</v>
      </c>
      <c r="G42" s="2">
        <v>1</v>
      </c>
      <c r="R42">
        <v>211222</v>
      </c>
      <c r="S42">
        <v>6</v>
      </c>
      <c r="T42">
        <v>0</v>
      </c>
      <c r="U42">
        <v>30</v>
      </c>
      <c r="V42">
        <v>0</v>
      </c>
      <c r="W42">
        <v>30</v>
      </c>
      <c r="X42">
        <v>0</v>
      </c>
    </row>
    <row r="43" spans="1:24" ht="13.15" x14ac:dyDescent="0.4">
      <c r="A43" s="2">
        <v>604232</v>
      </c>
      <c r="B43" s="2">
        <v>8</v>
      </c>
      <c r="C43" s="2">
        <v>0</v>
      </c>
      <c r="D43" s="2">
        <v>56</v>
      </c>
      <c r="E43" s="2">
        <v>0</v>
      </c>
      <c r="F43" s="2">
        <v>56</v>
      </c>
      <c r="G43" s="2">
        <v>1</v>
      </c>
      <c r="I43" s="43" t="s">
        <v>9</v>
      </c>
      <c r="J43" s="43"/>
      <c r="K43" s="43"/>
      <c r="L43" s="43"/>
      <c r="M43" s="43"/>
      <c r="N43" s="43"/>
      <c r="O43" s="43"/>
      <c r="P43" s="43"/>
      <c r="R43" s="2">
        <v>110123</v>
      </c>
      <c r="S43" s="2">
        <v>5</v>
      </c>
      <c r="T43" s="2">
        <v>0</v>
      </c>
      <c r="U43" s="2">
        <v>20</v>
      </c>
      <c r="V43" s="2">
        <v>0</v>
      </c>
      <c r="W43" s="2">
        <v>20</v>
      </c>
      <c r="X43" s="2">
        <v>1</v>
      </c>
    </row>
    <row r="44" spans="1:24" x14ac:dyDescent="0.35">
      <c r="A44" s="2">
        <v>120423</v>
      </c>
      <c r="B44" s="2">
        <v>7</v>
      </c>
      <c r="C44" s="2">
        <v>0</v>
      </c>
      <c r="D44" s="2">
        <v>42</v>
      </c>
      <c r="E44" s="2">
        <v>0</v>
      </c>
      <c r="F44" s="2">
        <v>42</v>
      </c>
      <c r="G44" s="2">
        <v>1</v>
      </c>
      <c r="I44" t="s">
        <v>2</v>
      </c>
      <c r="J44" t="s">
        <v>3</v>
      </c>
      <c r="K44" t="s">
        <v>4</v>
      </c>
      <c r="L44" t="s">
        <v>5</v>
      </c>
      <c r="M44" t="s">
        <v>6</v>
      </c>
      <c r="N44" t="s">
        <v>7</v>
      </c>
      <c r="O44" t="s">
        <v>8</v>
      </c>
      <c r="R44">
        <v>120123</v>
      </c>
      <c r="S44">
        <v>5</v>
      </c>
      <c r="T44">
        <v>0</v>
      </c>
      <c r="U44">
        <v>20</v>
      </c>
      <c r="V44">
        <v>0</v>
      </c>
      <c r="W44">
        <v>20</v>
      </c>
      <c r="X44">
        <v>0</v>
      </c>
    </row>
    <row r="45" spans="1:24" x14ac:dyDescent="0.35">
      <c r="A45" s="2">
        <v>130423</v>
      </c>
      <c r="B45" s="2">
        <v>3</v>
      </c>
      <c r="C45" s="2">
        <v>0</v>
      </c>
      <c r="D45" s="2">
        <v>6</v>
      </c>
      <c r="E45" s="2">
        <v>0</v>
      </c>
      <c r="F45" s="2">
        <v>6</v>
      </c>
      <c r="G45" s="2">
        <v>1</v>
      </c>
      <c r="I45">
        <v>250722</v>
      </c>
      <c r="J45">
        <v>5</v>
      </c>
      <c r="K45">
        <v>0</v>
      </c>
      <c r="L45">
        <v>20</v>
      </c>
      <c r="M45">
        <v>0</v>
      </c>
      <c r="N45">
        <v>20</v>
      </c>
      <c r="O45">
        <v>0</v>
      </c>
      <c r="R45">
        <v>170123</v>
      </c>
      <c r="S45">
        <v>5</v>
      </c>
      <c r="T45">
        <v>0</v>
      </c>
      <c r="U45">
        <v>20</v>
      </c>
      <c r="V45">
        <v>0</v>
      </c>
      <c r="W45">
        <v>20</v>
      </c>
      <c r="X45">
        <v>0</v>
      </c>
    </row>
    <row r="46" spans="1:24" x14ac:dyDescent="0.35">
      <c r="A46" s="2">
        <v>1304232</v>
      </c>
      <c r="B46" s="2">
        <v>6</v>
      </c>
      <c r="C46" s="2">
        <v>0</v>
      </c>
      <c r="D46" s="2">
        <v>30</v>
      </c>
      <c r="E46" s="2">
        <v>0</v>
      </c>
      <c r="F46" s="2">
        <v>30</v>
      </c>
      <c r="G46" s="2">
        <v>1</v>
      </c>
      <c r="I46">
        <v>2507222</v>
      </c>
      <c r="J46">
        <v>8</v>
      </c>
      <c r="K46">
        <v>0</v>
      </c>
      <c r="L46">
        <v>56</v>
      </c>
      <c r="M46">
        <v>0</v>
      </c>
      <c r="N46">
        <v>56</v>
      </c>
      <c r="O46">
        <v>0</v>
      </c>
      <c r="R46">
        <v>180123</v>
      </c>
      <c r="S46">
        <v>5</v>
      </c>
      <c r="T46">
        <v>0</v>
      </c>
      <c r="U46">
        <v>20</v>
      </c>
      <c r="V46">
        <v>0</v>
      </c>
      <c r="W46">
        <v>20</v>
      </c>
      <c r="X46">
        <v>0</v>
      </c>
    </row>
    <row r="47" spans="1:24" x14ac:dyDescent="0.35">
      <c r="A47">
        <v>180423</v>
      </c>
      <c r="B47">
        <v>8</v>
      </c>
      <c r="C47">
        <v>0</v>
      </c>
      <c r="D47">
        <v>56</v>
      </c>
      <c r="E47">
        <v>0</v>
      </c>
      <c r="F47">
        <v>56</v>
      </c>
      <c r="I47" s="2">
        <v>260722</v>
      </c>
      <c r="J47" s="2">
        <v>7</v>
      </c>
      <c r="K47" s="2">
        <v>1</v>
      </c>
      <c r="L47" s="2">
        <v>42</v>
      </c>
      <c r="M47" s="2">
        <v>14</v>
      </c>
      <c r="N47" s="2">
        <v>56</v>
      </c>
      <c r="O47" s="2">
        <v>2</v>
      </c>
      <c r="R47">
        <v>190123</v>
      </c>
      <c r="S47">
        <v>8</v>
      </c>
      <c r="T47">
        <v>0</v>
      </c>
      <c r="U47">
        <v>56</v>
      </c>
      <c r="V47">
        <v>0</v>
      </c>
      <c r="W47">
        <v>56</v>
      </c>
      <c r="X47">
        <v>0</v>
      </c>
    </row>
    <row r="48" spans="1:24" x14ac:dyDescent="0.35">
      <c r="A48" s="2">
        <v>1804232</v>
      </c>
      <c r="B48" s="2">
        <v>7</v>
      </c>
      <c r="C48" s="2">
        <v>0</v>
      </c>
      <c r="D48" s="2">
        <v>42</v>
      </c>
      <c r="E48" s="2">
        <v>0</v>
      </c>
      <c r="F48" s="2">
        <v>56</v>
      </c>
      <c r="G48" s="2">
        <v>2</v>
      </c>
      <c r="I48">
        <v>2607222</v>
      </c>
      <c r="J48">
        <v>8</v>
      </c>
      <c r="K48">
        <v>0</v>
      </c>
      <c r="L48">
        <v>56</v>
      </c>
      <c r="M48">
        <v>0</v>
      </c>
      <c r="N48">
        <v>56</v>
      </c>
      <c r="O48">
        <v>0</v>
      </c>
      <c r="R48">
        <v>230123</v>
      </c>
      <c r="S48">
        <v>6</v>
      </c>
      <c r="T48">
        <v>0</v>
      </c>
      <c r="U48">
        <v>30</v>
      </c>
      <c r="V48">
        <v>0</v>
      </c>
      <c r="W48">
        <v>30</v>
      </c>
      <c r="X48">
        <v>0</v>
      </c>
    </row>
    <row r="49" spans="1:24" x14ac:dyDescent="0.35">
      <c r="A49" s="2">
        <v>190423</v>
      </c>
      <c r="B49" s="2">
        <v>7</v>
      </c>
      <c r="C49" s="2">
        <v>0</v>
      </c>
      <c r="D49" s="2">
        <v>42</v>
      </c>
      <c r="E49" s="2">
        <v>0</v>
      </c>
      <c r="F49" s="2">
        <v>42</v>
      </c>
      <c r="G49" s="2">
        <v>2</v>
      </c>
      <c r="I49">
        <v>270722</v>
      </c>
      <c r="J49">
        <v>8</v>
      </c>
      <c r="K49">
        <v>0</v>
      </c>
      <c r="L49">
        <v>56</v>
      </c>
      <c r="M49">
        <v>0</v>
      </c>
      <c r="N49">
        <v>56</v>
      </c>
      <c r="O49">
        <v>0</v>
      </c>
      <c r="R49">
        <v>260123</v>
      </c>
      <c r="S49">
        <v>8</v>
      </c>
      <c r="T49">
        <v>0</v>
      </c>
      <c r="U49">
        <v>56</v>
      </c>
      <c r="V49">
        <v>0</v>
      </c>
      <c r="W49">
        <v>56</v>
      </c>
      <c r="X49">
        <v>0</v>
      </c>
    </row>
    <row r="50" spans="1:24" x14ac:dyDescent="0.35">
      <c r="A50" s="2">
        <v>1904232</v>
      </c>
      <c r="B50" s="2">
        <v>5</v>
      </c>
      <c r="C50" s="2">
        <v>1</v>
      </c>
      <c r="D50" s="2">
        <v>20</v>
      </c>
      <c r="E50" s="2">
        <v>10</v>
      </c>
      <c r="F50" s="2">
        <v>30</v>
      </c>
      <c r="G50" s="2">
        <v>3</v>
      </c>
      <c r="I50">
        <v>2707222</v>
      </c>
      <c r="J50">
        <v>7</v>
      </c>
      <c r="K50">
        <v>1</v>
      </c>
      <c r="L50">
        <v>42</v>
      </c>
      <c r="M50">
        <v>14</v>
      </c>
      <c r="N50">
        <v>56</v>
      </c>
      <c r="O50">
        <v>0</v>
      </c>
      <c r="R50">
        <v>90223</v>
      </c>
      <c r="S50">
        <v>7</v>
      </c>
      <c r="T50">
        <v>0</v>
      </c>
      <c r="U50">
        <v>42</v>
      </c>
      <c r="V50">
        <v>0</v>
      </c>
      <c r="W50">
        <v>42</v>
      </c>
      <c r="X50">
        <v>0</v>
      </c>
    </row>
    <row r="51" spans="1:24" x14ac:dyDescent="0.35">
      <c r="A51" s="2">
        <v>120623</v>
      </c>
      <c r="B51" s="2">
        <v>8</v>
      </c>
      <c r="C51" s="2">
        <v>0</v>
      </c>
      <c r="D51" s="2">
        <v>56</v>
      </c>
      <c r="E51" s="2">
        <v>0</v>
      </c>
      <c r="F51" s="2">
        <v>56</v>
      </c>
      <c r="G51" s="2">
        <v>3</v>
      </c>
      <c r="I51">
        <v>280722</v>
      </c>
      <c r="J51">
        <v>6</v>
      </c>
      <c r="K51">
        <v>0</v>
      </c>
      <c r="L51">
        <v>30</v>
      </c>
      <c r="M51">
        <v>0</v>
      </c>
      <c r="N51">
        <v>30</v>
      </c>
      <c r="O51">
        <v>0</v>
      </c>
      <c r="R51" s="2">
        <v>100223</v>
      </c>
      <c r="S51" s="2">
        <v>6</v>
      </c>
      <c r="T51" s="2">
        <v>0</v>
      </c>
      <c r="U51" s="2">
        <v>30</v>
      </c>
      <c r="V51" s="2">
        <v>0</v>
      </c>
      <c r="W51" s="2">
        <v>30</v>
      </c>
      <c r="X51" s="2">
        <v>2</v>
      </c>
    </row>
    <row r="52" spans="1:24" x14ac:dyDescent="0.35">
      <c r="A52" s="2">
        <v>50923</v>
      </c>
      <c r="B52" s="2">
        <v>8</v>
      </c>
      <c r="C52" s="2">
        <v>0</v>
      </c>
      <c r="D52" s="2">
        <v>56</v>
      </c>
      <c r="E52" s="2">
        <v>0</v>
      </c>
      <c r="F52" s="2">
        <v>56</v>
      </c>
      <c r="G52" s="2">
        <v>1</v>
      </c>
      <c r="I52" s="2">
        <v>290722</v>
      </c>
      <c r="J52" s="2">
        <v>7</v>
      </c>
      <c r="K52" s="2">
        <v>0</v>
      </c>
      <c r="L52" s="2">
        <v>42</v>
      </c>
      <c r="M52" s="2">
        <v>0</v>
      </c>
      <c r="N52" s="2">
        <v>42</v>
      </c>
      <c r="O52" s="2">
        <v>1</v>
      </c>
      <c r="R52">
        <v>270323</v>
      </c>
      <c r="S52">
        <v>8</v>
      </c>
      <c r="T52">
        <v>0</v>
      </c>
      <c r="U52">
        <v>56</v>
      </c>
      <c r="V52">
        <v>0</v>
      </c>
      <c r="W52">
        <v>56</v>
      </c>
      <c r="X52">
        <v>0</v>
      </c>
    </row>
    <row r="53" spans="1:24" x14ac:dyDescent="0.35">
      <c r="A53" s="8">
        <v>60923</v>
      </c>
      <c r="B53">
        <v>8</v>
      </c>
      <c r="C53">
        <v>0</v>
      </c>
      <c r="D53">
        <v>56</v>
      </c>
      <c r="E53">
        <v>0</v>
      </c>
      <c r="F53">
        <v>56</v>
      </c>
      <c r="I53" s="2">
        <v>10822</v>
      </c>
      <c r="J53" s="2">
        <v>6</v>
      </c>
      <c r="K53" s="2">
        <v>0</v>
      </c>
      <c r="L53" s="2">
        <v>30</v>
      </c>
      <c r="M53" s="2">
        <v>0</v>
      </c>
      <c r="N53" s="2">
        <v>30</v>
      </c>
      <c r="O53" s="2">
        <v>1</v>
      </c>
      <c r="R53">
        <v>290323</v>
      </c>
      <c r="S53">
        <v>6</v>
      </c>
      <c r="T53">
        <v>0</v>
      </c>
      <c r="U53">
        <v>30</v>
      </c>
      <c r="V53">
        <v>0</v>
      </c>
      <c r="W53">
        <v>30</v>
      </c>
      <c r="X53">
        <v>0</v>
      </c>
    </row>
    <row r="54" spans="1:24" x14ac:dyDescent="0.35">
      <c r="A54">
        <v>609232</v>
      </c>
      <c r="B54">
        <v>8</v>
      </c>
      <c r="C54">
        <v>0</v>
      </c>
      <c r="D54">
        <v>56</v>
      </c>
      <c r="E54">
        <v>0</v>
      </c>
      <c r="F54">
        <v>56</v>
      </c>
      <c r="I54">
        <v>20822</v>
      </c>
      <c r="J54">
        <v>8</v>
      </c>
      <c r="K54">
        <v>0</v>
      </c>
      <c r="L54">
        <v>56</v>
      </c>
      <c r="M54">
        <v>0</v>
      </c>
      <c r="N54">
        <v>56</v>
      </c>
      <c r="O54">
        <v>0</v>
      </c>
      <c r="R54" s="2">
        <v>250423</v>
      </c>
      <c r="S54" s="2">
        <v>7</v>
      </c>
      <c r="T54" s="2">
        <v>1</v>
      </c>
      <c r="U54" s="2">
        <v>42</v>
      </c>
      <c r="V54" s="2">
        <v>14</v>
      </c>
      <c r="W54" s="2">
        <v>56</v>
      </c>
      <c r="X54" s="2">
        <v>2</v>
      </c>
    </row>
    <row r="55" spans="1:24" x14ac:dyDescent="0.35">
      <c r="A55" s="2">
        <v>70923</v>
      </c>
      <c r="B55" s="2">
        <v>8</v>
      </c>
      <c r="C55" s="2">
        <v>0</v>
      </c>
      <c r="D55" s="2">
        <v>56</v>
      </c>
      <c r="E55" s="2">
        <v>0</v>
      </c>
      <c r="F55" s="2">
        <v>56</v>
      </c>
      <c r="G55" s="2">
        <v>2</v>
      </c>
      <c r="I55">
        <v>208222</v>
      </c>
      <c r="J55">
        <v>6</v>
      </c>
      <c r="K55">
        <v>0</v>
      </c>
      <c r="L55">
        <v>30</v>
      </c>
      <c r="M55">
        <v>0</v>
      </c>
      <c r="N55">
        <v>30</v>
      </c>
      <c r="O55">
        <v>0</v>
      </c>
      <c r="R55">
        <v>260523</v>
      </c>
      <c r="S55">
        <v>5</v>
      </c>
      <c r="T55">
        <v>0</v>
      </c>
      <c r="U55">
        <v>20</v>
      </c>
      <c r="V55">
        <v>0</v>
      </c>
      <c r="W55">
        <v>20</v>
      </c>
      <c r="X55">
        <v>0</v>
      </c>
    </row>
    <row r="56" spans="1:24" x14ac:dyDescent="0.35">
      <c r="A56" s="2">
        <v>80923</v>
      </c>
      <c r="B56" s="2">
        <v>8</v>
      </c>
      <c r="C56" s="2">
        <v>0</v>
      </c>
      <c r="D56" s="2">
        <v>56</v>
      </c>
      <c r="E56" s="2">
        <v>0</v>
      </c>
      <c r="F56" s="2">
        <v>56</v>
      </c>
      <c r="G56" s="2">
        <v>2</v>
      </c>
      <c r="I56" s="2">
        <v>30822</v>
      </c>
      <c r="J56" s="2">
        <v>8</v>
      </c>
      <c r="K56" s="2">
        <v>0</v>
      </c>
      <c r="L56" s="2">
        <v>56</v>
      </c>
      <c r="M56" s="2">
        <v>0</v>
      </c>
      <c r="N56" s="2">
        <v>56</v>
      </c>
      <c r="O56" s="2">
        <v>2</v>
      </c>
      <c r="R56">
        <v>10623</v>
      </c>
      <c r="S56">
        <v>7</v>
      </c>
      <c r="T56">
        <v>0</v>
      </c>
      <c r="U56">
        <v>42</v>
      </c>
      <c r="V56">
        <v>0</v>
      </c>
      <c r="W56">
        <v>42</v>
      </c>
      <c r="X56">
        <v>0</v>
      </c>
    </row>
    <row r="57" spans="1:24" x14ac:dyDescent="0.35">
      <c r="A57" s="2">
        <v>110923</v>
      </c>
      <c r="B57" s="2">
        <v>7</v>
      </c>
      <c r="C57" s="2">
        <v>0</v>
      </c>
      <c r="D57" s="2">
        <v>42</v>
      </c>
      <c r="E57" s="2">
        <v>0</v>
      </c>
      <c r="F57" s="2">
        <v>56</v>
      </c>
      <c r="G57" s="2">
        <v>2</v>
      </c>
      <c r="I57" s="2">
        <v>308222</v>
      </c>
      <c r="J57" s="2">
        <v>8</v>
      </c>
      <c r="K57" s="2">
        <v>0</v>
      </c>
      <c r="L57" s="2">
        <v>56</v>
      </c>
      <c r="M57" s="2">
        <v>0</v>
      </c>
      <c r="N57" s="2">
        <v>56</v>
      </c>
      <c r="O57" s="2">
        <v>2</v>
      </c>
      <c r="R57">
        <v>310723</v>
      </c>
      <c r="S57">
        <v>8</v>
      </c>
      <c r="T57">
        <v>0</v>
      </c>
      <c r="U57">
        <v>56</v>
      </c>
      <c r="V57">
        <v>0</v>
      </c>
      <c r="W57">
        <v>56</v>
      </c>
      <c r="X57">
        <v>0</v>
      </c>
    </row>
    <row r="58" spans="1:24" x14ac:dyDescent="0.35">
      <c r="A58" s="2">
        <v>1109232</v>
      </c>
      <c r="B58" s="2">
        <v>6</v>
      </c>
      <c r="C58" s="2">
        <v>0</v>
      </c>
      <c r="D58" s="2">
        <v>30</v>
      </c>
      <c r="E58" s="2">
        <v>0</v>
      </c>
      <c r="F58" s="2">
        <v>30</v>
      </c>
      <c r="G58" s="2">
        <v>3</v>
      </c>
      <c r="I58">
        <v>40822</v>
      </c>
      <c r="J58">
        <v>5</v>
      </c>
      <c r="K58">
        <v>0</v>
      </c>
      <c r="L58">
        <v>20</v>
      </c>
      <c r="M58">
        <v>0</v>
      </c>
      <c r="N58">
        <v>20</v>
      </c>
      <c r="O58">
        <v>0</v>
      </c>
      <c r="R58">
        <v>10823</v>
      </c>
      <c r="S58">
        <v>6</v>
      </c>
      <c r="T58">
        <v>0</v>
      </c>
      <c r="U58">
        <v>30</v>
      </c>
      <c r="V58">
        <v>0</v>
      </c>
      <c r="W58">
        <v>30</v>
      </c>
      <c r="X58">
        <v>0</v>
      </c>
    </row>
    <row r="59" spans="1:24" x14ac:dyDescent="0.35">
      <c r="A59" s="2">
        <v>140923</v>
      </c>
      <c r="B59" s="2">
        <v>8</v>
      </c>
      <c r="C59" s="2">
        <v>0</v>
      </c>
      <c r="D59" s="2">
        <v>56</v>
      </c>
      <c r="E59" s="2">
        <v>0</v>
      </c>
      <c r="F59" s="2">
        <v>56</v>
      </c>
      <c r="G59" s="2">
        <v>2</v>
      </c>
      <c r="I59">
        <v>90822</v>
      </c>
      <c r="J59">
        <v>7</v>
      </c>
      <c r="K59">
        <v>0</v>
      </c>
      <c r="L59">
        <v>42</v>
      </c>
      <c r="M59">
        <v>0</v>
      </c>
      <c r="N59">
        <v>42</v>
      </c>
      <c r="O59">
        <v>0</v>
      </c>
      <c r="R59">
        <v>30823</v>
      </c>
      <c r="S59">
        <v>8</v>
      </c>
      <c r="T59">
        <v>0</v>
      </c>
      <c r="U59">
        <v>56</v>
      </c>
      <c r="V59">
        <v>0</v>
      </c>
      <c r="W59">
        <v>56</v>
      </c>
      <c r="X59">
        <v>0</v>
      </c>
    </row>
    <row r="60" spans="1:24" x14ac:dyDescent="0.35">
      <c r="A60">
        <v>150923</v>
      </c>
      <c r="B60">
        <v>7</v>
      </c>
      <c r="C60">
        <v>0</v>
      </c>
      <c r="D60">
        <v>42</v>
      </c>
      <c r="E60">
        <v>0</v>
      </c>
      <c r="F60">
        <v>42</v>
      </c>
      <c r="G60">
        <v>0</v>
      </c>
      <c r="I60" s="2">
        <v>908222</v>
      </c>
      <c r="J60" s="2">
        <v>7</v>
      </c>
      <c r="K60" s="2">
        <v>1</v>
      </c>
      <c r="L60" s="2">
        <v>42</v>
      </c>
      <c r="M60" s="2">
        <v>14</v>
      </c>
      <c r="N60" s="2">
        <v>56</v>
      </c>
      <c r="O60" s="2">
        <v>1</v>
      </c>
      <c r="R60">
        <v>131223</v>
      </c>
      <c r="S60">
        <v>8</v>
      </c>
      <c r="T60">
        <v>0</v>
      </c>
      <c r="U60">
        <v>56</v>
      </c>
      <c r="V60">
        <v>0</v>
      </c>
      <c r="W60">
        <v>56</v>
      </c>
      <c r="X60">
        <v>0</v>
      </c>
    </row>
    <row r="61" spans="1:24" x14ac:dyDescent="0.35">
      <c r="A61">
        <v>300124</v>
      </c>
      <c r="B61">
        <v>8</v>
      </c>
      <c r="C61">
        <v>0</v>
      </c>
      <c r="D61">
        <v>56</v>
      </c>
      <c r="E61">
        <v>0</v>
      </c>
      <c r="F61">
        <v>56</v>
      </c>
      <c r="G61">
        <v>0</v>
      </c>
      <c r="I61">
        <v>100822</v>
      </c>
      <c r="J61">
        <v>6</v>
      </c>
      <c r="K61">
        <v>0</v>
      </c>
      <c r="L61">
        <v>30</v>
      </c>
      <c r="M61">
        <v>0</v>
      </c>
      <c r="N61">
        <v>30</v>
      </c>
      <c r="O61">
        <v>0</v>
      </c>
      <c r="R61">
        <v>141223</v>
      </c>
      <c r="S61">
        <v>7</v>
      </c>
      <c r="T61">
        <v>0</v>
      </c>
      <c r="U61">
        <v>42</v>
      </c>
      <c r="V61">
        <v>0</v>
      </c>
      <c r="W61">
        <v>42</v>
      </c>
      <c r="X61">
        <v>0</v>
      </c>
    </row>
    <row r="62" spans="1:24" x14ac:dyDescent="0.35">
      <c r="A62" s="2">
        <v>3001242</v>
      </c>
      <c r="B62" s="2">
        <v>8</v>
      </c>
      <c r="C62" s="2">
        <v>0</v>
      </c>
      <c r="D62" s="2">
        <v>56</v>
      </c>
      <c r="E62" s="2">
        <v>0</v>
      </c>
      <c r="F62" s="2">
        <v>56</v>
      </c>
      <c r="G62" s="2">
        <v>3</v>
      </c>
      <c r="I62" s="2">
        <v>170822</v>
      </c>
      <c r="J62" s="2">
        <v>8</v>
      </c>
      <c r="K62" s="2">
        <v>0</v>
      </c>
      <c r="L62" s="2">
        <v>56</v>
      </c>
      <c r="M62" s="2">
        <v>0</v>
      </c>
      <c r="N62" s="2">
        <v>56</v>
      </c>
      <c r="O62" s="2">
        <v>1</v>
      </c>
      <c r="R62">
        <v>150124</v>
      </c>
      <c r="S62">
        <v>6</v>
      </c>
      <c r="T62">
        <v>0</v>
      </c>
      <c r="U62">
        <v>30</v>
      </c>
      <c r="V62">
        <v>0</v>
      </c>
      <c r="W62">
        <v>30</v>
      </c>
      <c r="X62">
        <v>0</v>
      </c>
    </row>
    <row r="63" spans="1:24" x14ac:dyDescent="0.35">
      <c r="A63" s="2">
        <v>310124</v>
      </c>
      <c r="B63" s="2">
        <v>8</v>
      </c>
      <c r="C63" s="2">
        <v>0</v>
      </c>
      <c r="D63" s="2">
        <v>56</v>
      </c>
      <c r="E63" s="2">
        <v>0</v>
      </c>
      <c r="F63" s="2">
        <v>56</v>
      </c>
      <c r="G63" s="2">
        <v>5</v>
      </c>
      <c r="I63" s="2">
        <v>190822</v>
      </c>
      <c r="J63" s="2">
        <v>7</v>
      </c>
      <c r="K63" s="2">
        <v>0</v>
      </c>
      <c r="L63" s="2">
        <v>42</v>
      </c>
      <c r="M63" s="2">
        <v>0</v>
      </c>
      <c r="N63" s="2">
        <v>42</v>
      </c>
      <c r="O63" s="2">
        <v>1</v>
      </c>
      <c r="R63">
        <v>160124</v>
      </c>
      <c r="S63">
        <v>8</v>
      </c>
      <c r="T63">
        <v>0</v>
      </c>
      <c r="U63">
        <v>56</v>
      </c>
      <c r="V63">
        <v>0</v>
      </c>
      <c r="W63">
        <v>56</v>
      </c>
      <c r="X63">
        <v>0</v>
      </c>
    </row>
    <row r="64" spans="1:24" x14ac:dyDescent="0.35">
      <c r="A64">
        <v>3101242</v>
      </c>
      <c r="B64">
        <v>7</v>
      </c>
      <c r="C64">
        <v>0</v>
      </c>
      <c r="D64">
        <v>42</v>
      </c>
      <c r="E64">
        <v>0</v>
      </c>
      <c r="F64">
        <v>56</v>
      </c>
      <c r="G64">
        <v>0</v>
      </c>
      <c r="I64" s="2">
        <v>2608222</v>
      </c>
      <c r="J64" s="2">
        <v>6</v>
      </c>
      <c r="K64" s="2">
        <v>0</v>
      </c>
      <c r="L64" s="2">
        <v>30</v>
      </c>
      <c r="M64" s="2">
        <v>0</v>
      </c>
      <c r="N64" s="2">
        <v>30</v>
      </c>
      <c r="O64" s="2">
        <v>1</v>
      </c>
      <c r="R64">
        <v>1601242</v>
      </c>
      <c r="S64">
        <v>5</v>
      </c>
      <c r="T64">
        <v>0</v>
      </c>
      <c r="U64">
        <v>20</v>
      </c>
      <c r="V64">
        <v>0</v>
      </c>
      <c r="W64">
        <v>20</v>
      </c>
      <c r="X64">
        <v>0</v>
      </c>
    </row>
    <row r="65" spans="1:24" x14ac:dyDescent="0.35">
      <c r="A65">
        <v>20224</v>
      </c>
      <c r="B65">
        <v>8</v>
      </c>
      <c r="C65">
        <v>0</v>
      </c>
      <c r="D65">
        <v>56</v>
      </c>
      <c r="E65">
        <v>0</v>
      </c>
      <c r="F65">
        <v>56</v>
      </c>
      <c r="G65">
        <v>0</v>
      </c>
      <c r="I65">
        <v>310822</v>
      </c>
      <c r="J65">
        <v>8</v>
      </c>
      <c r="K65">
        <v>0</v>
      </c>
      <c r="L65">
        <v>56</v>
      </c>
      <c r="M65">
        <v>0</v>
      </c>
      <c r="N65">
        <v>56</v>
      </c>
      <c r="O65">
        <v>0</v>
      </c>
      <c r="R65">
        <v>60324</v>
      </c>
      <c r="S65">
        <v>6</v>
      </c>
      <c r="T65">
        <v>0</v>
      </c>
      <c r="U65">
        <v>30</v>
      </c>
      <c r="V65">
        <v>0</v>
      </c>
      <c r="W65">
        <v>30</v>
      </c>
      <c r="X65">
        <v>0</v>
      </c>
    </row>
    <row r="66" spans="1:24" x14ac:dyDescent="0.35">
      <c r="A66">
        <v>202242</v>
      </c>
      <c r="B66">
        <v>7</v>
      </c>
      <c r="C66">
        <v>1</v>
      </c>
      <c r="D66">
        <v>42</v>
      </c>
      <c r="E66">
        <v>14</v>
      </c>
      <c r="F66">
        <v>56</v>
      </c>
      <c r="G66">
        <v>0</v>
      </c>
      <c r="I66" s="2">
        <v>109222</v>
      </c>
      <c r="J66" s="2">
        <v>7</v>
      </c>
      <c r="K66" s="2">
        <v>0</v>
      </c>
      <c r="L66" s="2">
        <v>42</v>
      </c>
      <c r="M66" s="2">
        <v>0</v>
      </c>
      <c r="N66" s="2">
        <v>42</v>
      </c>
      <c r="O66" s="2">
        <v>2</v>
      </c>
      <c r="R66" s="2">
        <v>70324</v>
      </c>
      <c r="S66" s="2">
        <v>8</v>
      </c>
      <c r="T66" s="2">
        <v>0</v>
      </c>
      <c r="U66" s="2">
        <v>56</v>
      </c>
      <c r="V66" s="2">
        <v>0</v>
      </c>
      <c r="W66" s="2">
        <v>56</v>
      </c>
      <c r="X66" s="2">
        <v>1</v>
      </c>
    </row>
    <row r="67" spans="1:24" x14ac:dyDescent="0.35">
      <c r="A67">
        <v>50224</v>
      </c>
      <c r="B67">
        <v>7</v>
      </c>
      <c r="C67">
        <v>0</v>
      </c>
      <c r="D67">
        <v>42</v>
      </c>
      <c r="E67">
        <v>0</v>
      </c>
      <c r="F67">
        <v>42</v>
      </c>
      <c r="G67">
        <v>0</v>
      </c>
      <c r="I67" s="2">
        <v>50723</v>
      </c>
      <c r="J67" s="2">
        <v>7</v>
      </c>
      <c r="K67" s="2">
        <v>0</v>
      </c>
      <c r="L67" s="2">
        <v>42</v>
      </c>
      <c r="M67" s="2">
        <v>0</v>
      </c>
      <c r="N67" s="2">
        <v>42</v>
      </c>
      <c r="O67" s="2">
        <v>2</v>
      </c>
      <c r="R67">
        <v>130324</v>
      </c>
      <c r="S67">
        <v>6</v>
      </c>
      <c r="T67">
        <v>0</v>
      </c>
      <c r="U67">
        <v>30</v>
      </c>
      <c r="V67">
        <v>0</v>
      </c>
      <c r="W67">
        <v>30</v>
      </c>
      <c r="X67">
        <v>0</v>
      </c>
    </row>
    <row r="68" spans="1:24" x14ac:dyDescent="0.35">
      <c r="A68" s="2">
        <v>502242</v>
      </c>
      <c r="B68" s="2">
        <v>4</v>
      </c>
      <c r="C68" s="2">
        <v>0</v>
      </c>
      <c r="D68" s="2">
        <v>12</v>
      </c>
      <c r="E68" s="2">
        <v>0</v>
      </c>
      <c r="F68" s="2">
        <v>12</v>
      </c>
      <c r="G68" s="2">
        <v>2</v>
      </c>
      <c r="I68" s="2">
        <v>507232</v>
      </c>
      <c r="J68" s="2">
        <v>8</v>
      </c>
      <c r="K68" s="2">
        <v>0</v>
      </c>
      <c r="L68" s="2">
        <v>56</v>
      </c>
      <c r="M68" s="2">
        <v>0</v>
      </c>
      <c r="N68" s="2">
        <v>56</v>
      </c>
      <c r="O68" s="2">
        <v>1</v>
      </c>
      <c r="R68" t="s">
        <v>128</v>
      </c>
      <c r="S68">
        <v>7</v>
      </c>
      <c r="T68">
        <v>0</v>
      </c>
      <c r="U68">
        <v>48</v>
      </c>
      <c r="V68">
        <v>0</v>
      </c>
      <c r="W68">
        <v>48</v>
      </c>
      <c r="X68">
        <v>0</v>
      </c>
    </row>
    <row r="69" spans="1:24" x14ac:dyDescent="0.35">
      <c r="A69">
        <v>60224</v>
      </c>
      <c r="B69">
        <v>7</v>
      </c>
      <c r="C69">
        <v>0</v>
      </c>
      <c r="D69">
        <v>42</v>
      </c>
      <c r="E69">
        <v>0</v>
      </c>
      <c r="F69">
        <v>42</v>
      </c>
      <c r="G69">
        <v>0</v>
      </c>
      <c r="I69">
        <v>110723</v>
      </c>
      <c r="J69">
        <v>6</v>
      </c>
      <c r="K69">
        <v>0</v>
      </c>
      <c r="L69">
        <v>30</v>
      </c>
      <c r="M69">
        <v>0</v>
      </c>
      <c r="N69">
        <v>30</v>
      </c>
      <c r="O69">
        <v>0</v>
      </c>
      <c r="R69" s="2">
        <v>150324</v>
      </c>
      <c r="S69" s="2">
        <v>8</v>
      </c>
      <c r="T69" s="2">
        <v>0</v>
      </c>
      <c r="U69" s="2">
        <v>56</v>
      </c>
      <c r="V69" s="2">
        <v>0</v>
      </c>
      <c r="W69" s="2">
        <v>56</v>
      </c>
      <c r="X69" s="2">
        <v>1</v>
      </c>
    </row>
    <row r="70" spans="1:24" x14ac:dyDescent="0.35">
      <c r="A70" s="2">
        <v>602242</v>
      </c>
      <c r="B70" s="2">
        <v>6</v>
      </c>
      <c r="C70" s="2">
        <v>0</v>
      </c>
      <c r="D70" s="2">
        <v>30</v>
      </c>
      <c r="E70" s="2">
        <v>0</v>
      </c>
      <c r="F70" s="2">
        <v>30</v>
      </c>
      <c r="G70" s="2">
        <v>1</v>
      </c>
      <c r="I70">
        <v>1107232</v>
      </c>
      <c r="J70">
        <v>7</v>
      </c>
      <c r="K70">
        <v>0</v>
      </c>
      <c r="L70">
        <v>42</v>
      </c>
      <c r="M70">
        <v>0</v>
      </c>
      <c r="N70">
        <v>42</v>
      </c>
      <c r="O70">
        <v>0</v>
      </c>
      <c r="R70" s="2">
        <v>190324</v>
      </c>
      <c r="S70" s="2">
        <v>8</v>
      </c>
      <c r="T70" s="2">
        <v>0</v>
      </c>
      <c r="U70" s="2">
        <v>56</v>
      </c>
      <c r="V70" s="2">
        <v>0</v>
      </c>
      <c r="W70" s="2">
        <v>56</v>
      </c>
      <c r="X70" s="2">
        <v>2</v>
      </c>
    </row>
    <row r="71" spans="1:24" x14ac:dyDescent="0.35">
      <c r="A71">
        <v>80224</v>
      </c>
      <c r="B71">
        <v>8</v>
      </c>
      <c r="C71">
        <v>0</v>
      </c>
      <c r="D71">
        <v>56</v>
      </c>
      <c r="E71">
        <v>0</v>
      </c>
      <c r="F71">
        <v>56</v>
      </c>
      <c r="G71">
        <v>0</v>
      </c>
      <c r="I71">
        <v>200723</v>
      </c>
      <c r="J71">
        <v>8</v>
      </c>
      <c r="K71">
        <v>0</v>
      </c>
      <c r="L71">
        <v>56</v>
      </c>
      <c r="M71">
        <v>0</v>
      </c>
      <c r="N71">
        <v>56</v>
      </c>
      <c r="O71">
        <v>0</v>
      </c>
      <c r="R71">
        <v>200324</v>
      </c>
      <c r="S71">
        <v>7</v>
      </c>
      <c r="T71">
        <v>0</v>
      </c>
      <c r="U71">
        <v>42</v>
      </c>
      <c r="V71">
        <v>0</v>
      </c>
      <c r="W71">
        <v>42</v>
      </c>
      <c r="X71">
        <v>0</v>
      </c>
    </row>
    <row r="72" spans="1:24" x14ac:dyDescent="0.35">
      <c r="A72" s="2">
        <v>802242</v>
      </c>
      <c r="B72" s="2">
        <v>6</v>
      </c>
      <c r="C72" s="2">
        <v>0</v>
      </c>
      <c r="D72" s="2">
        <v>30</v>
      </c>
      <c r="E72" s="2">
        <v>0</v>
      </c>
      <c r="F72" s="2">
        <v>30</v>
      </c>
      <c r="G72" s="2">
        <v>1</v>
      </c>
      <c r="I72" s="2">
        <v>221223</v>
      </c>
      <c r="J72" s="2">
        <v>8</v>
      </c>
      <c r="K72" s="2">
        <v>0</v>
      </c>
      <c r="L72" s="2">
        <v>56</v>
      </c>
      <c r="M72" s="2">
        <v>0</v>
      </c>
      <c r="N72" s="2">
        <v>56</v>
      </c>
      <c r="O72" s="2">
        <v>1</v>
      </c>
      <c r="R72" s="2">
        <v>210324</v>
      </c>
      <c r="S72" s="2">
        <v>8</v>
      </c>
      <c r="T72" s="2">
        <v>0</v>
      </c>
      <c r="U72" s="2">
        <v>56</v>
      </c>
      <c r="V72" s="2">
        <v>0</v>
      </c>
      <c r="W72" s="2">
        <v>56</v>
      </c>
      <c r="X72" s="2">
        <v>1</v>
      </c>
    </row>
    <row r="73" spans="1:24" ht="13.15" x14ac:dyDescent="0.4">
      <c r="B73" s="1"/>
      <c r="C73" s="1"/>
      <c r="D73" s="1"/>
      <c r="E73" s="1"/>
      <c r="F73" s="1"/>
      <c r="G73" s="1"/>
      <c r="I73">
        <v>120224</v>
      </c>
      <c r="J73">
        <v>7</v>
      </c>
      <c r="K73">
        <v>1</v>
      </c>
      <c r="L73">
        <v>42</v>
      </c>
      <c r="M73">
        <v>0</v>
      </c>
      <c r="N73">
        <v>56</v>
      </c>
      <c r="O73">
        <v>0</v>
      </c>
      <c r="R73" s="2">
        <v>250324</v>
      </c>
      <c r="S73" s="2">
        <v>8</v>
      </c>
      <c r="T73" s="2">
        <v>0</v>
      </c>
      <c r="U73" s="2">
        <v>56</v>
      </c>
      <c r="V73" s="2">
        <v>0</v>
      </c>
      <c r="W73" s="2">
        <v>56</v>
      </c>
      <c r="X73" s="2">
        <v>2</v>
      </c>
    </row>
    <row r="74" spans="1:24" x14ac:dyDescent="0.35">
      <c r="I74">
        <v>130224</v>
      </c>
      <c r="J74">
        <v>6</v>
      </c>
      <c r="K74">
        <v>0</v>
      </c>
      <c r="L74">
        <v>30</v>
      </c>
      <c r="M74">
        <v>0</v>
      </c>
      <c r="N74">
        <v>30</v>
      </c>
      <c r="O74">
        <v>0</v>
      </c>
      <c r="R74">
        <v>260324</v>
      </c>
      <c r="S74">
        <v>8</v>
      </c>
      <c r="T74">
        <v>0</v>
      </c>
      <c r="U74">
        <v>56</v>
      </c>
      <c r="V74">
        <v>0</v>
      </c>
      <c r="W74">
        <v>56</v>
      </c>
      <c r="X74">
        <v>0</v>
      </c>
    </row>
    <row r="75" spans="1:24" x14ac:dyDescent="0.35">
      <c r="I75" s="2">
        <v>1302242</v>
      </c>
      <c r="J75" s="2">
        <v>7</v>
      </c>
      <c r="K75" s="2">
        <v>0</v>
      </c>
      <c r="L75" s="2">
        <v>42</v>
      </c>
      <c r="M75" s="2">
        <v>0</v>
      </c>
      <c r="N75" s="2">
        <v>42</v>
      </c>
      <c r="O75" s="2">
        <v>1</v>
      </c>
      <c r="R75">
        <v>270324</v>
      </c>
      <c r="S75">
        <v>6</v>
      </c>
      <c r="T75">
        <v>0</v>
      </c>
      <c r="U75">
        <v>30</v>
      </c>
      <c r="V75">
        <v>0</v>
      </c>
      <c r="W75">
        <v>30</v>
      </c>
      <c r="X75">
        <v>0</v>
      </c>
    </row>
    <row r="76" spans="1:24" x14ac:dyDescent="0.35">
      <c r="I76">
        <v>150224</v>
      </c>
      <c r="J76">
        <v>6</v>
      </c>
      <c r="K76">
        <v>1</v>
      </c>
      <c r="L76">
        <v>20</v>
      </c>
      <c r="M76">
        <v>0</v>
      </c>
      <c r="N76">
        <v>30</v>
      </c>
      <c r="O76">
        <v>0</v>
      </c>
      <c r="R76">
        <v>280324</v>
      </c>
      <c r="S76">
        <v>7</v>
      </c>
      <c r="T76">
        <v>0</v>
      </c>
      <c r="U76">
        <v>42</v>
      </c>
      <c r="V76">
        <v>0</v>
      </c>
      <c r="W76">
        <v>42</v>
      </c>
      <c r="X76">
        <v>0</v>
      </c>
    </row>
    <row r="77" spans="1:24" x14ac:dyDescent="0.35">
      <c r="A77" s="2"/>
      <c r="B77" t="s">
        <v>746</v>
      </c>
      <c r="I77" s="2">
        <v>190224</v>
      </c>
      <c r="J77" s="2">
        <v>7</v>
      </c>
      <c r="K77" s="2">
        <v>0</v>
      </c>
      <c r="L77" s="2">
        <v>42</v>
      </c>
      <c r="M77" s="2">
        <v>0</v>
      </c>
      <c r="N77" s="2">
        <v>42</v>
      </c>
      <c r="O77" s="2">
        <v>1</v>
      </c>
      <c r="R77">
        <v>290324</v>
      </c>
      <c r="S77">
        <v>5</v>
      </c>
      <c r="T77">
        <v>0</v>
      </c>
      <c r="U77">
        <v>30</v>
      </c>
      <c r="V77">
        <v>0</v>
      </c>
      <c r="W77">
        <v>30</v>
      </c>
      <c r="X77">
        <v>0</v>
      </c>
    </row>
    <row r="78" spans="1:24" x14ac:dyDescent="0.35">
      <c r="I78">
        <v>200224</v>
      </c>
      <c r="J78">
        <v>5</v>
      </c>
      <c r="K78">
        <v>0</v>
      </c>
      <c r="L78">
        <v>20</v>
      </c>
      <c r="M78">
        <v>0</v>
      </c>
      <c r="N78">
        <v>20</v>
      </c>
      <c r="O78">
        <v>0</v>
      </c>
      <c r="R78">
        <v>110624</v>
      </c>
      <c r="S78">
        <v>6</v>
      </c>
      <c r="T78">
        <v>0</v>
      </c>
      <c r="U78">
        <v>30</v>
      </c>
      <c r="V78">
        <v>0</v>
      </c>
      <c r="W78">
        <v>30</v>
      </c>
      <c r="X78">
        <v>0</v>
      </c>
    </row>
    <row r="79" spans="1:24" x14ac:dyDescent="0.35">
      <c r="I79">
        <v>2002242</v>
      </c>
      <c r="J79">
        <v>7</v>
      </c>
      <c r="K79">
        <v>0</v>
      </c>
      <c r="L79">
        <v>42</v>
      </c>
      <c r="M79">
        <v>0</v>
      </c>
      <c r="N79">
        <v>42</v>
      </c>
      <c r="O79">
        <v>0</v>
      </c>
      <c r="R79">
        <v>1106242</v>
      </c>
      <c r="S79">
        <v>8</v>
      </c>
      <c r="T79">
        <v>0</v>
      </c>
      <c r="U79">
        <v>56</v>
      </c>
      <c r="V79">
        <v>0</v>
      </c>
      <c r="W79">
        <v>56</v>
      </c>
      <c r="X79">
        <v>0</v>
      </c>
    </row>
    <row r="80" spans="1:24" x14ac:dyDescent="0.35">
      <c r="I80">
        <v>210224</v>
      </c>
      <c r="J80">
        <v>8</v>
      </c>
      <c r="K80">
        <v>0</v>
      </c>
      <c r="L80">
        <v>56</v>
      </c>
      <c r="M80">
        <v>0</v>
      </c>
      <c r="N80">
        <v>56</v>
      </c>
      <c r="O80">
        <v>0</v>
      </c>
      <c r="R80">
        <v>120624</v>
      </c>
      <c r="S80">
        <v>6</v>
      </c>
      <c r="T80">
        <v>0</v>
      </c>
      <c r="U80">
        <v>30</v>
      </c>
      <c r="V80">
        <v>0</v>
      </c>
      <c r="W80">
        <v>30</v>
      </c>
      <c r="X80">
        <v>0</v>
      </c>
    </row>
    <row r="81" spans="1:24" x14ac:dyDescent="0.35">
      <c r="I81">
        <v>270224</v>
      </c>
      <c r="J81">
        <v>7</v>
      </c>
      <c r="K81">
        <v>0</v>
      </c>
      <c r="L81">
        <v>42</v>
      </c>
      <c r="M81">
        <v>0</v>
      </c>
      <c r="N81">
        <v>42</v>
      </c>
      <c r="O81">
        <v>0</v>
      </c>
      <c r="R81">
        <v>1206242</v>
      </c>
      <c r="S81">
        <v>7</v>
      </c>
      <c r="T81">
        <v>0</v>
      </c>
      <c r="U81">
        <v>42</v>
      </c>
      <c r="V81">
        <v>0</v>
      </c>
      <c r="W81">
        <v>42</v>
      </c>
      <c r="X81">
        <v>0</v>
      </c>
    </row>
    <row r="82" spans="1:24" ht="13.15" x14ac:dyDescent="0.4">
      <c r="A82" s="39" t="s">
        <v>747</v>
      </c>
      <c r="B82" s="39"/>
      <c r="C82" s="39"/>
      <c r="D82" s="39"/>
      <c r="I82" s="2">
        <v>280224</v>
      </c>
      <c r="J82" s="2">
        <v>8</v>
      </c>
      <c r="K82" s="2">
        <v>0</v>
      </c>
      <c r="L82" s="2">
        <v>56</v>
      </c>
      <c r="M82" s="2">
        <v>0</v>
      </c>
      <c r="N82" s="2">
        <v>56</v>
      </c>
      <c r="O82" s="2">
        <v>2</v>
      </c>
      <c r="R82">
        <v>130624</v>
      </c>
      <c r="S82">
        <v>8</v>
      </c>
      <c r="T82">
        <v>0</v>
      </c>
      <c r="U82">
        <v>56</v>
      </c>
      <c r="V82">
        <v>0</v>
      </c>
      <c r="W82">
        <v>56</v>
      </c>
      <c r="X82">
        <v>0</v>
      </c>
    </row>
    <row r="83" spans="1:24" x14ac:dyDescent="0.35">
      <c r="A83">
        <v>1</v>
      </c>
      <c r="B83">
        <v>291121</v>
      </c>
      <c r="C83" t="s">
        <v>748</v>
      </c>
      <c r="D83" t="s">
        <v>749</v>
      </c>
      <c r="I83" s="2">
        <v>290224</v>
      </c>
      <c r="J83" s="2">
        <v>7</v>
      </c>
      <c r="K83" s="2">
        <v>0</v>
      </c>
      <c r="L83" s="2">
        <v>42</v>
      </c>
      <c r="M83" s="2">
        <v>0</v>
      </c>
      <c r="N83" s="2">
        <v>42</v>
      </c>
      <c r="O83" s="2">
        <v>2</v>
      </c>
      <c r="R83" s="2">
        <v>1306242</v>
      </c>
      <c r="S83" s="2">
        <v>8</v>
      </c>
      <c r="T83" s="2">
        <v>0</v>
      </c>
      <c r="U83" s="2">
        <v>56</v>
      </c>
      <c r="V83" s="2">
        <v>0</v>
      </c>
      <c r="W83" s="2">
        <v>56</v>
      </c>
      <c r="X83" s="2">
        <v>2</v>
      </c>
    </row>
    <row r="84" spans="1:24" ht="13.15" x14ac:dyDescent="0.4">
      <c r="A84">
        <v>2</v>
      </c>
      <c r="B84">
        <v>291121</v>
      </c>
      <c r="C84" t="s">
        <v>750</v>
      </c>
      <c r="D84" t="s">
        <v>751</v>
      </c>
      <c r="I84" s="2">
        <v>140624</v>
      </c>
      <c r="J84" s="2">
        <v>7</v>
      </c>
      <c r="K84" s="2">
        <v>0</v>
      </c>
      <c r="L84" s="2">
        <v>42</v>
      </c>
      <c r="M84" s="2">
        <v>0</v>
      </c>
      <c r="N84" s="2">
        <v>42</v>
      </c>
      <c r="O84" s="2">
        <v>1</v>
      </c>
      <c r="S84" s="1"/>
      <c r="U84" s="1"/>
      <c r="W84" s="1"/>
      <c r="X84" s="1"/>
    </row>
    <row r="85" spans="1:24" ht="13.15" x14ac:dyDescent="0.4">
      <c r="A85">
        <v>3</v>
      </c>
      <c r="B85">
        <v>291121</v>
      </c>
      <c r="C85" t="s">
        <v>752</v>
      </c>
      <c r="D85" t="s">
        <v>753</v>
      </c>
      <c r="J85" s="1"/>
      <c r="K85" s="1"/>
      <c r="L85" s="1"/>
      <c r="M85" s="1"/>
      <c r="N85" s="1"/>
      <c r="O85" s="1"/>
    </row>
    <row r="88" spans="1:24" x14ac:dyDescent="0.35">
      <c r="A88">
        <v>4</v>
      </c>
      <c r="B88">
        <v>21221</v>
      </c>
      <c r="C88" t="s">
        <v>754</v>
      </c>
      <c r="D88" t="s">
        <v>755</v>
      </c>
      <c r="I88" s="2"/>
      <c r="J88" t="s">
        <v>746</v>
      </c>
      <c r="R88" s="2"/>
      <c r="S88" t="s">
        <v>746</v>
      </c>
    </row>
    <row r="91" spans="1:24" ht="13.15" x14ac:dyDescent="0.4">
      <c r="A91">
        <v>5</v>
      </c>
      <c r="B91">
        <v>712212</v>
      </c>
      <c r="C91" t="s">
        <v>756</v>
      </c>
      <c r="D91" t="s">
        <v>757</v>
      </c>
      <c r="I91" s="40" t="s">
        <v>758</v>
      </c>
      <c r="J91" s="40"/>
      <c r="K91" s="40"/>
      <c r="L91" s="40"/>
      <c r="R91" s="41" t="s">
        <v>759</v>
      </c>
      <c r="S91" s="41"/>
      <c r="T91" s="41"/>
      <c r="U91" s="41"/>
    </row>
    <row r="92" spans="1:24" x14ac:dyDescent="0.35">
      <c r="I92">
        <v>1</v>
      </c>
      <c r="J92">
        <v>70921</v>
      </c>
      <c r="K92" t="s">
        <v>760</v>
      </c>
      <c r="L92" t="s">
        <v>761</v>
      </c>
      <c r="R92">
        <v>1</v>
      </c>
      <c r="S92">
        <v>203222</v>
      </c>
      <c r="T92" t="s">
        <v>762</v>
      </c>
      <c r="U92" t="s">
        <v>763</v>
      </c>
    </row>
    <row r="93" spans="1:24" x14ac:dyDescent="0.35">
      <c r="I93">
        <v>2</v>
      </c>
      <c r="J93">
        <v>70921</v>
      </c>
      <c r="K93" t="s">
        <v>764</v>
      </c>
      <c r="L93" t="s">
        <v>765</v>
      </c>
      <c r="R93">
        <v>2</v>
      </c>
      <c r="S93">
        <v>203222</v>
      </c>
      <c r="T93" t="s">
        <v>766</v>
      </c>
      <c r="U93" t="s">
        <v>767</v>
      </c>
    </row>
    <row r="94" spans="1:24" x14ac:dyDescent="0.35">
      <c r="A94">
        <v>6</v>
      </c>
      <c r="B94">
        <v>1312212</v>
      </c>
      <c r="C94" t="s">
        <v>768</v>
      </c>
      <c r="D94" t="s">
        <v>769</v>
      </c>
      <c r="R94">
        <v>3</v>
      </c>
      <c r="S94">
        <v>203222</v>
      </c>
      <c r="T94" t="s">
        <v>770</v>
      </c>
      <c r="U94" t="s">
        <v>771</v>
      </c>
    </row>
    <row r="95" spans="1:24" x14ac:dyDescent="0.35">
      <c r="A95">
        <v>7</v>
      </c>
      <c r="B95">
        <v>1312212</v>
      </c>
      <c r="C95" t="s">
        <v>772</v>
      </c>
      <c r="D95" t="s">
        <v>773</v>
      </c>
      <c r="I95">
        <v>3</v>
      </c>
      <c r="J95">
        <v>150921</v>
      </c>
      <c r="K95" t="s">
        <v>774</v>
      </c>
      <c r="L95" t="s">
        <v>775</v>
      </c>
    </row>
    <row r="97" spans="1:21" x14ac:dyDescent="0.35">
      <c r="I97">
        <v>4</v>
      </c>
      <c r="J97">
        <v>1609212</v>
      </c>
      <c r="K97" t="s">
        <v>776</v>
      </c>
      <c r="L97" t="s">
        <v>777</v>
      </c>
      <c r="R97">
        <v>4</v>
      </c>
      <c r="S97">
        <v>80322</v>
      </c>
      <c r="T97" t="s">
        <v>768</v>
      </c>
      <c r="U97" t="s">
        <v>769</v>
      </c>
    </row>
    <row r="98" spans="1:21" x14ac:dyDescent="0.35">
      <c r="A98">
        <v>8</v>
      </c>
      <c r="B98">
        <v>201221</v>
      </c>
      <c r="C98" t="s">
        <v>778</v>
      </c>
      <c r="D98" t="s">
        <v>779</v>
      </c>
      <c r="R98">
        <v>5</v>
      </c>
      <c r="S98">
        <v>80322</v>
      </c>
      <c r="T98" t="s">
        <v>780</v>
      </c>
      <c r="U98" t="s">
        <v>781</v>
      </c>
    </row>
    <row r="99" spans="1:21" x14ac:dyDescent="0.35">
      <c r="I99">
        <v>5</v>
      </c>
      <c r="J99">
        <v>210921</v>
      </c>
      <c r="K99" t="s">
        <v>774</v>
      </c>
      <c r="L99" t="s">
        <v>775</v>
      </c>
    </row>
    <row r="101" spans="1:21" x14ac:dyDescent="0.35">
      <c r="A101">
        <v>9</v>
      </c>
      <c r="B101">
        <v>211221</v>
      </c>
      <c r="C101" t="s">
        <v>782</v>
      </c>
      <c r="D101" t="s">
        <v>783</v>
      </c>
      <c r="E101" t="s">
        <v>784</v>
      </c>
      <c r="I101">
        <v>6</v>
      </c>
      <c r="J101">
        <v>230921</v>
      </c>
      <c r="K101" t="s">
        <v>750</v>
      </c>
      <c r="L101" t="s">
        <v>751</v>
      </c>
      <c r="R101">
        <v>6</v>
      </c>
      <c r="S101">
        <v>100322</v>
      </c>
      <c r="T101" t="s">
        <v>785</v>
      </c>
      <c r="U101" t="s">
        <v>786</v>
      </c>
    </row>
    <row r="102" spans="1:21" x14ac:dyDescent="0.35">
      <c r="A102">
        <v>10</v>
      </c>
      <c r="B102">
        <v>211221</v>
      </c>
      <c r="C102" t="s">
        <v>787</v>
      </c>
      <c r="D102" t="s">
        <v>788</v>
      </c>
      <c r="R102">
        <v>7</v>
      </c>
      <c r="S102">
        <v>100322</v>
      </c>
      <c r="T102" t="s">
        <v>789</v>
      </c>
      <c r="U102" t="s">
        <v>790</v>
      </c>
    </row>
    <row r="103" spans="1:21" x14ac:dyDescent="0.35">
      <c r="I103">
        <v>7</v>
      </c>
      <c r="J103">
        <v>231121</v>
      </c>
      <c r="K103" t="s">
        <v>750</v>
      </c>
      <c r="L103" t="s">
        <v>751</v>
      </c>
    </row>
    <row r="104" spans="1:21" x14ac:dyDescent="0.35">
      <c r="R104">
        <v>8</v>
      </c>
      <c r="S104">
        <v>240322</v>
      </c>
      <c r="T104" t="s">
        <v>768</v>
      </c>
      <c r="U104" t="s">
        <v>769</v>
      </c>
    </row>
    <row r="105" spans="1:21" x14ac:dyDescent="0.35">
      <c r="A105">
        <v>11</v>
      </c>
      <c r="B105">
        <v>221221</v>
      </c>
      <c r="C105" t="s">
        <v>768</v>
      </c>
      <c r="D105" t="s">
        <v>769</v>
      </c>
      <c r="I105">
        <v>8</v>
      </c>
      <c r="J105">
        <v>260722</v>
      </c>
      <c r="K105" t="s">
        <v>791</v>
      </c>
      <c r="L105" t="s">
        <v>792</v>
      </c>
    </row>
    <row r="106" spans="1:21" x14ac:dyDescent="0.35">
      <c r="A106">
        <v>12</v>
      </c>
      <c r="B106">
        <v>221221</v>
      </c>
      <c r="C106" t="s">
        <v>793</v>
      </c>
      <c r="D106" t="s">
        <v>794</v>
      </c>
      <c r="I106">
        <v>9</v>
      </c>
      <c r="J106">
        <v>260722</v>
      </c>
      <c r="K106" t="s">
        <v>795</v>
      </c>
      <c r="L106" t="s">
        <v>796</v>
      </c>
      <c r="R106">
        <v>9</v>
      </c>
      <c r="S106">
        <v>60422</v>
      </c>
      <c r="T106" t="s">
        <v>793</v>
      </c>
      <c r="U106" t="s">
        <v>794</v>
      </c>
    </row>
    <row r="108" spans="1:21" x14ac:dyDescent="0.35">
      <c r="I108">
        <v>10</v>
      </c>
      <c r="J108">
        <v>290722</v>
      </c>
      <c r="K108" t="s">
        <v>797</v>
      </c>
      <c r="L108" t="s">
        <v>798</v>
      </c>
      <c r="R108">
        <v>10</v>
      </c>
      <c r="S108">
        <v>200422</v>
      </c>
      <c r="T108" t="s">
        <v>791</v>
      </c>
      <c r="U108" t="s">
        <v>792</v>
      </c>
    </row>
    <row r="109" spans="1:21" x14ac:dyDescent="0.35">
      <c r="A109">
        <v>13</v>
      </c>
      <c r="B109">
        <v>231221</v>
      </c>
      <c r="C109" t="s">
        <v>778</v>
      </c>
      <c r="D109" t="s">
        <v>779</v>
      </c>
    </row>
    <row r="110" spans="1:21" x14ac:dyDescent="0.35">
      <c r="I110">
        <v>11</v>
      </c>
      <c r="J110">
        <v>10822</v>
      </c>
      <c r="K110" t="s">
        <v>766</v>
      </c>
      <c r="L110" t="s">
        <v>767</v>
      </c>
      <c r="R110">
        <v>11</v>
      </c>
      <c r="S110">
        <v>204222</v>
      </c>
      <c r="T110" t="s">
        <v>799</v>
      </c>
      <c r="U110" t="s">
        <v>800</v>
      </c>
    </row>
    <row r="112" spans="1:21" x14ac:dyDescent="0.35">
      <c r="A112">
        <v>14</v>
      </c>
      <c r="B112">
        <v>180122</v>
      </c>
      <c r="C112" t="s">
        <v>768</v>
      </c>
      <c r="D112" t="s">
        <v>769</v>
      </c>
      <c r="I112">
        <v>12</v>
      </c>
      <c r="J112">
        <v>30822</v>
      </c>
      <c r="K112" t="s">
        <v>789</v>
      </c>
      <c r="L112" t="s">
        <v>790</v>
      </c>
      <c r="R112">
        <v>12</v>
      </c>
      <c r="S112">
        <v>280422</v>
      </c>
      <c r="T112" t="s">
        <v>801</v>
      </c>
      <c r="U112" t="s">
        <v>802</v>
      </c>
    </row>
    <row r="113" spans="1:21" x14ac:dyDescent="0.35">
      <c r="I113">
        <v>13</v>
      </c>
      <c r="J113">
        <v>30822</v>
      </c>
      <c r="K113" t="s">
        <v>772</v>
      </c>
      <c r="L113" t="s">
        <v>773</v>
      </c>
    </row>
    <row r="114" spans="1:21" x14ac:dyDescent="0.35">
      <c r="R114">
        <v>13</v>
      </c>
      <c r="S114">
        <v>110722</v>
      </c>
      <c r="T114" t="s">
        <v>797</v>
      </c>
      <c r="U114" t="s">
        <v>798</v>
      </c>
    </row>
    <row r="115" spans="1:21" x14ac:dyDescent="0.35">
      <c r="A115">
        <v>15</v>
      </c>
      <c r="B115">
        <v>1801222</v>
      </c>
      <c r="C115" t="s">
        <v>803</v>
      </c>
      <c r="D115" t="s">
        <v>804</v>
      </c>
      <c r="I115">
        <v>14</v>
      </c>
      <c r="J115">
        <v>308222</v>
      </c>
      <c r="K115" t="s">
        <v>750</v>
      </c>
      <c r="L115" t="s">
        <v>751</v>
      </c>
    </row>
    <row r="116" spans="1:21" x14ac:dyDescent="0.35">
      <c r="A116">
        <v>16</v>
      </c>
      <c r="B116">
        <v>1801222</v>
      </c>
      <c r="C116" t="s">
        <v>805</v>
      </c>
      <c r="D116" t="s">
        <v>806</v>
      </c>
      <c r="I116">
        <v>15</v>
      </c>
      <c r="J116">
        <v>308222</v>
      </c>
      <c r="K116" t="s">
        <v>807</v>
      </c>
      <c r="L116" t="s">
        <v>808</v>
      </c>
      <c r="R116">
        <v>14</v>
      </c>
      <c r="S116">
        <v>120722</v>
      </c>
      <c r="T116" t="s">
        <v>772</v>
      </c>
      <c r="U116" t="s">
        <v>773</v>
      </c>
    </row>
    <row r="118" spans="1:21" x14ac:dyDescent="0.35">
      <c r="I118">
        <v>16</v>
      </c>
      <c r="J118">
        <v>908222</v>
      </c>
      <c r="K118" t="s">
        <v>756</v>
      </c>
      <c r="L118" t="s">
        <v>757</v>
      </c>
      <c r="R118">
        <v>15</v>
      </c>
      <c r="S118">
        <v>110123</v>
      </c>
      <c r="T118" t="s">
        <v>787</v>
      </c>
      <c r="U118" t="s">
        <v>788</v>
      </c>
    </row>
    <row r="119" spans="1:21" x14ac:dyDescent="0.35">
      <c r="A119">
        <v>17</v>
      </c>
      <c r="B119">
        <v>2501222</v>
      </c>
      <c r="C119" t="s">
        <v>809</v>
      </c>
      <c r="D119" s="8" t="s">
        <v>810</v>
      </c>
    </row>
    <row r="120" spans="1:21" x14ac:dyDescent="0.35">
      <c r="A120">
        <v>18</v>
      </c>
      <c r="B120">
        <v>2501222</v>
      </c>
      <c r="C120" t="s">
        <v>780</v>
      </c>
      <c r="D120" t="s">
        <v>781</v>
      </c>
      <c r="I120">
        <v>17</v>
      </c>
      <c r="J120">
        <v>170822</v>
      </c>
      <c r="K120" t="s">
        <v>760</v>
      </c>
      <c r="L120" t="s">
        <v>761</v>
      </c>
      <c r="R120">
        <v>16</v>
      </c>
      <c r="S120">
        <v>100223</v>
      </c>
      <c r="T120" t="s">
        <v>774</v>
      </c>
      <c r="U120" t="s">
        <v>775</v>
      </c>
    </row>
    <row r="121" spans="1:21" x14ac:dyDescent="0.35">
      <c r="A121">
        <v>19</v>
      </c>
      <c r="B121">
        <v>2501222</v>
      </c>
      <c r="C121" t="s">
        <v>778</v>
      </c>
      <c r="D121" t="s">
        <v>779</v>
      </c>
      <c r="R121">
        <v>17</v>
      </c>
      <c r="S121">
        <v>100223</v>
      </c>
      <c r="T121" t="s">
        <v>780</v>
      </c>
      <c r="U121" t="s">
        <v>781</v>
      </c>
    </row>
    <row r="122" spans="1:21" x14ac:dyDescent="0.35">
      <c r="A122">
        <v>20</v>
      </c>
      <c r="B122">
        <v>2501222</v>
      </c>
      <c r="C122" t="s">
        <v>782</v>
      </c>
      <c r="D122" t="s">
        <v>783</v>
      </c>
      <c r="I122">
        <v>18</v>
      </c>
      <c r="J122">
        <v>190822</v>
      </c>
      <c r="K122" t="s">
        <v>811</v>
      </c>
      <c r="L122" t="s">
        <v>812</v>
      </c>
    </row>
    <row r="123" spans="1:21" x14ac:dyDescent="0.35">
      <c r="A123">
        <v>21</v>
      </c>
      <c r="B123">
        <v>2501222</v>
      </c>
      <c r="C123" t="s">
        <v>813</v>
      </c>
      <c r="D123" t="s">
        <v>814</v>
      </c>
      <c r="R123">
        <v>18</v>
      </c>
      <c r="S123">
        <v>250423</v>
      </c>
      <c r="T123" t="s">
        <v>815</v>
      </c>
      <c r="U123" t="s">
        <v>816</v>
      </c>
    </row>
    <row r="124" spans="1:21" x14ac:dyDescent="0.35">
      <c r="I124">
        <v>19</v>
      </c>
      <c r="J124">
        <v>260822</v>
      </c>
      <c r="K124" t="s">
        <v>813</v>
      </c>
      <c r="L124" t="s">
        <v>814</v>
      </c>
      <c r="R124">
        <v>19</v>
      </c>
      <c r="S124">
        <v>250423</v>
      </c>
      <c r="T124" t="s">
        <v>760</v>
      </c>
      <c r="U124" t="s">
        <v>761</v>
      </c>
    </row>
    <row r="126" spans="1:21" x14ac:dyDescent="0.35">
      <c r="A126">
        <v>22</v>
      </c>
      <c r="B126">
        <v>260122</v>
      </c>
      <c r="C126" t="s">
        <v>754</v>
      </c>
      <c r="D126" t="s">
        <v>755</v>
      </c>
      <c r="I126">
        <v>20</v>
      </c>
      <c r="J126">
        <v>109222</v>
      </c>
      <c r="K126" t="s">
        <v>762</v>
      </c>
      <c r="L126" t="s">
        <v>763</v>
      </c>
      <c r="R126">
        <v>20</v>
      </c>
      <c r="S126">
        <v>70324</v>
      </c>
      <c r="T126" t="s">
        <v>817</v>
      </c>
      <c r="U126" t="s">
        <v>818</v>
      </c>
    </row>
    <row r="127" spans="1:21" x14ac:dyDescent="0.35">
      <c r="A127">
        <v>23</v>
      </c>
      <c r="B127">
        <v>260122</v>
      </c>
      <c r="C127" t="s">
        <v>766</v>
      </c>
      <c r="D127" t="s">
        <v>767</v>
      </c>
      <c r="I127">
        <v>21</v>
      </c>
      <c r="J127">
        <v>109222</v>
      </c>
      <c r="K127" t="s">
        <v>793</v>
      </c>
      <c r="L127" t="s">
        <v>794</v>
      </c>
    </row>
    <row r="128" spans="1:21" x14ac:dyDescent="0.35">
      <c r="R128">
        <v>21</v>
      </c>
      <c r="S128">
        <v>150324</v>
      </c>
      <c r="T128" t="s">
        <v>754</v>
      </c>
      <c r="U128" t="s">
        <v>755</v>
      </c>
    </row>
    <row r="129" spans="1:21" x14ac:dyDescent="0.35">
      <c r="I129">
        <v>22</v>
      </c>
      <c r="J129">
        <v>50723</v>
      </c>
      <c r="K129" t="s">
        <v>760</v>
      </c>
      <c r="L129" t="s">
        <v>761</v>
      </c>
    </row>
    <row r="130" spans="1:21" x14ac:dyDescent="0.35">
      <c r="A130">
        <v>24</v>
      </c>
      <c r="B130">
        <v>2601222</v>
      </c>
      <c r="C130" t="s">
        <v>809</v>
      </c>
      <c r="D130" t="s">
        <v>810</v>
      </c>
      <c r="I130">
        <v>23</v>
      </c>
      <c r="J130">
        <v>50723</v>
      </c>
      <c r="K130" t="s">
        <v>756</v>
      </c>
      <c r="L130" t="s">
        <v>757</v>
      </c>
      <c r="R130">
        <v>22</v>
      </c>
      <c r="S130">
        <v>190324</v>
      </c>
      <c r="T130" t="s">
        <v>819</v>
      </c>
      <c r="U130" t="s">
        <v>820</v>
      </c>
    </row>
    <row r="131" spans="1:21" x14ac:dyDescent="0.35">
      <c r="A131">
        <v>25</v>
      </c>
      <c r="R131">
        <v>23</v>
      </c>
      <c r="S131">
        <v>190324</v>
      </c>
      <c r="T131" t="s">
        <v>821</v>
      </c>
      <c r="U131" t="s">
        <v>822</v>
      </c>
    </row>
    <row r="132" spans="1:21" x14ac:dyDescent="0.35">
      <c r="I132">
        <v>24</v>
      </c>
      <c r="J132">
        <v>507232</v>
      </c>
      <c r="K132" t="s">
        <v>803</v>
      </c>
      <c r="L132" t="s">
        <v>804</v>
      </c>
    </row>
    <row r="133" spans="1:21" x14ac:dyDescent="0.35">
      <c r="A133">
        <v>26</v>
      </c>
      <c r="B133">
        <v>10222</v>
      </c>
      <c r="C133" t="s">
        <v>823</v>
      </c>
      <c r="D133" t="s">
        <v>824</v>
      </c>
      <c r="R133">
        <v>24</v>
      </c>
      <c r="S133">
        <v>210324</v>
      </c>
      <c r="T133" t="s">
        <v>774</v>
      </c>
      <c r="U133" t="s">
        <v>775</v>
      </c>
    </row>
    <row r="134" spans="1:21" x14ac:dyDescent="0.35">
      <c r="I134">
        <v>25</v>
      </c>
      <c r="J134">
        <v>221223</v>
      </c>
      <c r="K134" t="s">
        <v>778</v>
      </c>
      <c r="L134" t="s">
        <v>779</v>
      </c>
    </row>
    <row r="135" spans="1:21" x14ac:dyDescent="0.35">
      <c r="R135">
        <v>25</v>
      </c>
      <c r="S135">
        <v>250324</v>
      </c>
      <c r="T135" t="s">
        <v>817</v>
      </c>
      <c r="U135" t="s">
        <v>818</v>
      </c>
    </row>
    <row r="136" spans="1:21" x14ac:dyDescent="0.35">
      <c r="A136">
        <v>27</v>
      </c>
      <c r="B136">
        <v>102222</v>
      </c>
      <c r="C136" t="s">
        <v>754</v>
      </c>
      <c r="D136" t="s">
        <v>755</v>
      </c>
      <c r="I136">
        <v>26</v>
      </c>
      <c r="J136">
        <v>1302242</v>
      </c>
      <c r="K136" t="s">
        <v>825</v>
      </c>
      <c r="L136" t="s">
        <v>826</v>
      </c>
      <c r="R136">
        <v>26</v>
      </c>
      <c r="S136">
        <v>250324</v>
      </c>
      <c r="T136" t="s">
        <v>827</v>
      </c>
      <c r="U136" t="s">
        <v>828</v>
      </c>
    </row>
    <row r="138" spans="1:21" x14ac:dyDescent="0.35">
      <c r="I138">
        <v>27</v>
      </c>
      <c r="J138">
        <v>190224</v>
      </c>
      <c r="K138" t="s">
        <v>793</v>
      </c>
      <c r="L138" t="s">
        <v>794</v>
      </c>
      <c r="R138">
        <v>27</v>
      </c>
      <c r="S138">
        <v>130624</v>
      </c>
      <c r="T138" t="s">
        <v>803</v>
      </c>
      <c r="U138" t="s">
        <v>804</v>
      </c>
    </row>
    <row r="139" spans="1:21" x14ac:dyDescent="0.35">
      <c r="A139">
        <v>28</v>
      </c>
      <c r="B139">
        <v>160522</v>
      </c>
      <c r="C139" t="s">
        <v>829</v>
      </c>
      <c r="D139" t="s">
        <v>830</v>
      </c>
      <c r="R139">
        <v>28</v>
      </c>
      <c r="S139">
        <v>130624</v>
      </c>
      <c r="T139" t="s">
        <v>831</v>
      </c>
      <c r="U139" t="s">
        <v>832</v>
      </c>
    </row>
    <row r="140" spans="1:21" x14ac:dyDescent="0.35">
      <c r="A140">
        <v>29</v>
      </c>
      <c r="B140">
        <v>160522</v>
      </c>
      <c r="C140" t="s">
        <v>780</v>
      </c>
      <c r="D140" t="s">
        <v>781</v>
      </c>
      <c r="I140">
        <v>28</v>
      </c>
      <c r="J140">
        <v>280224</v>
      </c>
      <c r="K140" t="s">
        <v>833</v>
      </c>
      <c r="L140" t="s">
        <v>834</v>
      </c>
    </row>
    <row r="141" spans="1:21" x14ac:dyDescent="0.35">
      <c r="A141">
        <v>30</v>
      </c>
      <c r="B141">
        <v>160522</v>
      </c>
      <c r="C141" t="s">
        <v>835</v>
      </c>
      <c r="D141" t="s">
        <v>836</v>
      </c>
      <c r="I141">
        <v>29</v>
      </c>
      <c r="J141">
        <v>280224</v>
      </c>
      <c r="K141" t="s">
        <v>811</v>
      </c>
      <c r="L141" t="s">
        <v>812</v>
      </c>
    </row>
    <row r="143" spans="1:21" x14ac:dyDescent="0.35">
      <c r="I143">
        <v>30</v>
      </c>
      <c r="J143">
        <v>290224</v>
      </c>
      <c r="K143" t="s">
        <v>764</v>
      </c>
      <c r="L143" t="s">
        <v>765</v>
      </c>
    </row>
    <row r="144" spans="1:21" x14ac:dyDescent="0.35">
      <c r="I144">
        <v>31</v>
      </c>
      <c r="J144">
        <v>290224</v>
      </c>
      <c r="K144" t="s">
        <v>768</v>
      </c>
      <c r="L144" t="s">
        <v>769</v>
      </c>
    </row>
    <row r="145" spans="1:12" x14ac:dyDescent="0.35">
      <c r="A145">
        <v>31</v>
      </c>
      <c r="B145">
        <v>70223</v>
      </c>
      <c r="C145" t="s">
        <v>837</v>
      </c>
      <c r="D145" t="s">
        <v>838</v>
      </c>
    </row>
    <row r="146" spans="1:12" x14ac:dyDescent="0.35">
      <c r="A146">
        <v>32</v>
      </c>
      <c r="B146">
        <v>70223</v>
      </c>
      <c r="C146" t="s">
        <v>839</v>
      </c>
      <c r="D146" t="s">
        <v>840</v>
      </c>
      <c r="I146">
        <v>32</v>
      </c>
      <c r="J146">
        <v>140623</v>
      </c>
      <c r="K146" t="s">
        <v>752</v>
      </c>
      <c r="L146" t="s">
        <v>753</v>
      </c>
    </row>
    <row r="147" spans="1:12" x14ac:dyDescent="0.35">
      <c r="A147">
        <v>33</v>
      </c>
      <c r="B147">
        <v>70223</v>
      </c>
      <c r="C147" t="s">
        <v>841</v>
      </c>
      <c r="D147" t="s">
        <v>842</v>
      </c>
    </row>
    <row r="150" spans="1:12" x14ac:dyDescent="0.35">
      <c r="A150">
        <v>34</v>
      </c>
      <c r="B150">
        <v>1502232</v>
      </c>
      <c r="C150" t="s">
        <v>801</v>
      </c>
      <c r="D150" t="s">
        <v>802</v>
      </c>
      <c r="E150" t="s">
        <v>843</v>
      </c>
    </row>
    <row r="153" spans="1:12" x14ac:dyDescent="0.35">
      <c r="A153">
        <v>35</v>
      </c>
      <c r="B153">
        <v>160223</v>
      </c>
      <c r="C153" t="s">
        <v>837</v>
      </c>
      <c r="D153" t="s">
        <v>838</v>
      </c>
      <c r="E153" t="s">
        <v>843</v>
      </c>
    </row>
    <row r="154" spans="1:12" x14ac:dyDescent="0.35">
      <c r="A154">
        <v>36</v>
      </c>
      <c r="B154">
        <v>160223</v>
      </c>
      <c r="C154" t="s">
        <v>844</v>
      </c>
      <c r="D154" t="s">
        <v>845</v>
      </c>
      <c r="E154" t="s">
        <v>843</v>
      </c>
    </row>
    <row r="155" spans="1:12" x14ac:dyDescent="0.35">
      <c r="A155">
        <v>37</v>
      </c>
      <c r="B155">
        <v>160223</v>
      </c>
      <c r="C155" t="s">
        <v>748</v>
      </c>
      <c r="D155" t="s">
        <v>749</v>
      </c>
    </row>
    <row r="158" spans="1:12" x14ac:dyDescent="0.35">
      <c r="A158">
        <v>38</v>
      </c>
      <c r="B158">
        <v>1602232</v>
      </c>
      <c r="C158" t="s">
        <v>844</v>
      </c>
      <c r="D158" t="s">
        <v>845</v>
      </c>
      <c r="E158" t="s">
        <v>843</v>
      </c>
    </row>
    <row r="159" spans="1:12" x14ac:dyDescent="0.35">
      <c r="A159">
        <v>39</v>
      </c>
      <c r="B159">
        <v>1602232</v>
      </c>
      <c r="C159" t="s">
        <v>829</v>
      </c>
      <c r="D159" t="s">
        <v>830</v>
      </c>
      <c r="E159" t="s">
        <v>843</v>
      </c>
    </row>
    <row r="160" spans="1:12" x14ac:dyDescent="0.35">
      <c r="A160">
        <v>40</v>
      </c>
      <c r="B160">
        <v>1602232</v>
      </c>
      <c r="C160" t="s">
        <v>797</v>
      </c>
      <c r="D160" t="s">
        <v>798</v>
      </c>
      <c r="E160" t="s">
        <v>843</v>
      </c>
    </row>
    <row r="161" spans="1:5" x14ac:dyDescent="0.35">
      <c r="A161">
        <v>41</v>
      </c>
      <c r="B161">
        <v>1602232</v>
      </c>
      <c r="C161" t="s">
        <v>789</v>
      </c>
      <c r="D161" t="s">
        <v>790</v>
      </c>
      <c r="E161" t="s">
        <v>843</v>
      </c>
    </row>
    <row r="162" spans="1:5" x14ac:dyDescent="0.35">
      <c r="A162">
        <v>42</v>
      </c>
      <c r="B162">
        <v>1602232</v>
      </c>
      <c r="C162" t="s">
        <v>821</v>
      </c>
      <c r="D162" t="s">
        <v>822</v>
      </c>
      <c r="E162" t="s">
        <v>843</v>
      </c>
    </row>
    <row r="165" spans="1:5" x14ac:dyDescent="0.35">
      <c r="A165">
        <v>43</v>
      </c>
      <c r="B165">
        <v>170223</v>
      </c>
      <c r="C165" t="s">
        <v>846</v>
      </c>
      <c r="D165" t="s">
        <v>847</v>
      </c>
    </row>
    <row r="166" spans="1:5" ht="13.15" x14ac:dyDescent="0.4">
      <c r="A166">
        <v>44</v>
      </c>
      <c r="B166">
        <v>170223</v>
      </c>
      <c r="C166" t="s">
        <v>770</v>
      </c>
      <c r="D166" t="s">
        <v>771</v>
      </c>
      <c r="E166" t="s">
        <v>848</v>
      </c>
    </row>
    <row r="169" spans="1:5" ht="13.15" x14ac:dyDescent="0.4">
      <c r="A169">
        <v>45</v>
      </c>
      <c r="B169">
        <v>200223</v>
      </c>
      <c r="C169" t="s">
        <v>787</v>
      </c>
      <c r="D169" t="s">
        <v>788</v>
      </c>
      <c r="E169" t="s">
        <v>848</v>
      </c>
    </row>
    <row r="170" spans="1:5" ht="13.15" x14ac:dyDescent="0.4">
      <c r="A170">
        <v>46</v>
      </c>
      <c r="B170">
        <v>200223</v>
      </c>
      <c r="C170" t="s">
        <v>841</v>
      </c>
      <c r="D170" t="s">
        <v>842</v>
      </c>
      <c r="E170" t="s">
        <v>848</v>
      </c>
    </row>
    <row r="173" spans="1:5" x14ac:dyDescent="0.35">
      <c r="A173">
        <v>47</v>
      </c>
      <c r="B173">
        <v>2002232</v>
      </c>
      <c r="C173" t="s">
        <v>787</v>
      </c>
      <c r="D173" t="s">
        <v>788</v>
      </c>
      <c r="E173" t="s">
        <v>849</v>
      </c>
    </row>
    <row r="174" spans="1:5" x14ac:dyDescent="0.35">
      <c r="A174">
        <v>48</v>
      </c>
      <c r="B174">
        <v>2002232</v>
      </c>
      <c r="C174" t="s">
        <v>770</v>
      </c>
      <c r="D174" t="s">
        <v>771</v>
      </c>
      <c r="E174" t="s">
        <v>849</v>
      </c>
    </row>
    <row r="177" spans="1:5" x14ac:dyDescent="0.35">
      <c r="A177">
        <v>49</v>
      </c>
      <c r="B177">
        <v>2102232</v>
      </c>
      <c r="C177" t="s">
        <v>813</v>
      </c>
      <c r="D177" t="s">
        <v>814</v>
      </c>
      <c r="E177" t="s">
        <v>849</v>
      </c>
    </row>
    <row r="180" spans="1:5" x14ac:dyDescent="0.35">
      <c r="A180">
        <v>50</v>
      </c>
      <c r="B180">
        <v>220223</v>
      </c>
      <c r="C180" t="s">
        <v>760</v>
      </c>
      <c r="D180" t="s">
        <v>761</v>
      </c>
      <c r="E180" t="s">
        <v>849</v>
      </c>
    </row>
    <row r="181" spans="1:5" x14ac:dyDescent="0.35">
      <c r="A181">
        <v>51</v>
      </c>
      <c r="B181">
        <v>220223</v>
      </c>
      <c r="C181" t="s">
        <v>776</v>
      </c>
      <c r="D181" t="s">
        <v>777</v>
      </c>
    </row>
    <row r="182" spans="1:5" x14ac:dyDescent="0.35">
      <c r="A182">
        <v>52</v>
      </c>
      <c r="B182">
        <v>220223</v>
      </c>
      <c r="C182" t="s">
        <v>793</v>
      </c>
      <c r="D182" t="s">
        <v>794</v>
      </c>
      <c r="E182" t="s">
        <v>849</v>
      </c>
    </row>
    <row r="185" spans="1:5" x14ac:dyDescent="0.35">
      <c r="A185">
        <v>53</v>
      </c>
      <c r="B185">
        <v>240223</v>
      </c>
      <c r="C185" t="s">
        <v>768</v>
      </c>
      <c r="D185" t="s">
        <v>769</v>
      </c>
    </row>
    <row r="188" spans="1:5" x14ac:dyDescent="0.35">
      <c r="A188">
        <v>54</v>
      </c>
      <c r="B188">
        <v>60423</v>
      </c>
      <c r="C188" t="s">
        <v>803</v>
      </c>
      <c r="D188" t="s">
        <v>804</v>
      </c>
    </row>
    <row r="191" spans="1:5" x14ac:dyDescent="0.35">
      <c r="A191">
        <v>55</v>
      </c>
      <c r="B191">
        <v>604232</v>
      </c>
      <c r="C191" t="s">
        <v>756</v>
      </c>
      <c r="D191" t="s">
        <v>757</v>
      </c>
    </row>
    <row r="194" spans="1:5" x14ac:dyDescent="0.35">
      <c r="A194">
        <v>56</v>
      </c>
      <c r="B194">
        <v>120423</v>
      </c>
      <c r="C194" t="s">
        <v>776</v>
      </c>
      <c r="D194" t="s">
        <v>777</v>
      </c>
      <c r="E194" t="s">
        <v>849</v>
      </c>
    </row>
    <row r="197" spans="1:5" x14ac:dyDescent="0.35">
      <c r="A197">
        <v>57</v>
      </c>
      <c r="B197">
        <v>130423</v>
      </c>
      <c r="C197" t="s">
        <v>844</v>
      </c>
      <c r="D197" t="s">
        <v>845</v>
      </c>
    </row>
    <row r="200" spans="1:5" x14ac:dyDescent="0.35">
      <c r="A200">
        <v>58</v>
      </c>
      <c r="B200">
        <v>1304232</v>
      </c>
      <c r="C200" t="s">
        <v>754</v>
      </c>
      <c r="D200" t="s">
        <v>755</v>
      </c>
    </row>
    <row r="203" spans="1:5" x14ac:dyDescent="0.35">
      <c r="A203">
        <v>59</v>
      </c>
      <c r="B203">
        <v>1804232</v>
      </c>
      <c r="C203" t="s">
        <v>809</v>
      </c>
      <c r="D203" t="s">
        <v>850</v>
      </c>
    </row>
    <row r="204" spans="1:5" x14ac:dyDescent="0.35">
      <c r="A204">
        <v>60</v>
      </c>
      <c r="B204">
        <v>1804232</v>
      </c>
      <c r="C204" t="s">
        <v>803</v>
      </c>
      <c r="D204" t="s">
        <v>851</v>
      </c>
    </row>
    <row r="207" spans="1:5" x14ac:dyDescent="0.35">
      <c r="A207">
        <v>61</v>
      </c>
      <c r="B207">
        <v>190423</v>
      </c>
      <c r="C207" t="s">
        <v>844</v>
      </c>
      <c r="D207" t="s">
        <v>845</v>
      </c>
    </row>
    <row r="208" spans="1:5" x14ac:dyDescent="0.35">
      <c r="A208">
        <v>62</v>
      </c>
      <c r="B208">
        <v>190423</v>
      </c>
      <c r="C208" t="s">
        <v>852</v>
      </c>
      <c r="D208" t="s">
        <v>853</v>
      </c>
    </row>
    <row r="211" spans="1:4" x14ac:dyDescent="0.35">
      <c r="A211">
        <v>63</v>
      </c>
      <c r="B211">
        <v>1904232</v>
      </c>
      <c r="C211" t="s">
        <v>752</v>
      </c>
      <c r="D211" t="s">
        <v>753</v>
      </c>
    </row>
    <row r="212" spans="1:4" x14ac:dyDescent="0.35">
      <c r="A212">
        <v>64</v>
      </c>
      <c r="B212">
        <v>1904232</v>
      </c>
      <c r="C212" t="s">
        <v>782</v>
      </c>
      <c r="D212" t="s">
        <v>783</v>
      </c>
    </row>
    <row r="213" spans="1:4" x14ac:dyDescent="0.35">
      <c r="A213">
        <v>65</v>
      </c>
      <c r="B213">
        <v>1904232</v>
      </c>
      <c r="C213" t="s">
        <v>831</v>
      </c>
      <c r="D213" t="s">
        <v>832</v>
      </c>
    </row>
    <row r="216" spans="1:4" x14ac:dyDescent="0.35">
      <c r="A216">
        <v>66</v>
      </c>
      <c r="B216">
        <v>120623</v>
      </c>
      <c r="C216" t="s">
        <v>770</v>
      </c>
      <c r="D216" t="s">
        <v>771</v>
      </c>
    </row>
    <row r="217" spans="1:4" x14ac:dyDescent="0.35">
      <c r="A217">
        <v>67</v>
      </c>
      <c r="B217">
        <v>120623</v>
      </c>
      <c r="C217" t="s">
        <v>852</v>
      </c>
      <c r="D217" t="s">
        <v>853</v>
      </c>
    </row>
    <row r="218" spans="1:4" x14ac:dyDescent="0.35">
      <c r="A218">
        <v>68</v>
      </c>
      <c r="B218">
        <v>120623</v>
      </c>
      <c r="C218" t="s">
        <v>756</v>
      </c>
      <c r="D218" t="s">
        <v>757</v>
      </c>
    </row>
    <row r="220" spans="1:4" x14ac:dyDescent="0.35">
      <c r="A220">
        <v>69</v>
      </c>
      <c r="B220">
        <v>50923</v>
      </c>
      <c r="C220" t="s">
        <v>813</v>
      </c>
      <c r="D220" t="s">
        <v>814</v>
      </c>
    </row>
    <row r="222" spans="1:4" x14ac:dyDescent="0.35">
      <c r="A222">
        <v>70</v>
      </c>
      <c r="B222">
        <v>70923</v>
      </c>
      <c r="C222" t="s">
        <v>854</v>
      </c>
      <c r="D222" t="s">
        <v>855</v>
      </c>
    </row>
    <row r="223" spans="1:4" x14ac:dyDescent="0.35">
      <c r="A223">
        <v>71</v>
      </c>
      <c r="B223">
        <v>70923</v>
      </c>
      <c r="C223" t="s">
        <v>819</v>
      </c>
      <c r="D223" t="s">
        <v>820</v>
      </c>
    </row>
    <row r="225" spans="1:4" x14ac:dyDescent="0.35">
      <c r="A225">
        <v>72</v>
      </c>
      <c r="B225">
        <v>80923</v>
      </c>
      <c r="C225" t="s">
        <v>756</v>
      </c>
      <c r="D225" t="s">
        <v>757</v>
      </c>
    </row>
    <row r="226" spans="1:4" x14ac:dyDescent="0.35">
      <c r="A226">
        <v>73</v>
      </c>
      <c r="B226">
        <v>80923</v>
      </c>
      <c r="C226" t="s">
        <v>805</v>
      </c>
      <c r="D226" t="s">
        <v>806</v>
      </c>
    </row>
    <row r="228" spans="1:4" x14ac:dyDescent="0.35">
      <c r="A228">
        <v>74</v>
      </c>
      <c r="B228">
        <v>110923</v>
      </c>
      <c r="C228" t="s">
        <v>764</v>
      </c>
      <c r="D228" t="s">
        <v>765</v>
      </c>
    </row>
    <row r="229" spans="1:4" x14ac:dyDescent="0.35">
      <c r="A229">
        <v>75</v>
      </c>
      <c r="B229">
        <v>110923</v>
      </c>
      <c r="C229" t="s">
        <v>852</v>
      </c>
      <c r="D229" t="s">
        <v>853</v>
      </c>
    </row>
    <row r="231" spans="1:4" x14ac:dyDescent="0.35">
      <c r="A231">
        <v>76</v>
      </c>
      <c r="B231">
        <v>1109232</v>
      </c>
      <c r="C231" t="s">
        <v>852</v>
      </c>
      <c r="D231" t="s">
        <v>853</v>
      </c>
    </row>
    <row r="232" spans="1:4" x14ac:dyDescent="0.35">
      <c r="A232">
        <v>77</v>
      </c>
      <c r="B232">
        <v>1109232</v>
      </c>
      <c r="C232" t="s">
        <v>856</v>
      </c>
      <c r="D232" t="s">
        <v>857</v>
      </c>
    </row>
    <row r="233" spans="1:4" x14ac:dyDescent="0.35">
      <c r="A233">
        <v>78</v>
      </c>
      <c r="B233">
        <v>1109232</v>
      </c>
      <c r="C233" t="s">
        <v>789</v>
      </c>
      <c r="D233" t="s">
        <v>790</v>
      </c>
    </row>
    <row r="235" spans="1:4" x14ac:dyDescent="0.35">
      <c r="A235">
        <v>79</v>
      </c>
      <c r="B235">
        <v>140923</v>
      </c>
      <c r="C235" t="s">
        <v>825</v>
      </c>
      <c r="D235" t="s">
        <v>826</v>
      </c>
    </row>
    <row r="236" spans="1:4" x14ac:dyDescent="0.35">
      <c r="A236">
        <v>80</v>
      </c>
      <c r="B236">
        <v>140923</v>
      </c>
      <c r="C236" t="s">
        <v>789</v>
      </c>
      <c r="D236" t="s">
        <v>790</v>
      </c>
    </row>
    <row r="238" spans="1:4" x14ac:dyDescent="0.35">
      <c r="A238">
        <v>81</v>
      </c>
      <c r="B238">
        <v>3001242</v>
      </c>
      <c r="C238" t="s">
        <v>776</v>
      </c>
      <c r="D238" t="s">
        <v>777</v>
      </c>
    </row>
    <row r="239" spans="1:4" x14ac:dyDescent="0.35">
      <c r="A239">
        <v>82</v>
      </c>
      <c r="B239">
        <v>3001242</v>
      </c>
      <c r="C239" t="s">
        <v>846</v>
      </c>
      <c r="D239" t="s">
        <v>847</v>
      </c>
    </row>
    <row r="240" spans="1:4" x14ac:dyDescent="0.35">
      <c r="A240">
        <v>83</v>
      </c>
      <c r="B240">
        <v>3001242</v>
      </c>
      <c r="C240" t="s">
        <v>858</v>
      </c>
      <c r="D240" t="s">
        <v>859</v>
      </c>
    </row>
    <row r="242" spans="1:4" x14ac:dyDescent="0.35">
      <c r="A242">
        <v>84</v>
      </c>
      <c r="B242">
        <v>310124</v>
      </c>
      <c r="C242" t="s">
        <v>793</v>
      </c>
      <c r="D242" t="s">
        <v>794</v>
      </c>
    </row>
    <row r="243" spans="1:4" x14ac:dyDescent="0.35">
      <c r="A243">
        <v>85</v>
      </c>
      <c r="B243">
        <v>310124</v>
      </c>
      <c r="C243" t="s">
        <v>858</v>
      </c>
      <c r="D243" t="s">
        <v>859</v>
      </c>
    </row>
    <row r="244" spans="1:4" x14ac:dyDescent="0.35">
      <c r="A244">
        <v>86</v>
      </c>
      <c r="B244">
        <v>310124</v>
      </c>
      <c r="C244" t="s">
        <v>803</v>
      </c>
      <c r="D244" t="s">
        <v>804</v>
      </c>
    </row>
    <row r="245" spans="1:4" x14ac:dyDescent="0.35">
      <c r="A245">
        <v>87</v>
      </c>
      <c r="B245">
        <v>310124</v>
      </c>
      <c r="C245" t="s">
        <v>831</v>
      </c>
      <c r="D245" t="s">
        <v>832</v>
      </c>
    </row>
    <row r="246" spans="1:4" x14ac:dyDescent="0.35">
      <c r="A246">
        <v>88</v>
      </c>
      <c r="B246">
        <v>310124</v>
      </c>
      <c r="C246" t="s">
        <v>782</v>
      </c>
      <c r="D246" t="s">
        <v>783</v>
      </c>
    </row>
    <row r="248" spans="1:4" x14ac:dyDescent="0.35">
      <c r="A248">
        <v>89</v>
      </c>
      <c r="B248">
        <v>50224</v>
      </c>
      <c r="C248" t="s">
        <v>807</v>
      </c>
      <c r="D248" t="s">
        <v>808</v>
      </c>
    </row>
    <row r="249" spans="1:4" x14ac:dyDescent="0.35">
      <c r="A249">
        <v>90</v>
      </c>
      <c r="B249">
        <v>50224</v>
      </c>
      <c r="C249" t="s">
        <v>833</v>
      </c>
      <c r="D249" t="s">
        <v>834</v>
      </c>
    </row>
    <row r="251" spans="1:4" x14ac:dyDescent="0.35">
      <c r="A251">
        <v>91</v>
      </c>
      <c r="B251">
        <v>602242</v>
      </c>
      <c r="C251" t="s">
        <v>770</v>
      </c>
      <c r="D251" t="s">
        <v>771</v>
      </c>
    </row>
    <row r="253" spans="1:4" x14ac:dyDescent="0.35">
      <c r="A253">
        <v>92</v>
      </c>
      <c r="B253">
        <v>802242</v>
      </c>
      <c r="C253" t="s">
        <v>858</v>
      </c>
      <c r="D253" t="s">
        <v>859</v>
      </c>
    </row>
  </sheetData>
  <mergeCells count="7">
    <mergeCell ref="I91:L91"/>
    <mergeCell ref="R91:U91"/>
    <mergeCell ref="A1:G1"/>
    <mergeCell ref="I1:P1"/>
    <mergeCell ref="R1:Y1"/>
    <mergeCell ref="I43:P43"/>
    <mergeCell ref="A82:D82"/>
  </mergeCells>
  <pageMargins left="0.78749999999999998" right="0.78749999999999998" top="1.0249999999999999" bottom="1.0249999999999999" header="0.78749999999999998" footer="0.78749999999999998"/>
  <pageSetup scale="20" firstPageNumber="0" orientation="portrait" horizontalDpi="1200" verticalDpi="1200" r:id="rId1"/>
  <headerFooter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65"/>
  <sheetViews>
    <sheetView zoomScale="120" zoomScaleNormal="120" workbookViewId="0">
      <selection activeCell="A7" sqref="A7"/>
    </sheetView>
  </sheetViews>
  <sheetFormatPr defaultRowHeight="12.75" x14ac:dyDescent="0.35"/>
  <sheetData>
    <row r="1" spans="1:38" ht="13.15" x14ac:dyDescent="0.4">
      <c r="A1" s="39" t="s">
        <v>860</v>
      </c>
      <c r="B1" s="39"/>
      <c r="C1" s="39"/>
      <c r="D1" s="39"/>
      <c r="N1" s="40" t="s">
        <v>861</v>
      </c>
      <c r="O1" s="40"/>
      <c r="P1" s="40"/>
      <c r="Q1" s="40"/>
      <c r="AA1" s="41" t="s">
        <v>862</v>
      </c>
      <c r="AB1" s="41"/>
      <c r="AC1" s="41"/>
      <c r="AD1" s="41"/>
    </row>
    <row r="2" spans="1:38" ht="15" x14ac:dyDescent="0.5">
      <c r="A2" t="s">
        <v>15</v>
      </c>
      <c r="B2" t="s">
        <v>863</v>
      </c>
      <c r="C2" t="s">
        <v>864</v>
      </c>
      <c r="D2" t="s">
        <v>865</v>
      </c>
      <c r="E2" t="s">
        <v>15</v>
      </c>
      <c r="F2" t="s">
        <v>866</v>
      </c>
      <c r="G2" t="s">
        <v>15</v>
      </c>
      <c r="H2" t="s">
        <v>867</v>
      </c>
      <c r="I2" t="s">
        <v>15</v>
      </c>
      <c r="J2" t="s">
        <v>15</v>
      </c>
      <c r="K2" t="s">
        <v>868</v>
      </c>
      <c r="L2" t="s">
        <v>869</v>
      </c>
      <c r="N2" t="s">
        <v>15</v>
      </c>
      <c r="O2" t="s">
        <v>863</v>
      </c>
      <c r="P2" t="s">
        <v>864</v>
      </c>
      <c r="Q2" t="s">
        <v>865</v>
      </c>
      <c r="R2" t="s">
        <v>15</v>
      </c>
      <c r="S2" t="s">
        <v>866</v>
      </c>
      <c r="T2" t="s">
        <v>15</v>
      </c>
      <c r="U2" t="s">
        <v>867</v>
      </c>
      <c r="V2" t="s">
        <v>15</v>
      </c>
      <c r="W2" t="s">
        <v>868</v>
      </c>
      <c r="X2" t="s">
        <v>15</v>
      </c>
      <c r="Y2" t="s">
        <v>869</v>
      </c>
      <c r="AA2" t="s">
        <v>15</v>
      </c>
      <c r="AB2" t="s">
        <v>863</v>
      </c>
      <c r="AC2" t="s">
        <v>864</v>
      </c>
      <c r="AD2" t="s">
        <v>865</v>
      </c>
      <c r="AE2" t="s">
        <v>15</v>
      </c>
      <c r="AF2" t="s">
        <v>866</v>
      </c>
      <c r="AG2" t="s">
        <v>15</v>
      </c>
      <c r="AH2" t="s">
        <v>867</v>
      </c>
      <c r="AI2" t="s">
        <v>15</v>
      </c>
      <c r="AJ2" t="s">
        <v>868</v>
      </c>
      <c r="AK2" t="s">
        <v>15</v>
      </c>
      <c r="AL2" t="s">
        <v>869</v>
      </c>
    </row>
    <row r="3" spans="1:38" x14ac:dyDescent="0.35">
      <c r="A3" t="s">
        <v>33</v>
      </c>
      <c r="B3">
        <v>24.93</v>
      </c>
      <c r="C3">
        <v>1.42</v>
      </c>
      <c r="D3">
        <v>13.27</v>
      </c>
      <c r="E3" t="s">
        <v>23</v>
      </c>
      <c r="F3">
        <v>2.33</v>
      </c>
      <c r="G3" t="s">
        <v>23</v>
      </c>
      <c r="H3">
        <v>0</v>
      </c>
      <c r="I3" t="s">
        <v>23</v>
      </c>
      <c r="J3" t="s">
        <v>23</v>
      </c>
      <c r="K3">
        <v>1.97</v>
      </c>
      <c r="L3">
        <v>0.27</v>
      </c>
      <c r="R3" t="s">
        <v>24</v>
      </c>
      <c r="S3">
        <v>1.58</v>
      </c>
      <c r="T3" t="s">
        <v>24</v>
      </c>
      <c r="U3">
        <v>0.03</v>
      </c>
      <c r="V3" t="s">
        <v>37</v>
      </c>
      <c r="W3">
        <f>7.54/11.08</f>
        <v>0.68050541516245489</v>
      </c>
      <c r="X3" t="s">
        <v>24</v>
      </c>
      <c r="Y3">
        <f>47.78/83.31</f>
        <v>0.57352058576401388</v>
      </c>
      <c r="AA3" t="s">
        <v>41</v>
      </c>
      <c r="AB3">
        <v>22.16</v>
      </c>
      <c r="AC3">
        <v>1.1599999999999999</v>
      </c>
      <c r="AD3">
        <v>11.45</v>
      </c>
      <c r="AE3" t="s">
        <v>25</v>
      </c>
      <c r="AF3">
        <v>1.71</v>
      </c>
      <c r="AG3" t="s">
        <v>25</v>
      </c>
      <c r="AH3">
        <v>0.81</v>
      </c>
      <c r="AI3" t="s">
        <v>41</v>
      </c>
      <c r="AJ3">
        <v>1.01</v>
      </c>
      <c r="AK3" t="s">
        <v>53</v>
      </c>
      <c r="AL3">
        <v>0.5</v>
      </c>
    </row>
    <row r="4" spans="1:38" x14ac:dyDescent="0.35">
      <c r="A4" t="s">
        <v>48</v>
      </c>
      <c r="B4">
        <v>25.19</v>
      </c>
      <c r="C4">
        <v>0.83</v>
      </c>
      <c r="D4">
        <v>7.18</v>
      </c>
      <c r="E4" t="s">
        <v>33</v>
      </c>
      <c r="F4">
        <v>3.14</v>
      </c>
      <c r="G4" t="s">
        <v>33</v>
      </c>
      <c r="H4">
        <v>0.2</v>
      </c>
      <c r="I4" t="s">
        <v>33</v>
      </c>
      <c r="J4" t="s">
        <v>33</v>
      </c>
      <c r="K4">
        <v>1.71</v>
      </c>
      <c r="L4">
        <v>0.38</v>
      </c>
      <c r="N4" t="s">
        <v>34</v>
      </c>
      <c r="O4">
        <v>34.31</v>
      </c>
      <c r="P4">
        <v>1.27</v>
      </c>
      <c r="Q4">
        <v>17.25</v>
      </c>
      <c r="R4" t="s">
        <v>34</v>
      </c>
      <c r="S4">
        <v>1.55</v>
      </c>
      <c r="T4" t="s">
        <v>34</v>
      </c>
      <c r="U4">
        <v>0.33</v>
      </c>
      <c r="V4" t="s">
        <v>40</v>
      </c>
      <c r="W4">
        <f>25.67/40.46</f>
        <v>0.63445378151260512</v>
      </c>
      <c r="X4" t="s">
        <v>34</v>
      </c>
      <c r="Y4">
        <f>9.39/14.08</f>
        <v>0.66690340909090917</v>
      </c>
      <c r="AA4" t="s">
        <v>44</v>
      </c>
      <c r="AB4">
        <v>17.670000000000002</v>
      </c>
      <c r="AC4">
        <v>1.18</v>
      </c>
      <c r="AD4">
        <v>10.77</v>
      </c>
      <c r="AE4" t="s">
        <v>35</v>
      </c>
      <c r="AF4">
        <v>1.2</v>
      </c>
      <c r="AG4" t="s">
        <v>41</v>
      </c>
      <c r="AH4">
        <v>0.4</v>
      </c>
      <c r="AI4" t="s">
        <v>44</v>
      </c>
      <c r="AJ4">
        <v>0.74</v>
      </c>
      <c r="AK4" t="s">
        <v>56</v>
      </c>
      <c r="AL4">
        <v>0.54</v>
      </c>
    </row>
    <row r="5" spans="1:38" x14ac:dyDescent="0.35">
      <c r="A5" t="s">
        <v>59</v>
      </c>
      <c r="B5">
        <v>31.06</v>
      </c>
      <c r="C5">
        <v>0.57999999999999996</v>
      </c>
      <c r="D5">
        <v>3.8</v>
      </c>
      <c r="E5" t="s">
        <v>36</v>
      </c>
      <c r="F5">
        <v>1.7</v>
      </c>
      <c r="G5" t="s">
        <v>36</v>
      </c>
      <c r="H5">
        <v>0.33</v>
      </c>
      <c r="I5" t="s">
        <v>36</v>
      </c>
      <c r="J5" t="s">
        <v>36</v>
      </c>
      <c r="K5">
        <v>1.1100000000000001</v>
      </c>
      <c r="L5">
        <v>0.54</v>
      </c>
      <c r="N5" t="s">
        <v>37</v>
      </c>
      <c r="O5">
        <v>31.05</v>
      </c>
      <c r="P5">
        <v>0.9</v>
      </c>
      <c r="Q5">
        <v>5.4</v>
      </c>
      <c r="R5" t="s">
        <v>40</v>
      </c>
      <c r="S5">
        <v>0.92</v>
      </c>
      <c r="T5" t="s">
        <v>37</v>
      </c>
      <c r="U5">
        <v>0.66</v>
      </c>
      <c r="V5" t="s">
        <v>49</v>
      </c>
      <c r="W5">
        <f>23.55/39.96</f>
        <v>0.58933933933933935</v>
      </c>
      <c r="X5" t="s">
        <v>37</v>
      </c>
      <c r="Y5">
        <f>2.86/11.08</f>
        <v>0.25812274368231047</v>
      </c>
      <c r="AA5" t="s">
        <v>56</v>
      </c>
      <c r="AB5">
        <v>26.87</v>
      </c>
      <c r="AC5">
        <v>1.91</v>
      </c>
      <c r="AD5">
        <v>10.199999999999999</v>
      </c>
      <c r="AE5" t="s">
        <v>41</v>
      </c>
      <c r="AF5">
        <v>2.76</v>
      </c>
      <c r="AG5" t="s">
        <v>44</v>
      </c>
      <c r="AH5">
        <v>0.46</v>
      </c>
      <c r="AI5" t="s">
        <v>56</v>
      </c>
      <c r="AJ5">
        <v>0.64</v>
      </c>
      <c r="AK5" t="s">
        <v>58</v>
      </c>
      <c r="AL5">
        <v>0.7</v>
      </c>
    </row>
    <row r="6" spans="1:38" x14ac:dyDescent="0.35">
      <c r="A6" t="s">
        <v>62</v>
      </c>
      <c r="B6">
        <v>51.39</v>
      </c>
      <c r="C6">
        <v>0.71</v>
      </c>
      <c r="D6">
        <v>3.72</v>
      </c>
      <c r="E6" t="s">
        <v>39</v>
      </c>
      <c r="F6">
        <v>2.73</v>
      </c>
      <c r="G6" t="s">
        <v>39</v>
      </c>
      <c r="H6">
        <v>0.48</v>
      </c>
      <c r="I6" t="s">
        <v>39</v>
      </c>
      <c r="J6" t="s">
        <v>39</v>
      </c>
      <c r="K6">
        <v>0.99</v>
      </c>
      <c r="L6">
        <v>0.65</v>
      </c>
      <c r="N6" t="s">
        <v>870</v>
      </c>
      <c r="O6">
        <v>40.99</v>
      </c>
      <c r="P6">
        <v>2.37</v>
      </c>
      <c r="Q6">
        <v>15.42</v>
      </c>
      <c r="R6" t="s">
        <v>43</v>
      </c>
      <c r="S6">
        <v>2.19</v>
      </c>
      <c r="T6" t="s">
        <v>40</v>
      </c>
      <c r="U6">
        <v>0.2</v>
      </c>
      <c r="V6" t="s">
        <v>57</v>
      </c>
      <c r="W6" s="8">
        <f>10.57/11.43</f>
        <v>0.92475940507436571</v>
      </c>
      <c r="X6" t="s">
        <v>40</v>
      </c>
      <c r="Y6">
        <f>12.45/40.46</f>
        <v>0.30771131982204641</v>
      </c>
      <c r="AA6" t="s">
        <v>73</v>
      </c>
      <c r="AB6">
        <v>25.34</v>
      </c>
      <c r="AC6">
        <v>1.1000000000000001</v>
      </c>
      <c r="AD6">
        <v>4.7699999999999996</v>
      </c>
      <c r="AE6" t="s">
        <v>44</v>
      </c>
      <c r="AF6">
        <v>1.99</v>
      </c>
      <c r="AG6" t="s">
        <v>53</v>
      </c>
      <c r="AH6">
        <v>0.06</v>
      </c>
      <c r="AI6" t="s">
        <v>58</v>
      </c>
      <c r="AJ6">
        <v>0.62</v>
      </c>
      <c r="AK6" t="s">
        <v>61</v>
      </c>
      <c r="AL6">
        <v>0.85</v>
      </c>
    </row>
    <row r="7" spans="1:38" x14ac:dyDescent="0.35">
      <c r="A7" t="s">
        <v>77</v>
      </c>
      <c r="B7">
        <v>17.21</v>
      </c>
      <c r="C7">
        <v>0.86</v>
      </c>
      <c r="D7">
        <v>6.62</v>
      </c>
      <c r="E7" t="s">
        <v>42</v>
      </c>
      <c r="F7">
        <v>1.31</v>
      </c>
      <c r="G7" t="s">
        <v>42</v>
      </c>
      <c r="H7">
        <v>0.48</v>
      </c>
      <c r="I7" t="s">
        <v>42</v>
      </c>
      <c r="J7" t="s">
        <v>42</v>
      </c>
      <c r="K7">
        <v>0.97</v>
      </c>
      <c r="L7">
        <v>0.72</v>
      </c>
      <c r="N7" t="s">
        <v>55</v>
      </c>
      <c r="O7">
        <v>18.829999999999998</v>
      </c>
      <c r="P7">
        <v>1.61</v>
      </c>
      <c r="Q7">
        <v>10.57</v>
      </c>
      <c r="R7" t="s">
        <v>871</v>
      </c>
      <c r="S7">
        <v>1.49</v>
      </c>
      <c r="T7" t="s">
        <v>43</v>
      </c>
      <c r="U7">
        <v>0.73</v>
      </c>
      <c r="V7" t="s">
        <v>63</v>
      </c>
      <c r="W7">
        <f>42.96/62.64</f>
        <v>0.68582375478927204</v>
      </c>
      <c r="X7" t="s">
        <v>43</v>
      </c>
      <c r="AA7" t="s">
        <v>76</v>
      </c>
      <c r="AB7">
        <v>13.71</v>
      </c>
      <c r="AC7">
        <v>0.88</v>
      </c>
      <c r="AD7">
        <v>3.83</v>
      </c>
      <c r="AE7" t="s">
        <v>53</v>
      </c>
      <c r="AF7">
        <v>1.6</v>
      </c>
      <c r="AG7" t="s">
        <v>56</v>
      </c>
      <c r="AH7">
        <v>0.2</v>
      </c>
      <c r="AI7" t="s">
        <v>73</v>
      </c>
      <c r="AJ7">
        <v>0.75</v>
      </c>
      <c r="AK7" t="s">
        <v>64</v>
      </c>
      <c r="AL7">
        <f>2.49/4.86</f>
        <v>0.51234567901234573</v>
      </c>
    </row>
    <row r="8" spans="1:38" x14ac:dyDescent="0.35">
      <c r="A8" t="s">
        <v>81</v>
      </c>
      <c r="B8">
        <v>19.05</v>
      </c>
      <c r="C8">
        <v>1.1399999999999999</v>
      </c>
      <c r="D8">
        <v>6.6</v>
      </c>
      <c r="E8" t="s">
        <v>45</v>
      </c>
      <c r="F8">
        <v>1.29</v>
      </c>
      <c r="G8" t="s">
        <v>45</v>
      </c>
      <c r="H8">
        <v>0.03</v>
      </c>
      <c r="I8" t="s">
        <v>45</v>
      </c>
      <c r="J8" t="s">
        <v>45</v>
      </c>
      <c r="K8">
        <v>0.96</v>
      </c>
      <c r="L8">
        <v>0.25</v>
      </c>
      <c r="N8" t="s">
        <v>60</v>
      </c>
      <c r="O8">
        <v>60.97</v>
      </c>
      <c r="P8">
        <v>1.56</v>
      </c>
      <c r="Q8">
        <v>10.94</v>
      </c>
      <c r="R8" t="s">
        <v>870</v>
      </c>
      <c r="S8">
        <v>1.49</v>
      </c>
      <c r="T8" t="s">
        <v>49</v>
      </c>
      <c r="U8">
        <v>0.03</v>
      </c>
      <c r="V8" t="s">
        <v>72</v>
      </c>
      <c r="W8">
        <v>0.94</v>
      </c>
      <c r="X8" t="s">
        <v>49</v>
      </c>
      <c r="Y8">
        <f>16.75/39.96</f>
        <v>0.41916916916916919</v>
      </c>
      <c r="AA8" t="s">
        <v>357</v>
      </c>
      <c r="AB8">
        <v>8.7899999999999991</v>
      </c>
      <c r="AC8">
        <v>1.03</v>
      </c>
      <c r="AD8">
        <v>6.59</v>
      </c>
      <c r="AE8" t="s">
        <v>56</v>
      </c>
      <c r="AF8">
        <v>5.39</v>
      </c>
      <c r="AG8" t="s">
        <v>58</v>
      </c>
      <c r="AH8">
        <v>0.23</v>
      </c>
      <c r="AI8" t="s">
        <v>76</v>
      </c>
      <c r="AJ8">
        <v>0.43</v>
      </c>
      <c r="AK8" t="s">
        <v>73</v>
      </c>
      <c r="AL8">
        <f>10.25/15.98</f>
        <v>0.64142678347934912</v>
      </c>
    </row>
    <row r="9" spans="1:38" x14ac:dyDescent="0.35">
      <c r="A9" t="s">
        <v>83</v>
      </c>
      <c r="B9">
        <v>45.09</v>
      </c>
      <c r="C9">
        <v>1.43</v>
      </c>
      <c r="D9">
        <v>9.68</v>
      </c>
      <c r="E9" t="s">
        <v>48</v>
      </c>
      <c r="F9">
        <v>2.5099999999999998</v>
      </c>
      <c r="G9" t="s">
        <v>48</v>
      </c>
      <c r="H9">
        <v>0.75</v>
      </c>
      <c r="I9" t="s">
        <v>48</v>
      </c>
      <c r="J9" t="s">
        <v>48</v>
      </c>
      <c r="K9">
        <v>0.96</v>
      </c>
      <c r="L9">
        <v>1.33</v>
      </c>
      <c r="N9" t="s">
        <v>69</v>
      </c>
      <c r="O9">
        <v>39.36</v>
      </c>
      <c r="P9">
        <v>0.99</v>
      </c>
      <c r="Q9">
        <v>10.3</v>
      </c>
      <c r="R9" t="s">
        <v>49</v>
      </c>
      <c r="S9">
        <v>2.61</v>
      </c>
      <c r="T9" t="s">
        <v>52</v>
      </c>
      <c r="U9">
        <v>0.2</v>
      </c>
      <c r="V9" t="s">
        <v>80</v>
      </c>
      <c r="W9">
        <f>16.73/27.38</f>
        <v>0.61102994886778672</v>
      </c>
      <c r="X9" t="s">
        <v>52</v>
      </c>
      <c r="Y9">
        <f>15.32/23.13</f>
        <v>0.66234327712926944</v>
      </c>
      <c r="AA9" t="s">
        <v>361</v>
      </c>
      <c r="AB9" s="8">
        <v>24.55</v>
      </c>
      <c r="AC9" s="8">
        <v>1.72</v>
      </c>
      <c r="AD9" s="8">
        <v>14.7</v>
      </c>
      <c r="AE9" t="s">
        <v>58</v>
      </c>
      <c r="AF9">
        <v>3.6</v>
      </c>
      <c r="AG9" t="s">
        <v>61</v>
      </c>
      <c r="AH9">
        <v>0.5</v>
      </c>
      <c r="AI9" t="s">
        <v>357</v>
      </c>
      <c r="AJ9">
        <f>4.61/4.86</f>
        <v>0.94855967078189296</v>
      </c>
      <c r="AK9" t="s">
        <v>76</v>
      </c>
      <c r="AL9">
        <f>22.09/37.22</f>
        <v>0.59349811929070395</v>
      </c>
    </row>
    <row r="10" spans="1:38" ht="13.15" x14ac:dyDescent="0.4">
      <c r="A10" t="s">
        <v>85</v>
      </c>
      <c r="B10">
        <v>54.64</v>
      </c>
      <c r="C10">
        <v>0.76</v>
      </c>
      <c r="D10">
        <v>9.08</v>
      </c>
      <c r="E10" t="s">
        <v>51</v>
      </c>
      <c r="F10">
        <v>1.62</v>
      </c>
      <c r="G10" t="s">
        <v>51</v>
      </c>
      <c r="H10">
        <v>0.25</v>
      </c>
      <c r="I10" t="s">
        <v>51</v>
      </c>
      <c r="J10" t="s">
        <v>51</v>
      </c>
      <c r="K10">
        <v>0.81</v>
      </c>
      <c r="L10">
        <v>0.63</v>
      </c>
      <c r="N10" t="s">
        <v>78</v>
      </c>
      <c r="O10" s="8">
        <v>35.68</v>
      </c>
      <c r="P10">
        <v>0.99</v>
      </c>
      <c r="Q10">
        <v>13.72</v>
      </c>
      <c r="R10" t="s">
        <v>52</v>
      </c>
      <c r="S10" s="9">
        <v>2.86</v>
      </c>
      <c r="T10" t="s">
        <v>55</v>
      </c>
      <c r="U10">
        <v>0.1</v>
      </c>
      <c r="W10" s="1">
        <f>AVERAGE(W3:W9)</f>
        <v>0.72370166353511756</v>
      </c>
      <c r="X10" t="s">
        <v>55</v>
      </c>
      <c r="Y10">
        <f>6.16/15.58</f>
        <v>0.39537869062901154</v>
      </c>
      <c r="AA10" t="s">
        <v>365</v>
      </c>
      <c r="AB10" s="8">
        <v>42.32</v>
      </c>
      <c r="AC10" s="8">
        <v>1.87</v>
      </c>
      <c r="AD10" s="8">
        <v>10.33</v>
      </c>
      <c r="AE10" t="s">
        <v>61</v>
      </c>
      <c r="AF10">
        <v>1.71</v>
      </c>
      <c r="AG10" t="s">
        <v>64</v>
      </c>
      <c r="AH10">
        <v>0.7</v>
      </c>
      <c r="AI10" t="s">
        <v>361</v>
      </c>
      <c r="AJ10">
        <f>17.37/15.98</f>
        <v>1.0869837296620777</v>
      </c>
      <c r="AK10" t="s">
        <v>357</v>
      </c>
      <c r="AL10">
        <f>7.9/15.87</f>
        <v>0.49779458097038443</v>
      </c>
    </row>
    <row r="11" spans="1:38" ht="13.15" x14ac:dyDescent="0.4">
      <c r="A11" t="s">
        <v>90</v>
      </c>
      <c r="B11">
        <v>43.67</v>
      </c>
      <c r="C11">
        <v>1.1299999999999999</v>
      </c>
      <c r="D11">
        <v>7.45</v>
      </c>
      <c r="E11" t="s">
        <v>54</v>
      </c>
      <c r="F11">
        <v>2.61</v>
      </c>
      <c r="G11" t="s">
        <v>54</v>
      </c>
      <c r="H11">
        <v>0.13</v>
      </c>
      <c r="I11" t="s">
        <v>54</v>
      </c>
      <c r="J11" t="s">
        <v>54</v>
      </c>
      <c r="K11">
        <v>0.8</v>
      </c>
      <c r="L11">
        <v>0.27</v>
      </c>
      <c r="N11" t="s">
        <v>397</v>
      </c>
      <c r="O11" s="1">
        <f>AVERAGE(O4:O10)</f>
        <v>37.312857142857141</v>
      </c>
      <c r="P11" s="1">
        <f>AVERAGE(P4:P10)</f>
        <v>1.3842857142857146</v>
      </c>
      <c r="Q11" s="1">
        <f>AVERAGE(Q4:Q10)</f>
        <v>11.942857142857141</v>
      </c>
      <c r="R11" t="s">
        <v>55</v>
      </c>
      <c r="S11">
        <v>1.57</v>
      </c>
      <c r="T11" t="s">
        <v>57</v>
      </c>
      <c r="U11">
        <v>0.46</v>
      </c>
      <c r="W11" s="1">
        <f>STDEV(W3:W9)</f>
        <v>0.14675556294376205</v>
      </c>
      <c r="X11" t="s">
        <v>57</v>
      </c>
      <c r="Y11" s="8">
        <f>9.73/11.43</f>
        <v>0.85126859142607181</v>
      </c>
      <c r="AA11" t="s">
        <v>369</v>
      </c>
      <c r="AB11" s="8">
        <v>26.65</v>
      </c>
      <c r="AC11" s="8">
        <v>1.31</v>
      </c>
      <c r="AD11" s="8">
        <v>13.08</v>
      </c>
      <c r="AE11" t="s">
        <v>64</v>
      </c>
      <c r="AF11">
        <v>1.77</v>
      </c>
      <c r="AG11" t="s">
        <v>73</v>
      </c>
      <c r="AH11">
        <v>0.25</v>
      </c>
      <c r="AI11" t="s">
        <v>365</v>
      </c>
      <c r="AJ11">
        <f>25.19/37.22</f>
        <v>0.67678667383127356</v>
      </c>
      <c r="AK11" t="s">
        <v>361</v>
      </c>
      <c r="AL11">
        <f>9.08/11.46</f>
        <v>0.79232111692844676</v>
      </c>
    </row>
    <row r="12" spans="1:38" ht="13.15" x14ac:dyDescent="0.4">
      <c r="A12" t="s">
        <v>96</v>
      </c>
      <c r="B12">
        <v>41.47</v>
      </c>
      <c r="C12">
        <v>1.05</v>
      </c>
      <c r="D12">
        <v>6.18</v>
      </c>
      <c r="E12">
        <v>180122</v>
      </c>
      <c r="F12">
        <v>2.83</v>
      </c>
      <c r="G12">
        <v>180122</v>
      </c>
      <c r="H12">
        <v>0.36</v>
      </c>
      <c r="I12">
        <v>180122</v>
      </c>
      <c r="J12">
        <v>180122</v>
      </c>
      <c r="K12">
        <v>0.75</v>
      </c>
      <c r="L12">
        <v>0.33</v>
      </c>
      <c r="N12" t="s">
        <v>281</v>
      </c>
      <c r="O12" s="1">
        <f>STDEV(O4:O11)</f>
        <v>11.771001552587649</v>
      </c>
      <c r="P12" s="1">
        <f>STDEV(P4:P11)</f>
        <v>0.47987668484003326</v>
      </c>
      <c r="Q12" s="1">
        <f>STDEV(Q4:Q11)</f>
        <v>3.6216204513832775</v>
      </c>
      <c r="R12" t="s">
        <v>57</v>
      </c>
      <c r="S12">
        <v>1.97</v>
      </c>
      <c r="T12" t="s">
        <v>60</v>
      </c>
      <c r="U12">
        <v>0</v>
      </c>
      <c r="W12" s="1">
        <f>STDEV(W3:W9)/SQRT(7)</f>
        <v>5.5468389009211493E-2</v>
      </c>
      <c r="X12" t="s">
        <v>60</v>
      </c>
      <c r="Y12">
        <f>32.98/40.77</f>
        <v>0.80892813343144454</v>
      </c>
      <c r="AA12" t="s">
        <v>373</v>
      </c>
      <c r="AB12">
        <v>15.88</v>
      </c>
      <c r="AC12">
        <v>1.08</v>
      </c>
      <c r="AD12">
        <v>10.8</v>
      </c>
      <c r="AE12" t="s">
        <v>73</v>
      </c>
      <c r="AF12">
        <v>2.88</v>
      </c>
      <c r="AG12" t="s">
        <v>76</v>
      </c>
      <c r="AH12">
        <v>0.7</v>
      </c>
      <c r="AI12" t="s">
        <v>369</v>
      </c>
      <c r="AJ12">
        <f>9.16/15.87</f>
        <v>0.57718966603654698</v>
      </c>
      <c r="AK12" t="s">
        <v>365</v>
      </c>
      <c r="AL12">
        <f>16.83/25.62</f>
        <v>0.65690866510538637</v>
      </c>
    </row>
    <row r="13" spans="1:38" ht="13.15" x14ac:dyDescent="0.4">
      <c r="A13" t="s">
        <v>98</v>
      </c>
      <c r="B13">
        <v>30.75</v>
      </c>
      <c r="C13">
        <v>1.21</v>
      </c>
      <c r="D13">
        <v>6.49</v>
      </c>
      <c r="E13" t="s">
        <v>59</v>
      </c>
      <c r="F13">
        <v>1.9</v>
      </c>
      <c r="G13" t="s">
        <v>59</v>
      </c>
      <c r="H13">
        <v>0.63</v>
      </c>
      <c r="I13" t="s">
        <v>59</v>
      </c>
      <c r="J13" t="s">
        <v>59</v>
      </c>
      <c r="K13">
        <v>0.75</v>
      </c>
      <c r="L13">
        <v>0.33</v>
      </c>
      <c r="N13" t="s">
        <v>284</v>
      </c>
      <c r="O13" s="1">
        <f>STDEV(O4:O10)/SQRT(7)</f>
        <v>4.8054912608913796</v>
      </c>
      <c r="P13" s="1">
        <f>STDEV(P4:P10)/SQRT(7)</f>
        <v>0.19590883621940963</v>
      </c>
      <c r="Q13" s="1">
        <f>STDEV(Q4:Q10)/SQRT(7)</f>
        <v>1.4785203579861859</v>
      </c>
      <c r="R13" t="s">
        <v>66</v>
      </c>
      <c r="S13">
        <v>1.77</v>
      </c>
      <c r="T13" t="s">
        <v>63</v>
      </c>
      <c r="U13">
        <v>0.03</v>
      </c>
      <c r="X13" t="s">
        <v>63</v>
      </c>
      <c r="Y13">
        <f>31.64/62.64</f>
        <v>0.50510855683269473</v>
      </c>
      <c r="AA13" t="s">
        <v>377</v>
      </c>
      <c r="AB13">
        <v>33.07</v>
      </c>
      <c r="AC13">
        <v>1.63</v>
      </c>
      <c r="AD13">
        <v>11.46</v>
      </c>
      <c r="AE13" t="s">
        <v>76</v>
      </c>
      <c r="AF13">
        <v>2.77</v>
      </c>
      <c r="AG13" t="s">
        <v>357</v>
      </c>
      <c r="AH13">
        <v>0.77</v>
      </c>
      <c r="AI13" t="s">
        <v>373</v>
      </c>
      <c r="AJ13">
        <f>8.36/11.46</f>
        <v>0.72949389179755664</v>
      </c>
      <c r="AK13" s="1"/>
      <c r="AL13" s="1">
        <f>AVERAGE(AL3:AL12)</f>
        <v>0.62842949447866159</v>
      </c>
    </row>
    <row r="14" spans="1:38" ht="13.15" x14ac:dyDescent="0.4">
      <c r="A14" t="s">
        <v>99</v>
      </c>
      <c r="B14">
        <v>36.36</v>
      </c>
      <c r="C14">
        <v>1.21</v>
      </c>
      <c r="D14">
        <v>5.89</v>
      </c>
      <c r="E14" t="s">
        <v>62</v>
      </c>
      <c r="F14">
        <v>1.21</v>
      </c>
      <c r="G14" t="s">
        <v>62</v>
      </c>
      <c r="H14">
        <v>0.03</v>
      </c>
      <c r="I14" t="s">
        <v>62</v>
      </c>
      <c r="J14" t="s">
        <v>62</v>
      </c>
      <c r="K14">
        <v>0.72</v>
      </c>
      <c r="L14">
        <v>0.24</v>
      </c>
      <c r="R14" t="s">
        <v>872</v>
      </c>
      <c r="S14">
        <v>2.0299999999999998</v>
      </c>
      <c r="T14" t="s">
        <v>72</v>
      </c>
      <c r="U14" s="8">
        <v>0.34</v>
      </c>
      <c r="X14" t="s">
        <v>72</v>
      </c>
      <c r="Y14">
        <v>0.74</v>
      </c>
      <c r="AB14" s="1">
        <f>AVERAGE(Supplementary_Fig2!AB3:AB13)</f>
        <v>23.364545454545453</v>
      </c>
      <c r="AC14" s="1">
        <f>AVERAGE(Supplementary_Fig2!AC3:AC13)</f>
        <v>1.3518181818181818</v>
      </c>
      <c r="AD14" s="1">
        <f>AVERAGE(Supplementary_Fig2!AD3:AD13)</f>
        <v>9.8163636363636346</v>
      </c>
      <c r="AE14" t="s">
        <v>357</v>
      </c>
      <c r="AF14">
        <v>2.89</v>
      </c>
      <c r="AG14" t="s">
        <v>361</v>
      </c>
      <c r="AH14" s="8">
        <v>0.31</v>
      </c>
      <c r="AI14" t="s">
        <v>377</v>
      </c>
      <c r="AJ14">
        <f>25.88/25.62</f>
        <v>1.0101483216237315</v>
      </c>
      <c r="AK14" s="1"/>
      <c r="AL14" s="1">
        <f>STDEV(AL3:AL12)</f>
        <v>0.12388674358577539</v>
      </c>
    </row>
    <row r="15" spans="1:38" ht="13.15" x14ac:dyDescent="0.4">
      <c r="A15" t="s">
        <v>112</v>
      </c>
      <c r="B15">
        <v>64.39</v>
      </c>
      <c r="C15">
        <v>1.06</v>
      </c>
      <c r="D15">
        <v>6.02</v>
      </c>
      <c r="E15" t="s">
        <v>65</v>
      </c>
      <c r="F15">
        <v>2.38</v>
      </c>
      <c r="G15" t="s">
        <v>65</v>
      </c>
      <c r="H15">
        <v>0.36</v>
      </c>
      <c r="I15" t="s">
        <v>65</v>
      </c>
      <c r="J15" t="s">
        <v>65</v>
      </c>
      <c r="K15">
        <v>0.71</v>
      </c>
      <c r="L15">
        <v>0.63</v>
      </c>
      <c r="R15" t="s">
        <v>75</v>
      </c>
      <c r="S15">
        <v>0.89</v>
      </c>
      <c r="T15" t="s">
        <v>80</v>
      </c>
      <c r="U15">
        <v>0.25</v>
      </c>
      <c r="X15" t="s">
        <v>80</v>
      </c>
      <c r="Y15">
        <f>12.75/27.38</f>
        <v>0.46566837107377651</v>
      </c>
      <c r="AB15" s="1">
        <v>21.15</v>
      </c>
      <c r="AC15" s="1">
        <v>1.246</v>
      </c>
      <c r="AD15" s="1">
        <v>8.2040000000000006</v>
      </c>
      <c r="AE15" t="s">
        <v>361</v>
      </c>
      <c r="AF15" s="8">
        <v>1.53</v>
      </c>
      <c r="AG15" t="s">
        <v>365</v>
      </c>
      <c r="AH15" s="8">
        <v>0.13</v>
      </c>
      <c r="AJ15" s="1">
        <f>AVERAGE(Supplementary_Fig2!AJ3:AJ14)</f>
        <v>0.76826349614442313</v>
      </c>
      <c r="AL15" s="1">
        <f>STDEV(AL3:AL12)/SQRT(10)</f>
        <v>3.9176428163230574E-2</v>
      </c>
    </row>
    <row r="16" spans="1:38" ht="13.15" x14ac:dyDescent="0.4">
      <c r="A16" t="s">
        <v>114</v>
      </c>
      <c r="B16">
        <v>14.78</v>
      </c>
      <c r="C16">
        <v>1.65</v>
      </c>
      <c r="D16">
        <v>9.11</v>
      </c>
      <c r="E16" t="s">
        <v>68</v>
      </c>
      <c r="F16">
        <v>1.47</v>
      </c>
      <c r="G16" t="s">
        <v>68</v>
      </c>
      <c r="H16">
        <v>0.53</v>
      </c>
      <c r="I16" t="s">
        <v>68</v>
      </c>
      <c r="J16" t="s">
        <v>68</v>
      </c>
      <c r="K16">
        <v>0.7</v>
      </c>
      <c r="L16">
        <v>0.68</v>
      </c>
      <c r="R16" t="s">
        <v>78</v>
      </c>
      <c r="S16">
        <v>1.92</v>
      </c>
      <c r="U16" s="1">
        <f>AVERAGE(U3:U15)</f>
        <v>0.25846153846153846</v>
      </c>
      <c r="W16" s="1"/>
      <c r="Y16" s="1">
        <f>AVERAGE(Y3:Y15)</f>
        <v>0.55451023733755977</v>
      </c>
      <c r="AB16" s="1">
        <f>STDEV(AB3:AB13)/SQRT(11)</f>
        <v>2.8242779813082279</v>
      </c>
      <c r="AC16" s="1">
        <f>STDEV(AC3:AC13)/SQRT(11)</f>
        <v>0.10973371224608115</v>
      </c>
      <c r="AD16" s="1">
        <f>STDEV(AD3:AD13)/SQRT(11)</f>
        <v>1.0174444570297181</v>
      </c>
      <c r="AE16" t="s">
        <v>365</v>
      </c>
      <c r="AF16" s="8">
        <v>3.72</v>
      </c>
      <c r="AG16" t="s">
        <v>369</v>
      </c>
      <c r="AH16" s="8">
        <v>0.32</v>
      </c>
      <c r="AJ16" s="1">
        <f>STDEV(AJ3:AJ14)</f>
        <v>0.20257491673485639</v>
      </c>
    </row>
    <row r="17" spans="1:38" ht="13.15" x14ac:dyDescent="0.4">
      <c r="A17" t="s">
        <v>117</v>
      </c>
      <c r="B17">
        <v>42.47</v>
      </c>
      <c r="C17">
        <v>0.94</v>
      </c>
      <c r="D17">
        <v>4.6399999999999997</v>
      </c>
      <c r="E17" t="s">
        <v>71</v>
      </c>
      <c r="F17">
        <v>1.25</v>
      </c>
      <c r="G17" t="s">
        <v>71</v>
      </c>
      <c r="H17">
        <v>0</v>
      </c>
      <c r="I17" t="s">
        <v>71</v>
      </c>
      <c r="J17" t="s">
        <v>71</v>
      </c>
      <c r="K17">
        <v>0.7</v>
      </c>
      <c r="L17">
        <v>0.31</v>
      </c>
      <c r="R17" t="s">
        <v>80</v>
      </c>
      <c r="S17">
        <v>3.34</v>
      </c>
      <c r="U17" s="1">
        <f>STDEV(U3:U15)</f>
        <v>0.24002937854375778</v>
      </c>
      <c r="W17" s="1"/>
      <c r="Y17" s="1">
        <f>STDEV(Y3:Y15)</f>
        <v>0.1941299308833099</v>
      </c>
      <c r="AE17" t="s">
        <v>369</v>
      </c>
      <c r="AF17" s="8">
        <v>2.35</v>
      </c>
      <c r="AG17" t="s">
        <v>373</v>
      </c>
      <c r="AH17">
        <v>0.45</v>
      </c>
      <c r="AJ17" s="1">
        <f>STDEV(AJ3:AJ14)/SQRT(12)</f>
        <v>5.8478341353967685E-2</v>
      </c>
      <c r="AK17" s="1"/>
      <c r="AL17" s="1"/>
    </row>
    <row r="18" spans="1:38" ht="13.15" x14ac:dyDescent="0.4">
      <c r="A18" t="s">
        <v>397</v>
      </c>
      <c r="B18" s="1">
        <f>AVERAGE(Supplementary_Fig2!B3:B17)</f>
        <v>36.163333333333334</v>
      </c>
      <c r="C18" s="1">
        <f>AVERAGE(Supplementary_Fig2!C3:C17)</f>
        <v>1.0653333333333335</v>
      </c>
      <c r="D18" s="1">
        <f>AVERAGE(Supplementary_Fig2!D3:D17)</f>
        <v>7.0486666666666649</v>
      </c>
      <c r="E18" t="s">
        <v>74</v>
      </c>
      <c r="F18">
        <v>1.02</v>
      </c>
      <c r="G18" t="s">
        <v>74</v>
      </c>
      <c r="H18">
        <v>0.43</v>
      </c>
      <c r="I18" t="s">
        <v>74</v>
      </c>
      <c r="J18" t="s">
        <v>74</v>
      </c>
      <c r="K18">
        <v>0.68</v>
      </c>
      <c r="L18">
        <v>0.72</v>
      </c>
      <c r="R18" t="s">
        <v>873</v>
      </c>
      <c r="S18">
        <v>3.45</v>
      </c>
      <c r="U18" s="1">
        <f>STDEV(U3:U15)/SQRT(13)</f>
        <v>6.6572171689021117E-2</v>
      </c>
      <c r="W18" s="1"/>
      <c r="Y18" s="1">
        <f>STDEV(Y3:Y15)/SQRT(13)</f>
        <v>5.3841955377081085E-2</v>
      </c>
      <c r="AE18" t="s">
        <v>373</v>
      </c>
      <c r="AF18">
        <v>1.94</v>
      </c>
      <c r="AG18" t="s">
        <v>377</v>
      </c>
      <c r="AH18">
        <v>0.2</v>
      </c>
    </row>
    <row r="19" spans="1:38" ht="13.15" x14ac:dyDescent="0.4">
      <c r="A19" t="s">
        <v>281</v>
      </c>
      <c r="B19" s="1">
        <f>STDEV(B3:B17)</f>
        <v>14.602553918831486</v>
      </c>
      <c r="C19" s="1">
        <f>STDEV(C3:C17)</f>
        <v>0.29529323601819091</v>
      </c>
      <c r="D19" s="1">
        <f>STDEV(D3:D17)</f>
        <v>2.4708381072787793</v>
      </c>
      <c r="E19" t="s">
        <v>77</v>
      </c>
      <c r="F19">
        <v>2.5299999999999998</v>
      </c>
      <c r="G19" t="s">
        <v>77</v>
      </c>
      <c r="H19">
        <v>0.23</v>
      </c>
      <c r="I19" t="s">
        <v>77</v>
      </c>
      <c r="J19" t="s">
        <v>77</v>
      </c>
      <c r="K19">
        <v>0.63</v>
      </c>
      <c r="L19">
        <v>0.35</v>
      </c>
      <c r="R19" t="s">
        <v>82</v>
      </c>
      <c r="S19">
        <v>2.35</v>
      </c>
      <c r="AE19" t="s">
        <v>377</v>
      </c>
      <c r="AF19">
        <v>4.92</v>
      </c>
      <c r="AG19" t="s">
        <v>420</v>
      </c>
      <c r="AH19">
        <v>0.1</v>
      </c>
    </row>
    <row r="20" spans="1:38" ht="13.15" x14ac:dyDescent="0.4">
      <c r="A20" t="s">
        <v>284</v>
      </c>
      <c r="B20" s="1">
        <f>STDEV(B3:B17)/SQRT(16)</f>
        <v>3.6506384797078715</v>
      </c>
      <c r="C20" s="1">
        <f>STDEV(C3:C17)/SQRT(16)</f>
        <v>7.3823309004547727E-2</v>
      </c>
      <c r="D20" s="1">
        <f>STDEV(D3:D17)/SQRT(16)</f>
        <v>0.61770952681969482</v>
      </c>
      <c r="E20" t="s">
        <v>79</v>
      </c>
      <c r="F20">
        <v>2.34</v>
      </c>
      <c r="G20" t="s">
        <v>79</v>
      </c>
      <c r="H20">
        <v>0.6</v>
      </c>
      <c r="I20" t="s">
        <v>79</v>
      </c>
      <c r="J20" t="s">
        <v>79</v>
      </c>
      <c r="K20">
        <v>0.57999999999999996</v>
      </c>
      <c r="L20">
        <v>0.54</v>
      </c>
      <c r="P20" s="8"/>
      <c r="R20" t="s">
        <v>397</v>
      </c>
      <c r="S20" s="1">
        <f>AVERAGE(S3:S19)</f>
        <v>1.9988235294117644</v>
      </c>
      <c r="AE20" t="s">
        <v>420</v>
      </c>
      <c r="AF20">
        <v>3.74</v>
      </c>
      <c r="AH20" s="1">
        <f>AVERAGE(AH3:AH19)</f>
        <v>0.3876470588235294</v>
      </c>
    </row>
    <row r="21" spans="1:38" ht="13.15" x14ac:dyDescent="0.4">
      <c r="E21" t="s">
        <v>81</v>
      </c>
      <c r="F21">
        <v>2.2400000000000002</v>
      </c>
      <c r="G21" t="s">
        <v>81</v>
      </c>
      <c r="H21">
        <v>0.28999999999999998</v>
      </c>
      <c r="I21" t="s">
        <v>81</v>
      </c>
      <c r="J21" t="s">
        <v>81</v>
      </c>
      <c r="K21">
        <v>0.54</v>
      </c>
      <c r="L21">
        <v>0.44</v>
      </c>
      <c r="R21" t="s">
        <v>281</v>
      </c>
      <c r="S21" s="1">
        <f>STDEV(S3:S19)</f>
        <v>0.73790143610902803</v>
      </c>
      <c r="AF21" s="1">
        <f>AVERAGE(AF3:AF20)</f>
        <v>2.6927777777777782</v>
      </c>
      <c r="AH21" s="1">
        <f>STDEV(AH3:AH19)</f>
        <v>0.24016997657296549</v>
      </c>
    </row>
    <row r="22" spans="1:38" ht="13.15" x14ac:dyDescent="0.4">
      <c r="E22" t="s">
        <v>83</v>
      </c>
      <c r="F22">
        <v>2.02</v>
      </c>
      <c r="G22" t="s">
        <v>83</v>
      </c>
      <c r="H22">
        <v>0.4</v>
      </c>
      <c r="I22" t="s">
        <v>83</v>
      </c>
      <c r="J22" t="s">
        <v>83</v>
      </c>
      <c r="K22">
        <v>0.53</v>
      </c>
      <c r="L22">
        <v>0.33</v>
      </c>
      <c r="R22" t="s">
        <v>284</v>
      </c>
      <c r="S22" s="1">
        <f>STDEV(S4:S20)/SQRT(17)</f>
        <v>0.1770493959539412</v>
      </c>
      <c r="AF22" s="1">
        <f>STDEV(AF3:AF20)</f>
        <v>1.1889382587025012</v>
      </c>
      <c r="AH22" s="1">
        <f>0.24/SQRT(17)</f>
        <v>5.8208550008719911E-2</v>
      </c>
    </row>
    <row r="23" spans="1:38" ht="13.15" x14ac:dyDescent="0.4">
      <c r="E23" t="s">
        <v>85</v>
      </c>
      <c r="F23">
        <v>1.54</v>
      </c>
      <c r="G23" t="s">
        <v>85</v>
      </c>
      <c r="H23">
        <v>0.05</v>
      </c>
      <c r="I23" t="s">
        <v>85</v>
      </c>
      <c r="J23" t="s">
        <v>85</v>
      </c>
      <c r="K23">
        <v>0.53</v>
      </c>
      <c r="L23">
        <v>0.56000000000000005</v>
      </c>
      <c r="P23" s="8"/>
      <c r="AF23" s="1">
        <f>1.18/SQRT(18)</f>
        <v>0.27812866726670871</v>
      </c>
    </row>
    <row r="24" spans="1:38" x14ac:dyDescent="0.35">
      <c r="E24" t="s">
        <v>86</v>
      </c>
      <c r="F24">
        <v>1.1000000000000001</v>
      </c>
      <c r="G24" t="s">
        <v>86</v>
      </c>
      <c r="H24">
        <v>0.13</v>
      </c>
      <c r="I24" t="s">
        <v>86</v>
      </c>
      <c r="J24" t="s">
        <v>86</v>
      </c>
      <c r="K24">
        <v>0.51</v>
      </c>
      <c r="L24">
        <v>0.28999999999999998</v>
      </c>
    </row>
    <row r="25" spans="1:38" x14ac:dyDescent="0.35">
      <c r="E25" t="s">
        <v>87</v>
      </c>
      <c r="F25">
        <v>1.73</v>
      </c>
      <c r="G25" t="s">
        <v>87</v>
      </c>
      <c r="H25">
        <v>0.5</v>
      </c>
      <c r="I25" t="s">
        <v>87</v>
      </c>
      <c r="J25" t="s">
        <v>87</v>
      </c>
      <c r="K25">
        <v>0.49</v>
      </c>
      <c r="L25">
        <v>0.62</v>
      </c>
    </row>
    <row r="26" spans="1:38" x14ac:dyDescent="0.35">
      <c r="E26" t="s">
        <v>88</v>
      </c>
      <c r="F26">
        <v>3.18</v>
      </c>
      <c r="G26" t="s">
        <v>88</v>
      </c>
      <c r="H26">
        <v>0.36</v>
      </c>
      <c r="I26" t="s">
        <v>88</v>
      </c>
      <c r="J26" t="s">
        <v>88</v>
      </c>
      <c r="K26">
        <v>0.49</v>
      </c>
      <c r="L26">
        <v>0.56999999999999995</v>
      </c>
    </row>
    <row r="27" spans="1:38" x14ac:dyDescent="0.35">
      <c r="E27" t="s">
        <v>89</v>
      </c>
      <c r="F27">
        <v>2.37</v>
      </c>
      <c r="G27" t="s">
        <v>89</v>
      </c>
      <c r="H27">
        <v>0.25</v>
      </c>
      <c r="I27" t="s">
        <v>89</v>
      </c>
      <c r="J27" t="s">
        <v>89</v>
      </c>
      <c r="K27">
        <v>0.45</v>
      </c>
      <c r="L27">
        <v>0.67</v>
      </c>
    </row>
    <row r="28" spans="1:38" x14ac:dyDescent="0.35">
      <c r="E28" t="s">
        <v>90</v>
      </c>
      <c r="F28">
        <v>2.0699999999999998</v>
      </c>
      <c r="G28" t="s">
        <v>90</v>
      </c>
      <c r="H28">
        <v>0.25</v>
      </c>
      <c r="I28" t="s">
        <v>90</v>
      </c>
      <c r="J28" t="s">
        <v>90</v>
      </c>
      <c r="K28">
        <v>0.44</v>
      </c>
      <c r="L28">
        <v>0.52</v>
      </c>
    </row>
    <row r="29" spans="1:38" x14ac:dyDescent="0.35">
      <c r="E29" t="s">
        <v>91</v>
      </c>
      <c r="F29">
        <v>1.36</v>
      </c>
      <c r="G29" t="s">
        <v>92</v>
      </c>
      <c r="H29">
        <v>0.05</v>
      </c>
      <c r="I29" t="s">
        <v>96</v>
      </c>
      <c r="J29" t="s">
        <v>91</v>
      </c>
      <c r="K29">
        <v>0.44</v>
      </c>
      <c r="L29">
        <v>0.64</v>
      </c>
      <c r="P29" s="8"/>
    </row>
    <row r="30" spans="1:38" x14ac:dyDescent="0.35">
      <c r="E30" t="s">
        <v>92</v>
      </c>
      <c r="F30">
        <v>3.16</v>
      </c>
      <c r="G30" t="s">
        <v>93</v>
      </c>
      <c r="H30">
        <v>0</v>
      </c>
      <c r="I30" t="s">
        <v>98</v>
      </c>
      <c r="J30" t="s">
        <v>92</v>
      </c>
      <c r="K30">
        <v>0.41</v>
      </c>
      <c r="L30">
        <v>0.92</v>
      </c>
    </row>
    <row r="31" spans="1:38" x14ac:dyDescent="0.35">
      <c r="E31" t="s">
        <v>93</v>
      </c>
      <c r="F31">
        <v>1.24</v>
      </c>
      <c r="G31" t="s">
        <v>94</v>
      </c>
      <c r="H31">
        <f>17/20</f>
        <v>0.85</v>
      </c>
      <c r="I31" t="s">
        <v>99</v>
      </c>
      <c r="J31" t="s">
        <v>93</v>
      </c>
      <c r="K31">
        <v>0.39</v>
      </c>
      <c r="L31">
        <v>0.17</v>
      </c>
    </row>
    <row r="32" spans="1:38" x14ac:dyDescent="0.35">
      <c r="E32" t="s">
        <v>94</v>
      </c>
      <c r="F32">
        <v>1.7</v>
      </c>
      <c r="G32" t="s">
        <v>95</v>
      </c>
      <c r="H32">
        <v>0</v>
      </c>
      <c r="I32" t="s">
        <v>112</v>
      </c>
      <c r="J32" t="s">
        <v>94</v>
      </c>
      <c r="K32">
        <v>0.35</v>
      </c>
      <c r="L32">
        <v>0.34</v>
      </c>
    </row>
    <row r="33" spans="5:22" x14ac:dyDescent="0.35">
      <c r="E33" t="s">
        <v>95</v>
      </c>
      <c r="F33">
        <v>1.0900000000000001</v>
      </c>
      <c r="G33" t="s">
        <v>96</v>
      </c>
      <c r="H33">
        <v>0.2</v>
      </c>
      <c r="I33" t="s">
        <v>114</v>
      </c>
      <c r="J33" t="s">
        <v>95</v>
      </c>
      <c r="K33">
        <v>0.3</v>
      </c>
      <c r="L33">
        <v>0.41</v>
      </c>
    </row>
    <row r="34" spans="5:22" x14ac:dyDescent="0.35">
      <c r="E34" t="s">
        <v>96</v>
      </c>
      <c r="F34">
        <v>1.1599999999999999</v>
      </c>
      <c r="G34" t="s">
        <v>97</v>
      </c>
      <c r="H34">
        <v>0.05</v>
      </c>
      <c r="I34" t="s">
        <v>117</v>
      </c>
      <c r="J34" t="s">
        <v>96</v>
      </c>
      <c r="K34">
        <v>0.25</v>
      </c>
      <c r="L34">
        <v>0.31</v>
      </c>
      <c r="V34" s="8"/>
    </row>
    <row r="35" spans="5:22" ht="13.15" x14ac:dyDescent="0.4">
      <c r="E35" t="s">
        <v>97</v>
      </c>
      <c r="F35">
        <v>2.5</v>
      </c>
      <c r="G35" t="s">
        <v>98</v>
      </c>
      <c r="H35">
        <v>0.6</v>
      </c>
      <c r="I35" t="s">
        <v>397</v>
      </c>
      <c r="K35" s="1">
        <f>AVERAGE(K2:K34)</f>
        <v>0.70687500000000014</v>
      </c>
      <c r="L35" s="1">
        <f>AVERAGE(L3:L34)</f>
        <v>0.49874999999999992</v>
      </c>
    </row>
    <row r="36" spans="5:22" ht="13.15" x14ac:dyDescent="0.4">
      <c r="E36" t="s">
        <v>98</v>
      </c>
      <c r="F36">
        <v>2.09</v>
      </c>
      <c r="G36" t="s">
        <v>99</v>
      </c>
      <c r="H36">
        <v>0</v>
      </c>
      <c r="I36" t="s">
        <v>281</v>
      </c>
      <c r="K36" s="1">
        <f>STDEV(K3:K34)</f>
        <v>0.36850559150132495</v>
      </c>
      <c r="L36" s="1">
        <f>STDEV(L3:L34)</f>
        <v>0.23744269257668182</v>
      </c>
      <c r="V36" s="8"/>
    </row>
    <row r="37" spans="5:22" ht="13.15" x14ac:dyDescent="0.4">
      <c r="E37" t="s">
        <v>99</v>
      </c>
      <c r="F37">
        <v>1.01</v>
      </c>
      <c r="G37" t="s">
        <v>100</v>
      </c>
      <c r="H37">
        <v>0</v>
      </c>
      <c r="I37" t="s">
        <v>284</v>
      </c>
      <c r="K37" s="1">
        <f>STDEV(K3:K34)/SQRT(32)</f>
        <v>6.5143200663936654E-2</v>
      </c>
      <c r="L37" s="1">
        <f>L36/SQRT(32)</f>
        <v>4.1974334516041101E-2</v>
      </c>
    </row>
    <row r="38" spans="5:22" x14ac:dyDescent="0.35">
      <c r="E38" t="s">
        <v>100</v>
      </c>
      <c r="F38">
        <v>2.2799999999999998</v>
      </c>
      <c r="G38" t="s">
        <v>101</v>
      </c>
      <c r="H38">
        <v>0.2</v>
      </c>
    </row>
    <row r="39" spans="5:22" x14ac:dyDescent="0.35">
      <c r="E39" t="s">
        <v>101</v>
      </c>
      <c r="F39">
        <v>1.97</v>
      </c>
      <c r="G39" t="s">
        <v>102</v>
      </c>
      <c r="H39">
        <v>0.15</v>
      </c>
    </row>
    <row r="40" spans="5:22" x14ac:dyDescent="0.35">
      <c r="E40" t="s">
        <v>102</v>
      </c>
      <c r="F40">
        <v>2.29</v>
      </c>
      <c r="G40" t="s">
        <v>103</v>
      </c>
      <c r="H40">
        <v>0.15</v>
      </c>
    </row>
    <row r="41" spans="5:22" x14ac:dyDescent="0.35">
      <c r="E41" t="s">
        <v>103</v>
      </c>
      <c r="F41">
        <v>1.18</v>
      </c>
      <c r="G41" t="s">
        <v>104</v>
      </c>
      <c r="H41">
        <v>0.05</v>
      </c>
    </row>
    <row r="42" spans="5:22" x14ac:dyDescent="0.35">
      <c r="E42" t="s">
        <v>104</v>
      </c>
      <c r="F42">
        <v>2.35</v>
      </c>
      <c r="G42" t="s">
        <v>105</v>
      </c>
      <c r="H42">
        <v>0.15</v>
      </c>
    </row>
    <row r="43" spans="5:22" ht="13.15" x14ac:dyDescent="0.4">
      <c r="E43" t="s">
        <v>105</v>
      </c>
      <c r="F43">
        <v>1.72</v>
      </c>
      <c r="G43" t="s">
        <v>106</v>
      </c>
      <c r="H43">
        <v>0.1</v>
      </c>
      <c r="N43" s="1"/>
    </row>
    <row r="44" spans="5:22" x14ac:dyDescent="0.35">
      <c r="E44" t="s">
        <v>106</v>
      </c>
      <c r="F44">
        <v>1.87</v>
      </c>
      <c r="G44" t="s">
        <v>107</v>
      </c>
      <c r="H44">
        <v>0.4</v>
      </c>
    </row>
    <row r="45" spans="5:22" x14ac:dyDescent="0.35">
      <c r="E45" t="s">
        <v>107</v>
      </c>
      <c r="F45">
        <v>1.56</v>
      </c>
      <c r="G45" t="s">
        <v>108</v>
      </c>
      <c r="H45">
        <v>0</v>
      </c>
    </row>
    <row r="46" spans="5:22" x14ac:dyDescent="0.35">
      <c r="E46" t="s">
        <v>108</v>
      </c>
      <c r="F46">
        <v>1.26</v>
      </c>
      <c r="G46" t="s">
        <v>112</v>
      </c>
      <c r="H46">
        <v>0.2</v>
      </c>
    </row>
    <row r="47" spans="5:22" x14ac:dyDescent="0.35">
      <c r="E47" t="s">
        <v>112</v>
      </c>
      <c r="F47">
        <v>1.04</v>
      </c>
      <c r="G47" t="s">
        <v>114</v>
      </c>
      <c r="H47">
        <v>0.45</v>
      </c>
    </row>
    <row r="48" spans="5:22" x14ac:dyDescent="0.35">
      <c r="E48" t="s">
        <v>114</v>
      </c>
      <c r="F48">
        <v>2.36</v>
      </c>
      <c r="G48" t="s">
        <v>117</v>
      </c>
      <c r="H48">
        <v>0.05</v>
      </c>
    </row>
    <row r="49" spans="5:8" x14ac:dyDescent="0.35">
      <c r="E49" t="s">
        <v>117</v>
      </c>
      <c r="F49">
        <v>1.72</v>
      </c>
      <c r="G49" t="s">
        <v>120</v>
      </c>
      <c r="H49">
        <v>0.15</v>
      </c>
    </row>
    <row r="50" spans="5:8" x14ac:dyDescent="0.35">
      <c r="E50" t="s">
        <v>119</v>
      </c>
      <c r="F50">
        <v>2.31</v>
      </c>
      <c r="G50" t="s">
        <v>121</v>
      </c>
      <c r="H50">
        <v>0.65</v>
      </c>
    </row>
    <row r="51" spans="5:8" x14ac:dyDescent="0.35">
      <c r="E51" t="s">
        <v>120</v>
      </c>
      <c r="F51">
        <v>2.73</v>
      </c>
      <c r="G51" t="s">
        <v>122</v>
      </c>
      <c r="H51">
        <v>0.1</v>
      </c>
    </row>
    <row r="52" spans="5:8" x14ac:dyDescent="0.35">
      <c r="E52" t="s">
        <v>121</v>
      </c>
      <c r="F52">
        <v>2.46</v>
      </c>
      <c r="G52" t="s">
        <v>124</v>
      </c>
      <c r="H52">
        <v>0.4</v>
      </c>
    </row>
    <row r="53" spans="5:8" x14ac:dyDescent="0.35">
      <c r="E53" t="s">
        <v>122</v>
      </c>
      <c r="F53">
        <v>4.32</v>
      </c>
      <c r="G53" t="s">
        <v>127</v>
      </c>
      <c r="H53">
        <v>0.05</v>
      </c>
    </row>
    <row r="54" spans="5:8" x14ac:dyDescent="0.35">
      <c r="E54" t="s">
        <v>123</v>
      </c>
      <c r="F54">
        <v>2.15</v>
      </c>
      <c r="G54" t="s">
        <v>524</v>
      </c>
      <c r="H54">
        <v>0.3</v>
      </c>
    </row>
    <row r="55" spans="5:8" x14ac:dyDescent="0.35">
      <c r="E55" t="s">
        <v>124</v>
      </c>
      <c r="F55">
        <v>1.86</v>
      </c>
      <c r="G55" t="s">
        <v>528</v>
      </c>
      <c r="H55">
        <v>0.1</v>
      </c>
    </row>
    <row r="56" spans="5:8" x14ac:dyDescent="0.35">
      <c r="E56" t="s">
        <v>127</v>
      </c>
      <c r="F56">
        <v>2.46</v>
      </c>
      <c r="G56" t="s">
        <v>532</v>
      </c>
      <c r="H56">
        <v>0.05</v>
      </c>
    </row>
    <row r="57" spans="5:8" x14ac:dyDescent="0.35">
      <c r="E57" t="s">
        <v>524</v>
      </c>
      <c r="F57">
        <v>1.7</v>
      </c>
      <c r="G57" t="s">
        <v>536</v>
      </c>
      <c r="H57">
        <v>0.05</v>
      </c>
    </row>
    <row r="58" spans="5:8" x14ac:dyDescent="0.35">
      <c r="E58" t="s">
        <v>528</v>
      </c>
      <c r="F58">
        <v>2.0099999999999998</v>
      </c>
      <c r="G58" t="s">
        <v>540</v>
      </c>
      <c r="H58">
        <v>0.6</v>
      </c>
    </row>
    <row r="59" spans="5:8" x14ac:dyDescent="0.35">
      <c r="E59" t="s">
        <v>532</v>
      </c>
      <c r="F59">
        <v>1.84</v>
      </c>
      <c r="G59" t="s">
        <v>544</v>
      </c>
      <c r="H59">
        <v>0.6</v>
      </c>
    </row>
    <row r="60" spans="5:8" ht="13.15" x14ac:dyDescent="0.4">
      <c r="E60" t="s">
        <v>536</v>
      </c>
      <c r="F60">
        <v>1.99</v>
      </c>
      <c r="G60" t="s">
        <v>397</v>
      </c>
      <c r="H60" s="1">
        <f>AVERAGE(H3:H59)</f>
        <v>0.25877192982456149</v>
      </c>
    </row>
    <row r="61" spans="5:8" ht="13.15" x14ac:dyDescent="0.4">
      <c r="E61" t="s">
        <v>540</v>
      </c>
      <c r="F61">
        <v>3.3</v>
      </c>
      <c r="G61" t="s">
        <v>281</v>
      </c>
      <c r="H61" s="1">
        <f>STDEV(H3:H59)</f>
        <v>0.22497674622247552</v>
      </c>
    </row>
    <row r="62" spans="5:8" ht="13.15" x14ac:dyDescent="0.4">
      <c r="E62" t="s">
        <v>544</v>
      </c>
      <c r="F62">
        <v>1.29</v>
      </c>
      <c r="G62" t="s">
        <v>284</v>
      </c>
      <c r="H62" s="1">
        <f>STDEV(H3:H59)/SQRT(57)</f>
        <v>2.9798897995887967E-2</v>
      </c>
    </row>
    <row r="63" spans="5:8" ht="13.15" x14ac:dyDescent="0.4">
      <c r="E63" t="s">
        <v>397</v>
      </c>
      <c r="F63" s="1">
        <f>AVERAGE(F3:F62)</f>
        <v>1.995833333333334</v>
      </c>
    </row>
    <row r="64" spans="5:8" ht="13.15" x14ac:dyDescent="0.4">
      <c r="E64" t="s">
        <v>281</v>
      </c>
      <c r="F64" s="1">
        <f>STDEV(F3:F62)</f>
        <v>0.67707319201444627</v>
      </c>
    </row>
    <row r="65" spans="5:6" ht="13.15" x14ac:dyDescent="0.4">
      <c r="E65" t="s">
        <v>284</v>
      </c>
      <c r="F65" s="1">
        <f>STDEV(F3:F62)/SQRT(60)</f>
        <v>8.7409773227848236E-2</v>
      </c>
    </row>
  </sheetData>
  <mergeCells count="3">
    <mergeCell ref="A1:D1"/>
    <mergeCell ref="N1:Q1"/>
    <mergeCell ref="AA1:AD1"/>
  </mergeCells>
  <pageMargins left="0.78749999999999998" right="0.78749999999999998" top="1.0249999999999999" bottom="1.0249999999999999" header="0.78749999999999998" footer="0.78749999999999998"/>
  <pageSetup firstPageNumber="0" orientation="portrait" horizontalDpi="1200" verticalDpi="12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Figure1</vt:lpstr>
      <vt:lpstr>Figure2</vt:lpstr>
      <vt:lpstr>Figure3</vt:lpstr>
      <vt:lpstr>Figure4</vt:lpstr>
      <vt:lpstr>Figure5</vt:lpstr>
      <vt:lpstr>Figure6</vt:lpstr>
      <vt:lpstr>Figure7</vt:lpstr>
      <vt:lpstr>Supplementary_Fig1</vt:lpstr>
      <vt:lpstr>Supplementary_Fig2</vt:lpstr>
      <vt:lpstr>Supplementary_Fig3</vt:lpstr>
      <vt:lpstr>Supplementary_Fig4</vt:lpstr>
      <vt:lpstr>Supplementary_Fig5</vt:lpstr>
      <vt:lpstr>Supplementary_Fig6</vt:lpstr>
      <vt:lpstr>Supplementary_Fig7</vt:lpstr>
      <vt:lpstr>Supplementary_Fig8</vt:lpstr>
      <vt:lpstr>Supplementary_Fig9</vt:lpstr>
      <vt:lpstr>Supplementary_Fig10</vt:lpstr>
      <vt:lpstr>Supplementary_Table1</vt:lpstr>
      <vt:lpstr>Supplementary_Table2</vt:lpstr>
      <vt:lpstr>Supplementary_Table3</vt:lpstr>
      <vt:lpstr>Supplementary_Table4</vt:lpstr>
      <vt:lpstr>Supplementary_Table5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Peter Jonas</cp:lastModifiedBy>
  <cp:revision>308</cp:revision>
  <cp:lastPrinted>2026-03-21T19:15:51Z</cp:lastPrinted>
  <dcterms:created xsi:type="dcterms:W3CDTF">2026-03-06T17:00:41Z</dcterms:created>
  <dcterms:modified xsi:type="dcterms:W3CDTF">2026-03-21T19:19:46Z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