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4" documentId="8_{1B1C67C0-96B4-4A45-BCBA-E0B0417665C5}" xr6:coauthVersionLast="47" xr6:coauthVersionMax="47" xr10:uidLastSave="{B37C2328-1AE1-CB4E-AB54-1CA5826E58A6}"/>
  <bookViews>
    <workbookView xWindow="0" yWindow="760" windowWidth="30240" windowHeight="18880" xr2:uid="{A0FFBB98-1269-004E-9692-800AEA11EBAB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F7" i="1" s="1"/>
  <c r="O8" i="1"/>
  <c r="P8" i="1" s="1"/>
  <c r="R8" i="1"/>
  <c r="R9" i="1" s="1"/>
  <c r="C9" i="1"/>
  <c r="M9" i="1"/>
  <c r="C11" i="1"/>
  <c r="M11" i="1"/>
  <c r="C13" i="1"/>
  <c r="I13" i="1"/>
  <c r="J13" i="1"/>
  <c r="J14" i="1" s="1"/>
  <c r="J15" i="1" s="1"/>
  <c r="J16" i="1" s="1"/>
  <c r="J17" i="1" s="1"/>
  <c r="J18" i="1" s="1"/>
  <c r="I14" i="1"/>
  <c r="C15" i="1"/>
  <c r="I15" i="1"/>
  <c r="I16" i="1"/>
  <c r="C17" i="1"/>
  <c r="I17" i="1"/>
  <c r="I18" i="1"/>
  <c r="C19" i="1"/>
  <c r="I19" i="1"/>
  <c r="I20" i="1"/>
  <c r="C21" i="1"/>
  <c r="I21" i="1"/>
  <c r="I22" i="1"/>
  <c r="C23" i="1"/>
  <c r="I23" i="1"/>
  <c r="I24" i="1"/>
  <c r="C25" i="1"/>
  <c r="I25" i="1"/>
  <c r="I26" i="1"/>
  <c r="C27" i="1"/>
  <c r="I27" i="1"/>
  <c r="I28" i="1"/>
  <c r="C29" i="1"/>
  <c r="I29" i="1"/>
  <c r="I30" i="1"/>
  <c r="C31" i="1"/>
  <c r="I31" i="1"/>
  <c r="I32" i="1"/>
  <c r="C33" i="1"/>
  <c r="I33" i="1"/>
  <c r="I34" i="1"/>
  <c r="C35" i="1"/>
  <c r="I35" i="1"/>
  <c r="I36" i="1"/>
  <c r="C37" i="1"/>
  <c r="I37" i="1"/>
  <c r="T39" i="1"/>
  <c r="T43" i="1" s="1"/>
  <c r="T40" i="1"/>
  <c r="AI40" i="1"/>
  <c r="F49" i="1"/>
  <c r="S49" i="1"/>
  <c r="U49" i="1"/>
  <c r="O50" i="1"/>
  <c r="O51" i="1" s="1"/>
  <c r="P50" i="1"/>
  <c r="R50" i="1"/>
  <c r="R51" i="1" s="1"/>
  <c r="R52" i="1" s="1"/>
  <c r="R53" i="1" s="1"/>
  <c r="C51" i="1"/>
  <c r="M51" i="1"/>
  <c r="C53" i="1"/>
  <c r="M53" i="1"/>
  <c r="C55" i="1"/>
  <c r="I55" i="1"/>
  <c r="J55" i="1"/>
  <c r="J56" i="1" s="1"/>
  <c r="J57" i="1" s="1"/>
  <c r="I56" i="1"/>
  <c r="C57" i="1"/>
  <c r="I57" i="1"/>
  <c r="I58" i="1"/>
  <c r="C59" i="1"/>
  <c r="I59" i="1"/>
  <c r="I60" i="1"/>
  <c r="C61" i="1"/>
  <c r="I61" i="1"/>
  <c r="I62" i="1"/>
  <c r="C63" i="1"/>
  <c r="I63" i="1"/>
  <c r="I64" i="1"/>
  <c r="C65" i="1"/>
  <c r="I65" i="1"/>
  <c r="I66" i="1"/>
  <c r="C67" i="1"/>
  <c r="I67" i="1"/>
  <c r="I68" i="1"/>
  <c r="C69" i="1"/>
  <c r="I69" i="1"/>
  <c r="I70" i="1"/>
  <c r="C71" i="1"/>
  <c r="I71" i="1"/>
  <c r="I72" i="1"/>
  <c r="C73" i="1"/>
  <c r="I73" i="1"/>
  <c r="I74" i="1"/>
  <c r="C75" i="1"/>
  <c r="I75" i="1"/>
  <c r="I76" i="1"/>
  <c r="C77" i="1"/>
  <c r="I77" i="1"/>
  <c r="I78" i="1"/>
  <c r="C79" i="1"/>
  <c r="I79" i="1"/>
  <c r="T81" i="1"/>
  <c r="T82" i="1"/>
  <c r="AI82" i="1"/>
  <c r="T85" i="1"/>
  <c r="S91" i="1"/>
  <c r="F91" i="1" s="1"/>
  <c r="O92" i="1"/>
  <c r="O93" i="1" s="1"/>
  <c r="P93" i="1" s="1"/>
  <c r="P92" i="1"/>
  <c r="R92" i="1"/>
  <c r="R93" i="1" s="1"/>
  <c r="S93" i="1" s="1"/>
  <c r="U93" i="1" s="1"/>
  <c r="S92" i="1"/>
  <c r="C93" i="1"/>
  <c r="M93" i="1"/>
  <c r="C95" i="1"/>
  <c r="M95" i="1"/>
  <c r="C97" i="1"/>
  <c r="I97" i="1"/>
  <c r="I98" i="1"/>
  <c r="C99" i="1"/>
  <c r="I99" i="1"/>
  <c r="I100" i="1"/>
  <c r="C101" i="1"/>
  <c r="I101" i="1"/>
  <c r="I102" i="1"/>
  <c r="C103" i="1"/>
  <c r="I103" i="1"/>
  <c r="I104" i="1"/>
  <c r="C105" i="1"/>
  <c r="I105" i="1"/>
  <c r="I106" i="1"/>
  <c r="C107" i="1"/>
  <c r="I107" i="1"/>
  <c r="I108" i="1"/>
  <c r="C109" i="1"/>
  <c r="I109" i="1"/>
  <c r="I110" i="1"/>
  <c r="C111" i="1"/>
  <c r="I111" i="1"/>
  <c r="I112" i="1"/>
  <c r="C113" i="1"/>
  <c r="I113" i="1"/>
  <c r="I114" i="1"/>
  <c r="C115" i="1"/>
  <c r="I115" i="1"/>
  <c r="I116" i="1"/>
  <c r="C117" i="1"/>
  <c r="I117" i="1"/>
  <c r="I118" i="1"/>
  <c r="C119" i="1"/>
  <c r="I119" i="1"/>
  <c r="I120" i="1"/>
  <c r="C121" i="1"/>
  <c r="I121" i="1"/>
  <c r="J123" i="1"/>
  <c r="T123" i="1"/>
  <c r="T127" i="1" s="1"/>
  <c r="V123" i="1"/>
  <c r="T124" i="1"/>
  <c r="AI124" i="1"/>
  <c r="S50" i="1" l="1"/>
  <c r="O94" i="1"/>
  <c r="R94" i="1"/>
  <c r="R95" i="1" s="1"/>
  <c r="F93" i="1"/>
  <c r="U91" i="1"/>
  <c r="U7" i="1"/>
  <c r="J58" i="1"/>
  <c r="J59" i="1" s="1"/>
  <c r="P51" i="1"/>
  <c r="S51" i="1" s="1"/>
  <c r="F51" i="1" s="1"/>
  <c r="O52" i="1"/>
  <c r="J19" i="1"/>
  <c r="J124" i="1"/>
  <c r="R54" i="1"/>
  <c r="R10" i="1"/>
  <c r="O9" i="1"/>
  <c r="S8" i="1"/>
  <c r="O95" i="1" l="1"/>
  <c r="P94" i="1"/>
  <c r="S94" i="1" s="1"/>
  <c r="R96" i="1"/>
  <c r="R11" i="1"/>
  <c r="R55" i="1"/>
  <c r="J20" i="1"/>
  <c r="O53" i="1"/>
  <c r="P52" i="1"/>
  <c r="S52" i="1" s="1"/>
  <c r="R97" i="1"/>
  <c r="O10" i="1"/>
  <c r="P9" i="1"/>
  <c r="S9" i="1" s="1"/>
  <c r="F9" i="1" s="1"/>
  <c r="J60" i="1"/>
  <c r="P95" i="1" l="1"/>
  <c r="S95" i="1" s="1"/>
  <c r="O96" i="1"/>
  <c r="R98" i="1"/>
  <c r="P53" i="1"/>
  <c r="S53" i="1" s="1"/>
  <c r="O54" i="1"/>
  <c r="J21" i="1"/>
  <c r="J61" i="1"/>
  <c r="R56" i="1"/>
  <c r="O11" i="1"/>
  <c r="P10" i="1"/>
  <c r="S10" i="1" s="1"/>
  <c r="R12" i="1"/>
  <c r="P96" i="1" l="1"/>
  <c r="S96" i="1" s="1"/>
  <c r="O97" i="1"/>
  <c r="U95" i="1"/>
  <c r="F95" i="1"/>
  <c r="D95" i="1"/>
  <c r="R57" i="1"/>
  <c r="J22" i="1"/>
  <c r="J23" i="1" s="1"/>
  <c r="U53" i="1"/>
  <c r="D53" i="1"/>
  <c r="F53" i="1"/>
  <c r="J62" i="1"/>
  <c r="R13" i="1"/>
  <c r="P54" i="1"/>
  <c r="S54" i="1" s="1"/>
  <c r="O55" i="1"/>
  <c r="P11" i="1"/>
  <c r="S11" i="1" s="1"/>
  <c r="O12" i="1"/>
  <c r="R99" i="1"/>
  <c r="O98" i="1" l="1"/>
  <c r="P97" i="1"/>
  <c r="S97" i="1" s="1"/>
  <c r="U11" i="1"/>
  <c r="D11" i="1"/>
  <c r="F11" i="1"/>
  <c r="O56" i="1"/>
  <c r="P55" i="1"/>
  <c r="S55" i="1" s="1"/>
  <c r="O13" i="1"/>
  <c r="P12" i="1"/>
  <c r="S12" i="1" s="1"/>
  <c r="R14" i="1"/>
  <c r="R58" i="1"/>
  <c r="J63" i="1"/>
  <c r="R100" i="1"/>
  <c r="J24" i="1"/>
  <c r="F97" i="1" l="1"/>
  <c r="U97" i="1"/>
  <c r="D97" i="1"/>
  <c r="K97" i="1"/>
  <c r="L97" i="1" s="1"/>
  <c r="M97" i="1"/>
  <c r="O99" i="1"/>
  <c r="P98" i="1"/>
  <c r="S98" i="1" s="1"/>
  <c r="K98" i="1" s="1"/>
  <c r="L98" i="1" s="1"/>
  <c r="R59" i="1"/>
  <c r="R15" i="1"/>
  <c r="J25" i="1"/>
  <c r="O14" i="1"/>
  <c r="P13" i="1"/>
  <c r="S13" i="1" s="1"/>
  <c r="R101" i="1"/>
  <c r="J64" i="1"/>
  <c r="J65" i="1" s="1"/>
  <c r="F55" i="1"/>
  <c r="U55" i="1"/>
  <c r="D55" i="1"/>
  <c r="K55" i="1"/>
  <c r="L55" i="1" s="1"/>
  <c r="M55" i="1"/>
  <c r="O57" i="1"/>
  <c r="P56" i="1"/>
  <c r="S56" i="1" s="1"/>
  <c r="K56" i="1" s="1"/>
  <c r="L56" i="1" s="1"/>
  <c r="P99" i="1" l="1"/>
  <c r="S99" i="1" s="1"/>
  <c r="O100" i="1"/>
  <c r="O15" i="1"/>
  <c r="P14" i="1"/>
  <c r="S14" i="1" s="1"/>
  <c r="K14" i="1" s="1"/>
  <c r="L14" i="1" s="1"/>
  <c r="K13" i="1"/>
  <c r="L13" i="1" s="1"/>
  <c r="D13" i="1"/>
  <c r="F13" i="1"/>
  <c r="U13" i="1"/>
  <c r="M13" i="1"/>
  <c r="J66" i="1"/>
  <c r="J26" i="1"/>
  <c r="R102" i="1"/>
  <c r="R16" i="1"/>
  <c r="P57" i="1"/>
  <c r="S57" i="1" s="1"/>
  <c r="O58" i="1"/>
  <c r="R60" i="1"/>
  <c r="O101" i="1" l="1"/>
  <c r="P100" i="1"/>
  <c r="S100" i="1" s="1"/>
  <c r="U99" i="1"/>
  <c r="D99" i="1"/>
  <c r="F99" i="1"/>
  <c r="K99" i="1"/>
  <c r="L99" i="1" s="1"/>
  <c r="M99" i="1"/>
  <c r="J27" i="1"/>
  <c r="U57" i="1"/>
  <c r="D57" i="1"/>
  <c r="F57" i="1"/>
  <c r="K57" i="1"/>
  <c r="L57" i="1" s="1"/>
  <c r="M57" i="1"/>
  <c r="R61" i="1"/>
  <c r="R17" i="1"/>
  <c r="R103" i="1"/>
  <c r="J67" i="1"/>
  <c r="O59" i="1"/>
  <c r="P58" i="1"/>
  <c r="S58" i="1" s="1"/>
  <c r="P15" i="1"/>
  <c r="S15" i="1" s="1"/>
  <c r="O16" i="1"/>
  <c r="O102" i="1" l="1"/>
  <c r="P101" i="1"/>
  <c r="S101" i="1" s="1"/>
  <c r="R18" i="1"/>
  <c r="R62" i="1"/>
  <c r="P59" i="1"/>
  <c r="S59" i="1" s="1"/>
  <c r="O60" i="1"/>
  <c r="R104" i="1"/>
  <c r="P16" i="1"/>
  <c r="S16" i="1" s="1"/>
  <c r="O17" i="1"/>
  <c r="F15" i="1"/>
  <c r="D15" i="1"/>
  <c r="U15" i="1"/>
  <c r="K15" i="1"/>
  <c r="L15" i="1" s="1"/>
  <c r="M15" i="1"/>
  <c r="J68" i="1"/>
  <c r="J28" i="1"/>
  <c r="F101" i="1" l="1"/>
  <c r="M101" i="1"/>
  <c r="D101" i="1"/>
  <c r="U101" i="1"/>
  <c r="K101" i="1"/>
  <c r="L101" i="1" s="1"/>
  <c r="O103" i="1"/>
  <c r="P102" i="1"/>
  <c r="S102" i="1" s="1"/>
  <c r="K102" i="1" s="1"/>
  <c r="L102" i="1" s="1"/>
  <c r="P17" i="1"/>
  <c r="S17" i="1" s="1"/>
  <c r="O18" i="1"/>
  <c r="R105" i="1"/>
  <c r="J69" i="1"/>
  <c r="R63" i="1"/>
  <c r="R19" i="1"/>
  <c r="J29" i="1"/>
  <c r="O61" i="1"/>
  <c r="P60" i="1"/>
  <c r="S60" i="1" s="1"/>
  <c r="K60" i="1" s="1"/>
  <c r="L60" i="1" s="1"/>
  <c r="U59" i="1"/>
  <c r="D59" i="1"/>
  <c r="F59" i="1"/>
  <c r="K59" i="1"/>
  <c r="L59" i="1" s="1"/>
  <c r="M59" i="1"/>
  <c r="O104" i="1" l="1"/>
  <c r="P103" i="1"/>
  <c r="S103" i="1" s="1"/>
  <c r="J70" i="1"/>
  <c r="P18" i="1"/>
  <c r="S18" i="1" s="1"/>
  <c r="K18" i="1" s="1"/>
  <c r="L18" i="1" s="1"/>
  <c r="O19" i="1"/>
  <c r="R20" i="1"/>
  <c r="R106" i="1"/>
  <c r="O62" i="1"/>
  <c r="P61" i="1"/>
  <c r="S61" i="1" s="1"/>
  <c r="U17" i="1"/>
  <c r="D17" i="1"/>
  <c r="F17" i="1"/>
  <c r="K17" i="1"/>
  <c r="L17" i="1" s="1"/>
  <c r="M17" i="1"/>
  <c r="J30" i="1"/>
  <c r="R64" i="1"/>
  <c r="U103" i="1" l="1"/>
  <c r="D103" i="1"/>
  <c r="F103" i="1"/>
  <c r="K103" i="1"/>
  <c r="L103" i="1" s="1"/>
  <c r="M103" i="1"/>
  <c r="P104" i="1"/>
  <c r="S104" i="1" s="1"/>
  <c r="K104" i="1" s="1"/>
  <c r="L104" i="1" s="1"/>
  <c r="O105" i="1"/>
  <c r="D61" i="1"/>
  <c r="F61" i="1"/>
  <c r="U61" i="1"/>
  <c r="K61" i="1"/>
  <c r="L61" i="1" s="1"/>
  <c r="M61" i="1"/>
  <c r="O63" i="1"/>
  <c r="P62" i="1"/>
  <c r="S62" i="1" s="1"/>
  <c r="K62" i="1" s="1"/>
  <c r="L62" i="1" s="1"/>
  <c r="R107" i="1"/>
  <c r="R21" i="1"/>
  <c r="O20" i="1"/>
  <c r="P19" i="1"/>
  <c r="S19" i="1" s="1"/>
  <c r="R65" i="1"/>
  <c r="J31" i="1"/>
  <c r="J71" i="1"/>
  <c r="P105" i="1" l="1"/>
  <c r="S105" i="1" s="1"/>
  <c r="O106" i="1"/>
  <c r="O21" i="1"/>
  <c r="P20" i="1"/>
  <c r="S20" i="1" s="1"/>
  <c r="K20" i="1" s="1"/>
  <c r="L20" i="1" s="1"/>
  <c r="F19" i="1"/>
  <c r="U19" i="1"/>
  <c r="D19" i="1"/>
  <c r="K19" i="1"/>
  <c r="L19" i="1" s="1"/>
  <c r="M19" i="1"/>
  <c r="R22" i="1"/>
  <c r="J72" i="1"/>
  <c r="R66" i="1"/>
  <c r="R108" i="1"/>
  <c r="P63" i="1"/>
  <c r="S63" i="1" s="1"/>
  <c r="O64" i="1"/>
  <c r="J32" i="1"/>
  <c r="O107" i="1" l="1"/>
  <c r="P106" i="1"/>
  <c r="S106" i="1" s="1"/>
  <c r="U105" i="1"/>
  <c r="F105" i="1"/>
  <c r="M105" i="1"/>
  <c r="D105" i="1"/>
  <c r="K105" i="1"/>
  <c r="L105" i="1" s="1"/>
  <c r="R23" i="1"/>
  <c r="J73" i="1"/>
  <c r="J33" i="1"/>
  <c r="P64" i="1"/>
  <c r="S64" i="1" s="1"/>
  <c r="O65" i="1"/>
  <c r="D63" i="1"/>
  <c r="F63" i="1"/>
  <c r="U63" i="1"/>
  <c r="K63" i="1"/>
  <c r="L63" i="1" s="1"/>
  <c r="M63" i="1"/>
  <c r="R109" i="1"/>
  <c r="R67" i="1"/>
  <c r="P21" i="1"/>
  <c r="S21" i="1" s="1"/>
  <c r="O22" i="1"/>
  <c r="O108" i="1" l="1"/>
  <c r="P107" i="1"/>
  <c r="S107" i="1" s="1"/>
  <c r="R24" i="1"/>
  <c r="P65" i="1"/>
  <c r="S65" i="1" s="1"/>
  <c r="O66" i="1"/>
  <c r="R110" i="1"/>
  <c r="O23" i="1"/>
  <c r="P22" i="1"/>
  <c r="S22" i="1" s="1"/>
  <c r="U21" i="1"/>
  <c r="D21" i="1"/>
  <c r="F21" i="1"/>
  <c r="K21" i="1"/>
  <c r="L21" i="1" s="1"/>
  <c r="M21" i="1"/>
  <c r="J74" i="1"/>
  <c r="R68" i="1"/>
  <c r="J34" i="1"/>
  <c r="K107" i="1" l="1"/>
  <c r="L107" i="1" s="1"/>
  <c r="F107" i="1"/>
  <c r="D107" i="1"/>
  <c r="M107" i="1"/>
  <c r="U107" i="1"/>
  <c r="O109" i="1"/>
  <c r="P108" i="1"/>
  <c r="S108" i="1" s="1"/>
  <c r="K108" i="1" s="1"/>
  <c r="L108" i="1" s="1"/>
  <c r="J35" i="1"/>
  <c r="R69" i="1"/>
  <c r="J75" i="1"/>
  <c r="P66" i="1"/>
  <c r="S66" i="1" s="1"/>
  <c r="K66" i="1" s="1"/>
  <c r="L66" i="1" s="1"/>
  <c r="O67" i="1"/>
  <c r="P23" i="1"/>
  <c r="S23" i="1" s="1"/>
  <c r="O24" i="1"/>
  <c r="R111" i="1"/>
  <c r="U65" i="1"/>
  <c r="D65" i="1"/>
  <c r="F65" i="1"/>
  <c r="K65" i="1"/>
  <c r="L65" i="1" s="1"/>
  <c r="M65" i="1"/>
  <c r="R25" i="1"/>
  <c r="P109" i="1" l="1"/>
  <c r="S109" i="1" s="1"/>
  <c r="O110" i="1"/>
  <c r="R70" i="1"/>
  <c r="J36" i="1"/>
  <c r="R112" i="1"/>
  <c r="R26" i="1"/>
  <c r="P24" i="1"/>
  <c r="S24" i="1" s="1"/>
  <c r="K24" i="1" s="1"/>
  <c r="L24" i="1" s="1"/>
  <c r="O25" i="1"/>
  <c r="U23" i="1"/>
  <c r="D23" i="1"/>
  <c r="F23" i="1"/>
  <c r="K23" i="1"/>
  <c r="L23" i="1" s="1"/>
  <c r="M23" i="1"/>
  <c r="O68" i="1"/>
  <c r="P67" i="1"/>
  <c r="S67" i="1" s="1"/>
  <c r="J76" i="1"/>
  <c r="P110" i="1" l="1"/>
  <c r="S110" i="1" s="1"/>
  <c r="K110" i="1" s="1"/>
  <c r="L110" i="1" s="1"/>
  <c r="O111" i="1"/>
  <c r="U109" i="1"/>
  <c r="F109" i="1"/>
  <c r="D109" i="1"/>
  <c r="K109" i="1"/>
  <c r="L109" i="1" s="1"/>
  <c r="M109" i="1"/>
  <c r="O26" i="1"/>
  <c r="P25" i="1"/>
  <c r="S25" i="1" s="1"/>
  <c r="J77" i="1"/>
  <c r="D67" i="1"/>
  <c r="U67" i="1"/>
  <c r="F67" i="1"/>
  <c r="K67" i="1"/>
  <c r="L67" i="1" s="1"/>
  <c r="M67" i="1"/>
  <c r="R27" i="1"/>
  <c r="R113" i="1"/>
  <c r="O69" i="1"/>
  <c r="P68" i="1"/>
  <c r="S68" i="1" s="1"/>
  <c r="K68" i="1" s="1"/>
  <c r="L68" i="1" s="1"/>
  <c r="J37" i="1"/>
  <c r="R71" i="1"/>
  <c r="O112" i="1" l="1"/>
  <c r="P111" i="1"/>
  <c r="S111" i="1" s="1"/>
  <c r="R114" i="1"/>
  <c r="R28" i="1"/>
  <c r="J39" i="1"/>
  <c r="P69" i="1"/>
  <c r="S69" i="1" s="1"/>
  <c r="O70" i="1"/>
  <c r="J78" i="1"/>
  <c r="R72" i="1"/>
  <c r="D25" i="1"/>
  <c r="F25" i="1"/>
  <c r="U25" i="1"/>
  <c r="K25" i="1"/>
  <c r="L25" i="1" s="1"/>
  <c r="M25" i="1"/>
  <c r="O27" i="1"/>
  <c r="P26" i="1"/>
  <c r="S26" i="1" s="1"/>
  <c r="K26" i="1" s="1"/>
  <c r="L26" i="1" s="1"/>
  <c r="D111" i="1" l="1"/>
  <c r="U111" i="1"/>
  <c r="K111" i="1"/>
  <c r="L111" i="1" s="1"/>
  <c r="F111" i="1"/>
  <c r="M111" i="1"/>
  <c r="O113" i="1"/>
  <c r="P112" i="1"/>
  <c r="S112" i="1" s="1"/>
  <c r="K112" i="1" s="1"/>
  <c r="L112" i="1" s="1"/>
  <c r="O28" i="1"/>
  <c r="P27" i="1"/>
  <c r="S27" i="1" s="1"/>
  <c r="P70" i="1"/>
  <c r="S70" i="1" s="1"/>
  <c r="K70" i="1" s="1"/>
  <c r="L70" i="1" s="1"/>
  <c r="O71" i="1"/>
  <c r="J79" i="1"/>
  <c r="J40" i="1"/>
  <c r="V39" i="1"/>
  <c r="R73" i="1"/>
  <c r="F69" i="1"/>
  <c r="D69" i="1"/>
  <c r="U69" i="1"/>
  <c r="K69" i="1"/>
  <c r="L69" i="1" s="1"/>
  <c r="M69" i="1"/>
  <c r="R29" i="1"/>
  <c r="R115" i="1"/>
  <c r="O114" i="1" l="1"/>
  <c r="P113" i="1"/>
  <c r="S113" i="1" s="1"/>
  <c r="R30" i="1"/>
  <c r="J81" i="1"/>
  <c r="P71" i="1"/>
  <c r="S71" i="1" s="1"/>
  <c r="O72" i="1"/>
  <c r="F27" i="1"/>
  <c r="D27" i="1"/>
  <c r="U27" i="1"/>
  <c r="K27" i="1"/>
  <c r="L27" i="1" s="1"/>
  <c r="M27" i="1"/>
  <c r="R116" i="1"/>
  <c r="O29" i="1"/>
  <c r="P28" i="1"/>
  <c r="S28" i="1" s="1"/>
  <c r="K28" i="1" s="1"/>
  <c r="L28" i="1" s="1"/>
  <c r="R74" i="1"/>
  <c r="D113" i="1" l="1"/>
  <c r="F113" i="1"/>
  <c r="K113" i="1"/>
  <c r="L113" i="1" s="1"/>
  <c r="U113" i="1"/>
  <c r="M113" i="1"/>
  <c r="O115" i="1"/>
  <c r="P114" i="1"/>
  <c r="S114" i="1" s="1"/>
  <c r="K114" i="1" s="1"/>
  <c r="L114" i="1" s="1"/>
  <c r="P29" i="1"/>
  <c r="S29" i="1" s="1"/>
  <c r="O30" i="1"/>
  <c r="R75" i="1"/>
  <c r="O73" i="1"/>
  <c r="P72" i="1"/>
  <c r="S72" i="1" s="1"/>
  <c r="K72" i="1" s="1"/>
  <c r="L72" i="1" s="1"/>
  <c r="D71" i="1"/>
  <c r="F71" i="1"/>
  <c r="U71" i="1"/>
  <c r="K71" i="1"/>
  <c r="L71" i="1" s="1"/>
  <c r="M71" i="1"/>
  <c r="J82" i="1"/>
  <c r="V81" i="1"/>
  <c r="R117" i="1"/>
  <c r="R31" i="1"/>
  <c r="P115" i="1" l="1"/>
  <c r="S115" i="1" s="1"/>
  <c r="O116" i="1"/>
  <c r="O31" i="1"/>
  <c r="P30" i="1"/>
  <c r="S30" i="1" s="1"/>
  <c r="K30" i="1" s="1"/>
  <c r="L30" i="1" s="1"/>
  <c r="R118" i="1"/>
  <c r="R76" i="1"/>
  <c r="D29" i="1"/>
  <c r="F29" i="1"/>
  <c r="U29" i="1"/>
  <c r="K29" i="1"/>
  <c r="L29" i="1" s="1"/>
  <c r="M29" i="1"/>
  <c r="R32" i="1"/>
  <c r="P73" i="1"/>
  <c r="S73" i="1" s="1"/>
  <c r="O74" i="1"/>
  <c r="O117" i="1" l="1"/>
  <c r="P116" i="1"/>
  <c r="S116" i="1" s="1"/>
  <c r="K116" i="1" s="1"/>
  <c r="L116" i="1" s="1"/>
  <c r="U115" i="1"/>
  <c r="M115" i="1"/>
  <c r="F115" i="1"/>
  <c r="K115" i="1"/>
  <c r="L115" i="1" s="1"/>
  <c r="D115" i="1"/>
  <c r="R77" i="1"/>
  <c r="P74" i="1"/>
  <c r="S74" i="1" s="1"/>
  <c r="K74" i="1" s="1"/>
  <c r="L74" i="1" s="1"/>
  <c r="O75" i="1"/>
  <c r="U73" i="1"/>
  <c r="D73" i="1"/>
  <c r="F73" i="1"/>
  <c r="K73" i="1"/>
  <c r="L73" i="1" s="1"/>
  <c r="M73" i="1"/>
  <c r="R33" i="1"/>
  <c r="R119" i="1"/>
  <c r="P31" i="1"/>
  <c r="S31" i="1" s="1"/>
  <c r="O32" i="1"/>
  <c r="P117" i="1" l="1"/>
  <c r="S117" i="1" s="1"/>
  <c r="O118" i="1"/>
  <c r="O76" i="1"/>
  <c r="P75" i="1"/>
  <c r="S75" i="1" s="1"/>
  <c r="R120" i="1"/>
  <c r="R34" i="1"/>
  <c r="O33" i="1"/>
  <c r="P32" i="1"/>
  <c r="S32" i="1" s="1"/>
  <c r="K32" i="1" s="1"/>
  <c r="L32" i="1" s="1"/>
  <c r="U31" i="1"/>
  <c r="D31" i="1"/>
  <c r="F31" i="1"/>
  <c r="K31" i="1"/>
  <c r="L31" i="1" s="1"/>
  <c r="M31" i="1"/>
  <c r="R78" i="1"/>
  <c r="P118" i="1" l="1"/>
  <c r="S118" i="1" s="1"/>
  <c r="K118" i="1" s="1"/>
  <c r="L118" i="1" s="1"/>
  <c r="O119" i="1"/>
  <c r="K117" i="1"/>
  <c r="L117" i="1" s="1"/>
  <c r="F117" i="1"/>
  <c r="M117" i="1"/>
  <c r="D117" i="1"/>
  <c r="U117" i="1"/>
  <c r="O34" i="1"/>
  <c r="P33" i="1"/>
  <c r="S33" i="1" s="1"/>
  <c r="R35" i="1"/>
  <c r="R79" i="1"/>
  <c r="R121" i="1"/>
  <c r="D75" i="1"/>
  <c r="F75" i="1"/>
  <c r="U75" i="1"/>
  <c r="K75" i="1"/>
  <c r="L75" i="1" s="1"/>
  <c r="M75" i="1"/>
  <c r="O77" i="1"/>
  <c r="P76" i="1"/>
  <c r="S76" i="1" s="1"/>
  <c r="K76" i="1" s="1"/>
  <c r="L76" i="1" s="1"/>
  <c r="P119" i="1" l="1"/>
  <c r="S119" i="1" s="1"/>
  <c r="O120" i="1"/>
  <c r="P77" i="1"/>
  <c r="S77" i="1" s="1"/>
  <c r="O78" i="1"/>
  <c r="R36" i="1"/>
  <c r="D33" i="1"/>
  <c r="F33" i="1"/>
  <c r="U33" i="1"/>
  <c r="K33" i="1"/>
  <c r="L33" i="1" s="1"/>
  <c r="M33" i="1"/>
  <c r="O35" i="1"/>
  <c r="P34" i="1"/>
  <c r="S34" i="1" s="1"/>
  <c r="K34" i="1" s="1"/>
  <c r="L34" i="1" s="1"/>
  <c r="O121" i="1" l="1"/>
  <c r="P121" i="1" s="1"/>
  <c r="S121" i="1" s="1"/>
  <c r="P120" i="1"/>
  <c r="S120" i="1" s="1"/>
  <c r="K120" i="1" s="1"/>
  <c r="L120" i="1" s="1"/>
  <c r="K119" i="1"/>
  <c r="L119" i="1" s="1"/>
  <c r="F119" i="1"/>
  <c r="M119" i="1"/>
  <c r="P35" i="1"/>
  <c r="S35" i="1" s="1"/>
  <c r="O36" i="1"/>
  <c r="AA123" i="1"/>
  <c r="AA124" i="1" s="1"/>
  <c r="AM123" i="1"/>
  <c r="AM124" i="1" s="1"/>
  <c r="X123" i="1"/>
  <c r="AK123" i="1"/>
  <c r="AK124" i="1" s="1"/>
  <c r="AN123" i="1"/>
  <c r="K121" i="1"/>
  <c r="L121" i="1" s="1"/>
  <c r="Y123" i="1"/>
  <c r="Y124" i="1" s="1"/>
  <c r="AL123" i="1"/>
  <c r="AL124" i="1" s="1"/>
  <c r="Z123" i="1"/>
  <c r="Z124" i="1" s="1"/>
  <c r="AB123" i="1"/>
  <c r="AO123" i="1"/>
  <c r="F121" i="1"/>
  <c r="AE123" i="1"/>
  <c r="AE124" i="1" s="1"/>
  <c r="AV123" i="1"/>
  <c r="AG123" i="1"/>
  <c r="AG124" i="1" s="1"/>
  <c r="U121" i="1"/>
  <c r="AP123" i="1"/>
  <c r="AR123" i="1"/>
  <c r="AC123" i="1"/>
  <c r="AC124" i="1" s="1"/>
  <c r="D121" i="1"/>
  <c r="AF123" i="1"/>
  <c r="AF124" i="1" s="1"/>
  <c r="AF127" i="1" s="1"/>
  <c r="AH123" i="1"/>
  <c r="AH124" i="1" s="1"/>
  <c r="AJ123" i="1"/>
  <c r="AJ124" i="1" s="1"/>
  <c r="W123" i="1"/>
  <c r="AT123" i="1"/>
  <c r="AI123" i="1"/>
  <c r="AD123" i="1"/>
  <c r="AD124" i="1" s="1"/>
  <c r="AQ123" i="1"/>
  <c r="AQ124" i="1" s="1"/>
  <c r="AS123" i="1"/>
  <c r="AU123" i="1"/>
  <c r="M121" i="1"/>
  <c r="P78" i="1"/>
  <c r="S78" i="1" s="1"/>
  <c r="K78" i="1" s="1"/>
  <c r="L78" i="1" s="1"/>
  <c r="O79" i="1"/>
  <c r="P79" i="1" s="1"/>
  <c r="S79" i="1" s="1"/>
  <c r="M79" i="1" s="1"/>
  <c r="R37" i="1"/>
  <c r="F77" i="1"/>
  <c r="K77" i="1"/>
  <c r="L77" i="1" s="1"/>
  <c r="M77" i="1"/>
  <c r="AQ125" i="1" l="1"/>
  <c r="AQ127" i="1"/>
  <c r="P36" i="1"/>
  <c r="S36" i="1" s="1"/>
  <c r="K36" i="1" s="1"/>
  <c r="L36" i="1" s="1"/>
  <c r="O37" i="1"/>
  <c r="P37" i="1" s="1"/>
  <c r="S37" i="1" s="1"/>
  <c r="AB81" i="1"/>
  <c r="AN81" i="1"/>
  <c r="X81" i="1"/>
  <c r="AK81" i="1"/>
  <c r="AK82" i="1" s="1"/>
  <c r="AA81" i="1"/>
  <c r="AA82" i="1" s="1"/>
  <c r="AP81" i="1"/>
  <c r="Y81" i="1"/>
  <c r="Y82" i="1" s="1"/>
  <c r="AL81" i="1"/>
  <c r="AL82" i="1" s="1"/>
  <c r="Z81" i="1"/>
  <c r="Z82" i="1" s="1"/>
  <c r="AC81" i="1"/>
  <c r="AC82" i="1" s="1"/>
  <c r="AM81" i="1"/>
  <c r="AM82" i="1" s="1"/>
  <c r="AO81" i="1"/>
  <c r="AI81" i="1"/>
  <c r="AU81" i="1"/>
  <c r="F79" i="1"/>
  <c r="AJ81" i="1"/>
  <c r="AJ82" i="1" s="1"/>
  <c r="AS81" i="1"/>
  <c r="AD81" i="1"/>
  <c r="AD82" i="1" s="1"/>
  <c r="AE81" i="1"/>
  <c r="AE82" i="1" s="1"/>
  <c r="AF81" i="1"/>
  <c r="AF82" i="1" s="1"/>
  <c r="AF85" i="1" s="1"/>
  <c r="U79" i="1"/>
  <c r="AQ81" i="1"/>
  <c r="AQ82" i="1" s="1"/>
  <c r="AR81" i="1"/>
  <c r="W81" i="1"/>
  <c r="AG81" i="1"/>
  <c r="AG82" i="1" s="1"/>
  <c r="AH81" i="1"/>
  <c r="AH82" i="1" s="1"/>
  <c r="AT81" i="1"/>
  <c r="AV81" i="1"/>
  <c r="D79" i="1"/>
  <c r="K79" i="1"/>
  <c r="L79" i="1" s="1"/>
  <c r="AL127" i="1"/>
  <c r="AL125" i="1"/>
  <c r="AK125" i="1"/>
  <c r="AK127" i="1"/>
  <c r="AD125" i="1"/>
  <c r="AD127" i="1"/>
  <c r="F35" i="1"/>
  <c r="K35" i="1"/>
  <c r="L35" i="1" s="1"/>
  <c r="M35" i="1"/>
  <c r="B126" i="1" l="1"/>
  <c r="AB39" i="1"/>
  <c r="AN39" i="1"/>
  <c r="AC39" i="1"/>
  <c r="AC40" i="1" s="1"/>
  <c r="AO39" i="1"/>
  <c r="AP39" i="1"/>
  <c r="AD39" i="1"/>
  <c r="AD40" i="1" s="1"/>
  <c r="U37" i="1"/>
  <c r="AE39" i="1"/>
  <c r="AE40" i="1" s="1"/>
  <c r="AQ39" i="1"/>
  <c r="AQ40" i="1" s="1"/>
  <c r="D37" i="1"/>
  <c r="AF39" i="1"/>
  <c r="AF40" i="1" s="1"/>
  <c r="AF43" i="1" s="1"/>
  <c r="AR39" i="1"/>
  <c r="Y39" i="1"/>
  <c r="Y40" i="1" s="1"/>
  <c r="AU39" i="1"/>
  <c r="AH39" i="1"/>
  <c r="AH40" i="1" s="1"/>
  <c r="F37" i="1"/>
  <c r="Z39" i="1"/>
  <c r="Z40" i="1" s="1"/>
  <c r="AV39" i="1"/>
  <c r="AA39" i="1"/>
  <c r="AA40" i="1" s="1"/>
  <c r="AG39" i="1"/>
  <c r="AG40" i="1" s="1"/>
  <c r="AI39" i="1"/>
  <c r="X39" i="1"/>
  <c r="AM39" i="1"/>
  <c r="AM40" i="1" s="1"/>
  <c r="AJ39" i="1"/>
  <c r="AJ40" i="1" s="1"/>
  <c r="AK39" i="1"/>
  <c r="AK40" i="1" s="1"/>
  <c r="AL39" i="1"/>
  <c r="AL40" i="1" s="1"/>
  <c r="AS39" i="1"/>
  <c r="AT39" i="1"/>
  <c r="W39" i="1"/>
  <c r="K37" i="1"/>
  <c r="L37" i="1" s="1"/>
  <c r="M37" i="1"/>
  <c r="B128" i="1"/>
  <c r="B129" i="1" s="1"/>
  <c r="AD83" i="1"/>
  <c r="AD85" i="1"/>
  <c r="B86" i="1" s="1"/>
  <c r="B87" i="1" s="1"/>
  <c r="AK83" i="1"/>
  <c r="AK85" i="1"/>
  <c r="AQ85" i="1"/>
  <c r="AQ83" i="1"/>
  <c r="AL83" i="1"/>
  <c r="AL85" i="1"/>
  <c r="B84" i="1" l="1"/>
  <c r="AD41" i="1"/>
  <c r="AD43" i="1"/>
  <c r="AL41" i="1"/>
  <c r="AL43" i="1"/>
  <c r="AQ43" i="1"/>
  <c r="AQ41" i="1"/>
  <c r="AK41" i="1"/>
  <c r="AK43" i="1"/>
  <c r="B44" i="1" l="1"/>
  <c r="B45" i="1" s="1"/>
  <c r="B42" i="1"/>
  <c r="AO10" i="1"/>
  <c r="AO10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<sst xmlns="http://schemas.openxmlformats.org/spreadsheetml/2006/main" count="178" uniqueCount="68">
  <si>
    <t>Yx/s</t>
  </si>
  <si>
    <t>Glucose for cell growth (g)</t>
  </si>
  <si>
    <t>Stoichiometric glucose consumption (g)</t>
  </si>
  <si>
    <t>Reducing equivalent (mol)</t>
  </si>
  <si>
    <t>Net NAD(P)H reducing equivalents  (mol)</t>
  </si>
  <si>
    <t>Total amount of substance (mol)</t>
  </si>
  <si>
    <t>Total mass (g)</t>
  </si>
  <si>
    <t>Dilution of solid L-valine after fermentation</t>
  </si>
  <si>
    <t>Ethanol (g/L)</t>
  </si>
  <si>
    <t>Formate(g/L)</t>
  </si>
  <si>
    <t>Succinate (g/L)</t>
  </si>
  <si>
    <t>Malate (g/L)</t>
  </si>
  <si>
    <t>Citrate(g/L)</t>
  </si>
  <si>
    <t>Acetate (g/L)</t>
  </si>
  <si>
    <t>Tryptophan (g/L)</t>
  </si>
  <si>
    <t>Glutamine (g/L)</t>
  </si>
  <si>
    <t>Proline (g/L)</t>
  </si>
  <si>
    <t>Lysine (g/L)</t>
  </si>
  <si>
    <t>Leucine (g/L)</t>
  </si>
  <si>
    <t>Isoleucine (g/L)</t>
  </si>
  <si>
    <t>Phenylalanine (g/L)</t>
  </si>
  <si>
    <t>Methionine (g/L)</t>
  </si>
  <si>
    <t>Cystine (g/L)</t>
  </si>
  <si>
    <t>Tyrosine (g/L)</t>
  </si>
  <si>
    <t>Alanine (g/L)</t>
  </si>
  <si>
    <t>Arginine (g/L)</t>
  </si>
  <si>
    <t>Threonine (g/L)</t>
  </si>
  <si>
    <t>Glycine (g/L)</t>
  </si>
  <si>
    <t>Histidine (g/L)</t>
  </si>
  <si>
    <t>Serine (g/L)</t>
  </si>
  <si>
    <t>Glutamic acid (g/L)</t>
  </si>
  <si>
    <t>Aspartic acid (g/L)</t>
  </si>
  <si>
    <t>Asparagine (g/L)</t>
  </si>
  <si>
    <t>Dry weight (%)</t>
  </si>
  <si>
    <t>Yield (%)</t>
  </si>
  <si>
    <t>L-valine concentration (g)</t>
  </si>
  <si>
    <t>L-valine concentration (g/L)</t>
  </si>
  <si>
    <t>Fermentation broth volume (L)</t>
  </si>
  <si>
    <t>Cumulative sampling volume (L)</t>
  </si>
  <si>
    <t>Sampling volume (L)</t>
  </si>
  <si>
    <t>Ammonia solution feeding volume (L)</t>
  </si>
  <si>
    <t>Cumulative ammonia solution added (g)</t>
  </si>
  <si>
    <r>
      <t> </t>
    </r>
    <r>
      <rPr>
        <sz val="12"/>
        <color theme="0"/>
        <rFont val="Trebuchet MS"/>
        <family val="2"/>
        <scheme val="minor"/>
      </rPr>
      <t>Ammonia solution added (g)</t>
    </r>
  </si>
  <si>
    <t>Glucose consuming rate (g/L·h⁻¹)</t>
  </si>
  <si>
    <t>Glucose feeding rate (g·h⁻¹)</t>
  </si>
  <si>
    <t>Glucose feeding rate (g/L·h⁻¹)</t>
  </si>
  <si>
    <t>Cumulative glucose fed (g)</t>
  </si>
  <si>
    <t>Glucose feeding volume (L)</t>
  </si>
  <si>
    <t>Cumulative 60% glucose fed (g)</t>
  </si>
  <si>
    <t>60% glucose fed (g)</t>
  </si>
  <si>
    <t>Residual glucose (g)</t>
  </si>
  <si>
    <t>Residual glucose (g/L)</t>
  </si>
  <si>
    <t>specific growth rate, μ (h⁻¹) based on gDCW/L</t>
  </si>
  <si>
    <t>specific growth rate, μ (h⁻¹)</t>
  </si>
  <si>
    <t>OD600</t>
  </si>
  <si>
    <t>Time (h)</t>
  </si>
  <si>
    <t>E1.0-3</t>
  </si>
  <si>
    <t>E1.0-2</t>
  </si>
  <si>
    <t> Ammonia solution added (g)</t>
  </si>
  <si>
    <t>specific growth rate, μ (h⁻¹) based on OD600</t>
  </si>
  <si>
    <t>E1.0-1</t>
  </si>
  <si>
    <t>1.025g/cm3</t>
  </si>
  <si>
    <t>Density of fermentation broth</t>
  </si>
  <si>
    <t>0.91g/cm3</t>
  </si>
  <si>
    <t>Density of 25% (w/w) ammonia solution</t>
  </si>
  <si>
    <t>1.28g/cm3</t>
  </si>
  <si>
    <t>Density of 60% (w/w) glucose solution</t>
  </si>
  <si>
    <t>Supplementary Data 4 | Redox and carbon balance reconciliation of strain E1.0 in 10 L bioreactors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</si>
</sst>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_ "/>
    <numFmt numFmtId="165" formatCode="0.000"/>
    <numFmt numFmtId="166" formatCode="0.0"/>
  </numFmts>
  <fonts count="14" x14ac:knownFonts="1">
    <font>
      <sz val="12"/>
      <color theme="1"/>
      <name val="Trebuchet MS"/>
      <charset val="134"/>
      <scheme val="minor"/>
    </font>
    <font>
      <sz val="12"/>
      <color theme="1"/>
      <name val="Trebuchet MS"/>
      <family val="2"/>
      <scheme val="minor"/>
    </font>
    <font>
      <sz val="12"/>
      <color theme="0"/>
      <name val="Trebuchet MS"/>
      <family val="2"/>
      <scheme val="minor"/>
    </font>
    <font>
      <sz val="10"/>
      <color theme="1"/>
      <name val="Trebuchet MS"/>
      <family val="4"/>
      <charset val="134"/>
      <scheme val="minor"/>
    </font>
    <font>
      <sz val="10"/>
      <color theme="1"/>
      <name val="Trebuchet MS"/>
      <family val="2"/>
      <scheme val="minor"/>
    </font>
    <font>
      <sz val="12"/>
      <color theme="1"/>
      <name val="Trebuchet MS"/>
      <family val="4"/>
      <charset val="134"/>
      <scheme val="minor"/>
    </font>
    <font>
      <sz val="10"/>
      <color rgb="FF000000"/>
      <name val="Trebuchet MS"/>
      <family val="4"/>
      <charset val="134"/>
      <scheme val="minor"/>
    </font>
    <font>
      <sz val="12"/>
      <color rgb="FFC00000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Trebuchet MS"/>
      <family val="2"/>
      <scheme val="minor"/>
    </font>
    <font>
      <sz val="10"/>
      <color rgb="FF000000"/>
      <name val="Trebuchet MS"/>
      <family val="2"/>
      <scheme val="minor"/>
    </font>
    <font>
      <b/>
      <sz val="10"/>
      <color rgb="FF000000"/>
      <name val="Trebuchet MS"/>
      <family val="2"/>
      <scheme val="minor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4" fontId="11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ACF9-B804-E646-A7B6-83187B4B819F}">
  <dimension ref="A1:AV129"/>
  <sheetViews>
    <sheetView tabSelected="1" zoomScale="109" workbookViewId="0">
      <pane xSplit="1" topLeftCell="W1" activePane="topRight" state="frozen"/>
      <selection pane="topRight" activeCell="A2" sqref="A2"/>
    </sheetView>
  </sheetViews>
  <sheetFormatPr baseColWidth="10" defaultRowHeight="16" x14ac:dyDescent="0.2"/>
  <cols>
    <col min="1" max="1" width="80.6640625" style="3" customWidth="1"/>
    <col min="2" max="2" width="24" style="2" customWidth="1"/>
    <col min="3" max="3" width="37.83203125" style="2" customWidth="1"/>
    <col min="4" max="4" width="45.33203125" style="2" customWidth="1"/>
    <col min="5" max="6" width="22.6640625" style="2" customWidth="1"/>
    <col min="7" max="7" width="20.33203125" style="2" customWidth="1"/>
    <col min="8" max="8" width="26" style="2" customWidth="1"/>
    <col min="9" max="9" width="24.1640625" style="2" customWidth="1"/>
    <col min="10" max="10" width="22.33203125" style="2" customWidth="1"/>
    <col min="11" max="12" width="24.6640625" style="2" customWidth="1"/>
    <col min="13" max="13" width="30.5" style="2" customWidth="1"/>
    <col min="14" max="14" width="29.33203125" style="2" customWidth="1"/>
    <col min="15" max="15" width="35.6640625" style="2" customWidth="1"/>
    <col min="16" max="16" width="31.5" style="2" customWidth="1"/>
    <col min="17" max="17" width="22.83203125" style="2" customWidth="1"/>
    <col min="18" max="18" width="29" style="2" customWidth="1"/>
    <col min="19" max="19" width="30.33203125" style="2" customWidth="1"/>
    <col min="20" max="21" width="27.1640625" style="2" customWidth="1"/>
    <col min="22" max="22" width="22.1640625" style="2" customWidth="1"/>
    <col min="23" max="23" width="19.5" style="2" customWidth="1"/>
    <col min="24" max="24" width="26.33203125" style="2" customWidth="1"/>
    <col min="25" max="25" width="15.1640625" style="2" customWidth="1"/>
    <col min="26" max="26" width="19.83203125" style="2" customWidth="1"/>
    <col min="27" max="35" width="10.83203125" style="1"/>
    <col min="36" max="36" width="18.1640625" style="1" customWidth="1"/>
    <col min="37" max="37" width="13.5" style="1" customWidth="1"/>
    <col min="38" max="40" width="10.83203125" style="1"/>
    <col min="41" max="41" width="15.1640625" style="1" customWidth="1"/>
    <col min="42" max="42" width="14.5" style="1" customWidth="1"/>
    <col min="43" max="43" width="15.33203125" style="1" customWidth="1"/>
    <col min="44" max="44" width="14.6640625" style="1" customWidth="1"/>
    <col min="45" max="45" width="16" style="1" customWidth="1"/>
    <col min="46" max="46" width="13.5" style="1" customWidth="1"/>
    <col min="47" max="48" width="10.83203125" style="1"/>
  </cols>
  <sheetData>
    <row r="1" spans="1:48" x14ac:dyDescent="0.2">
      <c r="A1" s="56" t="s">
        <v>67</v>
      </c>
    </row>
    <row r="2" spans="1:48" x14ac:dyDescent="0.2">
      <c r="A2" s="26" t="s">
        <v>66</v>
      </c>
      <c r="B2" s="26" t="s">
        <v>65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</row>
    <row r="3" spans="1:48" x14ac:dyDescent="0.2">
      <c r="A3" s="26" t="s">
        <v>64</v>
      </c>
      <c r="B3" s="26" t="s">
        <v>63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</row>
    <row r="4" spans="1:48" x14ac:dyDescent="0.2">
      <c r="A4" s="26" t="s">
        <v>62</v>
      </c>
      <c r="B4" s="26" t="s">
        <v>61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</row>
    <row r="5" spans="1:48" ht="17" customHeight="1" x14ac:dyDescent="0.15">
      <c r="A5" s="41" t="s">
        <v>60</v>
      </c>
      <c r="B5" s="26"/>
      <c r="C5" s="26"/>
      <c r="D5" s="26"/>
      <c r="E5" s="55"/>
      <c r="F5" s="55"/>
      <c r="G5" s="26"/>
      <c r="H5" s="55"/>
      <c r="I5" s="26"/>
      <c r="J5" s="55"/>
      <c r="K5" s="55"/>
      <c r="L5" s="55"/>
      <c r="M5" s="26"/>
      <c r="N5" s="55"/>
      <c r="O5" s="26"/>
      <c r="P5" s="26"/>
      <c r="Q5" s="26"/>
      <c r="R5" s="26"/>
      <c r="S5" s="26"/>
      <c r="T5" s="55"/>
      <c r="U5" s="55"/>
      <c r="V5" s="26"/>
      <c r="W5" s="26"/>
      <c r="X5" s="26"/>
      <c r="Y5" s="55"/>
      <c r="Z5" s="26"/>
      <c r="AA5" s="54"/>
      <c r="AB5" s="25"/>
      <c r="AC5" s="32"/>
      <c r="AD5" s="25"/>
      <c r="AE5" s="25"/>
      <c r="AF5" s="24"/>
      <c r="AG5" s="24"/>
      <c r="AH5" s="24"/>
      <c r="AI5" s="24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</row>
    <row r="6" spans="1:48" s="37" customFormat="1" x14ac:dyDescent="0.2">
      <c r="A6" s="38" t="s">
        <v>55</v>
      </c>
      <c r="B6" s="38" t="s">
        <v>54</v>
      </c>
      <c r="C6" s="38" t="s">
        <v>59</v>
      </c>
      <c r="D6" s="38" t="s">
        <v>52</v>
      </c>
      <c r="E6" s="38" t="s">
        <v>51</v>
      </c>
      <c r="F6" s="38" t="s">
        <v>50</v>
      </c>
      <c r="G6" s="38" t="s">
        <v>49</v>
      </c>
      <c r="H6" s="38" t="s">
        <v>48</v>
      </c>
      <c r="I6" s="38" t="s">
        <v>47</v>
      </c>
      <c r="J6" s="38" t="s">
        <v>46</v>
      </c>
      <c r="K6" s="38" t="s">
        <v>45</v>
      </c>
      <c r="L6" s="38" t="s">
        <v>44</v>
      </c>
      <c r="M6" s="38" t="s">
        <v>43</v>
      </c>
      <c r="N6" s="38" t="s">
        <v>58</v>
      </c>
      <c r="O6" s="38" t="s">
        <v>41</v>
      </c>
      <c r="P6" s="38" t="s">
        <v>40</v>
      </c>
      <c r="Q6" s="38" t="s">
        <v>39</v>
      </c>
      <c r="R6" s="38" t="s">
        <v>38</v>
      </c>
      <c r="S6" s="38" t="s">
        <v>37</v>
      </c>
      <c r="T6" s="38" t="s">
        <v>36</v>
      </c>
      <c r="U6" s="38" t="s">
        <v>35</v>
      </c>
      <c r="V6" s="38" t="s">
        <v>34</v>
      </c>
      <c r="W6" s="38" t="s">
        <v>33</v>
      </c>
      <c r="X6" s="38" t="s">
        <v>32</v>
      </c>
      <c r="Y6" s="38" t="s">
        <v>31</v>
      </c>
      <c r="Z6" s="38" t="s">
        <v>30</v>
      </c>
      <c r="AA6" s="38" t="s">
        <v>29</v>
      </c>
      <c r="AB6" s="38" t="s">
        <v>28</v>
      </c>
      <c r="AC6" s="38" t="s">
        <v>27</v>
      </c>
      <c r="AD6" s="38" t="s">
        <v>26</v>
      </c>
      <c r="AE6" s="38" t="s">
        <v>25</v>
      </c>
      <c r="AF6" s="38" t="s">
        <v>24</v>
      </c>
      <c r="AG6" s="38" t="s">
        <v>23</v>
      </c>
      <c r="AH6" s="38" t="s">
        <v>22</v>
      </c>
      <c r="AI6" s="38" t="s">
        <v>21</v>
      </c>
      <c r="AJ6" s="38" t="s">
        <v>20</v>
      </c>
      <c r="AK6" s="38" t="s">
        <v>19</v>
      </c>
      <c r="AL6" s="38" t="s">
        <v>18</v>
      </c>
      <c r="AM6" s="38" t="s">
        <v>17</v>
      </c>
      <c r="AN6" s="38" t="s">
        <v>16</v>
      </c>
      <c r="AO6" s="38" t="s">
        <v>15</v>
      </c>
      <c r="AP6" s="38" t="s">
        <v>14</v>
      </c>
      <c r="AQ6" s="38" t="s">
        <v>13</v>
      </c>
      <c r="AR6" s="38" t="s">
        <v>12</v>
      </c>
      <c r="AS6" s="38" t="s">
        <v>11</v>
      </c>
      <c r="AT6" s="38" t="s">
        <v>10</v>
      </c>
      <c r="AU6" s="38" t="s">
        <v>9</v>
      </c>
      <c r="AV6" s="38" t="s">
        <v>8</v>
      </c>
    </row>
    <row r="7" spans="1:48" s="22" customFormat="1" x14ac:dyDescent="0.15">
      <c r="A7" s="53">
        <v>0</v>
      </c>
      <c r="B7" s="26">
        <v>1.2</v>
      </c>
      <c r="C7" s="26"/>
      <c r="D7" s="26"/>
      <c r="E7" s="26">
        <v>27</v>
      </c>
      <c r="F7" s="26">
        <f>E7*S7</f>
        <v>160.10999999999999</v>
      </c>
      <c r="G7" s="26"/>
      <c r="H7" s="26"/>
      <c r="I7" s="26"/>
      <c r="J7" s="26"/>
      <c r="K7" s="26"/>
      <c r="L7" s="26"/>
      <c r="M7" s="26"/>
      <c r="N7" s="26">
        <v>7.2</v>
      </c>
      <c r="O7" s="34"/>
      <c r="P7" s="34"/>
      <c r="Q7" s="26">
        <v>7.0000000000000007E-2</v>
      </c>
      <c r="R7" s="34">
        <v>7.0000000000000007E-2</v>
      </c>
      <c r="S7" s="34">
        <f t="shared" ref="S7:S37" si="0">6-R7+P7+I7</f>
        <v>5.93</v>
      </c>
      <c r="T7" s="26">
        <v>2.2000000000000002</v>
      </c>
      <c r="U7" s="26">
        <f>T7*S7</f>
        <v>13.046000000000001</v>
      </c>
      <c r="V7" s="25"/>
      <c r="W7" s="33">
        <v>3.9E-2</v>
      </c>
      <c r="X7" s="24">
        <v>0</v>
      </c>
      <c r="Y7" s="24">
        <v>0</v>
      </c>
      <c r="Z7" s="24">
        <v>0.04</v>
      </c>
      <c r="AA7" s="24">
        <v>0.02</v>
      </c>
      <c r="AB7" s="24">
        <v>0</v>
      </c>
      <c r="AC7" s="24">
        <v>0.03</v>
      </c>
      <c r="AD7" s="24">
        <v>0</v>
      </c>
      <c r="AE7" s="24">
        <v>0</v>
      </c>
      <c r="AF7" s="24">
        <v>0.45</v>
      </c>
      <c r="AG7" s="24">
        <v>0</v>
      </c>
      <c r="AH7" s="24">
        <v>0</v>
      </c>
      <c r="AI7" s="24">
        <v>0</v>
      </c>
      <c r="AJ7" s="24">
        <v>0</v>
      </c>
      <c r="AK7" s="24">
        <v>7.0000000000000007E-2</v>
      </c>
      <c r="AL7" s="24">
        <v>0.04</v>
      </c>
      <c r="AM7" s="24">
        <v>0.02</v>
      </c>
      <c r="AN7" s="24">
        <v>0</v>
      </c>
      <c r="AO7" s="24">
        <v>0</v>
      </c>
      <c r="AP7" s="24">
        <v>0</v>
      </c>
      <c r="AQ7" s="25">
        <v>0.06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</row>
    <row r="8" spans="1:48" s="22" customFormat="1" x14ac:dyDescent="0.15">
      <c r="A8" s="53">
        <v>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>
        <v>1.7</v>
      </c>
      <c r="O8" s="34">
        <f t="shared" ref="O8:O37" si="1">N8+O7</f>
        <v>1.7</v>
      </c>
      <c r="P8" s="34">
        <f t="shared" ref="P8:P37" si="2">O8/0.91/1000</f>
        <v>1.8681318681318679E-3</v>
      </c>
      <c r="Q8" s="26"/>
      <c r="R8" s="34">
        <f t="shared" ref="R8:R37" si="3">Q8+R7</f>
        <v>7.0000000000000007E-2</v>
      </c>
      <c r="S8" s="34">
        <f t="shared" si="0"/>
        <v>5.9318681318681312</v>
      </c>
      <c r="T8" s="26"/>
      <c r="U8" s="26"/>
      <c r="V8" s="25"/>
      <c r="W8" s="33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</row>
    <row r="9" spans="1:48" s="22" customFormat="1" x14ac:dyDescent="0.15">
      <c r="A9" s="53">
        <v>4</v>
      </c>
      <c r="B9" s="26">
        <v>3.8</v>
      </c>
      <c r="C9" s="26">
        <f>(LN(B9)-LN(B7))/(A9-A7)</f>
        <v>0.28816987748459633</v>
      </c>
      <c r="D9" s="26"/>
      <c r="E9" s="26">
        <v>21</v>
      </c>
      <c r="F9" s="26">
        <f>E9*S9</f>
        <v>123.69692307692307</v>
      </c>
      <c r="G9" s="26"/>
      <c r="H9" s="26"/>
      <c r="I9" s="26"/>
      <c r="J9" s="26"/>
      <c r="K9" s="26"/>
      <c r="L9" s="26"/>
      <c r="M9" s="26">
        <f>(E7-E9)/4</f>
        <v>1.5</v>
      </c>
      <c r="N9" s="26">
        <v>25.9</v>
      </c>
      <c r="O9" s="34">
        <f t="shared" si="1"/>
        <v>27.599999999999998</v>
      </c>
      <c r="P9" s="34">
        <f t="shared" si="2"/>
        <v>3.0329670329670325E-2</v>
      </c>
      <c r="Q9" s="26">
        <v>7.0000000000000007E-2</v>
      </c>
      <c r="R9" s="34">
        <f t="shared" si="3"/>
        <v>0.14000000000000001</v>
      </c>
      <c r="S9" s="34">
        <f t="shared" si="0"/>
        <v>5.8903296703296704</v>
      </c>
      <c r="T9" s="26"/>
      <c r="U9" s="26"/>
      <c r="V9" s="25"/>
      <c r="W9" s="33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</row>
    <row r="10" spans="1:48" s="22" customFormat="1" x14ac:dyDescent="0.15">
      <c r="A10" s="53">
        <v>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>
        <v>12</v>
      </c>
      <c r="O10" s="34">
        <f t="shared" si="1"/>
        <v>39.599999999999994</v>
      </c>
      <c r="P10" s="34">
        <f t="shared" si="2"/>
        <v>4.351648351648351E-2</v>
      </c>
      <c r="Q10" s="26"/>
      <c r="R10" s="34">
        <f t="shared" si="3"/>
        <v>0.14000000000000001</v>
      </c>
      <c r="S10" s="34">
        <f t="shared" si="0"/>
        <v>5.9035164835164835</v>
      </c>
      <c r="T10" s="26"/>
      <c r="U10" s="26"/>
      <c r="V10" s="25"/>
      <c r="W10" s="33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 cm="1">
        <f t="array" aca="1" ref="AO10" ca="1">+AO10:AQ10</f>
        <v>0</v>
      </c>
      <c r="AP10" s="25"/>
      <c r="AQ10" s="25"/>
      <c r="AR10" s="25"/>
      <c r="AS10" s="25"/>
      <c r="AT10" s="25"/>
      <c r="AU10" s="25"/>
      <c r="AV10" s="25"/>
    </row>
    <row r="11" spans="1:48" s="22" customFormat="1" x14ac:dyDescent="0.15">
      <c r="A11" s="53">
        <v>8</v>
      </c>
      <c r="B11" s="26">
        <v>4.5</v>
      </c>
      <c r="C11" s="26">
        <f>(LN(B11)-LN(B9))/(A11-A9)</f>
        <v>4.2269082510983547E-2</v>
      </c>
      <c r="D11" s="26">
        <f>(W11*1.025*S11/S11-W7*1.025*S7/S7)/4</f>
        <v>2.7674999999999995E-2</v>
      </c>
      <c r="E11" s="26">
        <v>12.5</v>
      </c>
      <c r="F11" s="26">
        <f>E11*S11</f>
        <v>73.196428571428569</v>
      </c>
      <c r="G11" s="26"/>
      <c r="H11" s="26"/>
      <c r="I11" s="26"/>
      <c r="J11" s="26"/>
      <c r="K11" s="26"/>
      <c r="L11" s="26"/>
      <c r="M11" s="26">
        <f>(E9-E11)/4</f>
        <v>2.125</v>
      </c>
      <c r="N11" s="26">
        <v>20.2</v>
      </c>
      <c r="O11" s="34">
        <f t="shared" si="1"/>
        <v>59.8</v>
      </c>
      <c r="P11" s="34">
        <f t="shared" si="2"/>
        <v>6.5714285714285711E-2</v>
      </c>
      <c r="Q11" s="26">
        <v>7.0000000000000007E-2</v>
      </c>
      <c r="R11" s="34">
        <f t="shared" si="3"/>
        <v>0.21000000000000002</v>
      </c>
      <c r="S11" s="34">
        <f t="shared" si="0"/>
        <v>5.8557142857142859</v>
      </c>
      <c r="T11" s="26">
        <v>12.4</v>
      </c>
      <c r="U11" s="26">
        <f>T11*S11</f>
        <v>72.610857142857142</v>
      </c>
      <c r="V11" s="27">
        <v>0.41299999999999998</v>
      </c>
      <c r="W11" s="33">
        <v>0.14699999999999999</v>
      </c>
      <c r="X11" s="24">
        <v>0</v>
      </c>
      <c r="Y11" s="24">
        <v>0</v>
      </c>
      <c r="Z11" s="24">
        <v>0.01</v>
      </c>
      <c r="AA11" s="24">
        <v>0</v>
      </c>
      <c r="AB11" s="24">
        <v>0</v>
      </c>
      <c r="AC11" s="24">
        <v>0.03</v>
      </c>
      <c r="AD11" s="24">
        <v>0.02</v>
      </c>
      <c r="AE11" s="24">
        <v>0</v>
      </c>
      <c r="AF11" s="24">
        <v>0.41</v>
      </c>
      <c r="AG11" s="24">
        <v>0</v>
      </c>
      <c r="AH11" s="24">
        <v>0</v>
      </c>
      <c r="AI11" s="24">
        <v>0</v>
      </c>
      <c r="AJ11" s="24">
        <v>0</v>
      </c>
      <c r="AK11" s="24">
        <v>0.25</v>
      </c>
      <c r="AL11" s="24">
        <v>0.06</v>
      </c>
      <c r="AM11" s="24">
        <v>0</v>
      </c>
      <c r="AN11" s="24">
        <v>0</v>
      </c>
      <c r="AO11" s="24">
        <v>0</v>
      </c>
      <c r="AP11" s="24">
        <v>0</v>
      </c>
      <c r="AQ11" s="25">
        <v>0.15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</row>
    <row r="12" spans="1:48" s="22" customFormat="1" x14ac:dyDescent="0.15">
      <c r="A12" s="53">
        <v>10</v>
      </c>
      <c r="B12" s="26"/>
      <c r="C12" s="26"/>
      <c r="D12" s="26"/>
      <c r="E12" s="26"/>
      <c r="F12" s="26"/>
      <c r="G12" s="26"/>
      <c r="H12" s="26"/>
      <c r="I12" s="26"/>
      <c r="J12" s="26">
        <v>180</v>
      </c>
      <c r="K12" s="26"/>
      <c r="L12" s="26"/>
      <c r="M12" s="26"/>
      <c r="N12" s="26">
        <v>18.7</v>
      </c>
      <c r="O12" s="34">
        <f t="shared" si="1"/>
        <v>78.5</v>
      </c>
      <c r="P12" s="34">
        <f t="shared" si="2"/>
        <v>8.6263736263736263E-2</v>
      </c>
      <c r="Q12" s="26"/>
      <c r="R12" s="34">
        <f t="shared" si="3"/>
        <v>0.21000000000000002</v>
      </c>
      <c r="S12" s="34">
        <f t="shared" si="0"/>
        <v>5.876263736263736</v>
      </c>
      <c r="T12" s="26"/>
      <c r="U12" s="26"/>
      <c r="V12" s="25"/>
      <c r="W12" s="33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</row>
    <row r="13" spans="1:48" s="22" customFormat="1" x14ac:dyDescent="0.15">
      <c r="A13" s="53">
        <v>12</v>
      </c>
      <c r="B13" s="26">
        <v>4.9000000000000004</v>
      </c>
      <c r="C13" s="26">
        <f>(LN(B13)-LN(B11))/(A13-A11)</f>
        <v>2.128945208507671E-2</v>
      </c>
      <c r="D13" s="26">
        <f>(W13*1.025*S13/S13-W9*1.025*S9/S9)/4</f>
        <v>4.0999999999999995E-2</v>
      </c>
      <c r="E13" s="26">
        <v>10.75</v>
      </c>
      <c r="F13" s="26">
        <f>E13*S13</f>
        <v>63.276356885302192</v>
      </c>
      <c r="G13" s="26">
        <v>80.2</v>
      </c>
      <c r="H13" s="26">
        <v>80.2</v>
      </c>
      <c r="I13" s="26">
        <f t="shared" ref="I13:I37" si="4">H13/1.28/1000</f>
        <v>6.2656249999999997E-2</v>
      </c>
      <c r="J13" s="26">
        <f t="shared" ref="J13:J37" si="5">J12+G13*0.6</f>
        <v>228.12</v>
      </c>
      <c r="K13" s="26">
        <f>(J13-J12)/S13/2</f>
        <v>4.0875456921268798</v>
      </c>
      <c r="L13" s="26">
        <f>K13*S13</f>
        <v>24.060000000000002</v>
      </c>
      <c r="M13" s="26">
        <f>(E11*S11+G13*0.6-E13*S13)/S13/4</f>
        <v>2.4651022962527129</v>
      </c>
      <c r="N13" s="26">
        <v>15.7</v>
      </c>
      <c r="O13" s="34">
        <f t="shared" si="1"/>
        <v>94.2</v>
      </c>
      <c r="P13" s="34">
        <f t="shared" si="2"/>
        <v>0.10351648351648352</v>
      </c>
      <c r="Q13" s="26">
        <v>7.0000000000000007E-2</v>
      </c>
      <c r="R13" s="34">
        <f t="shared" si="3"/>
        <v>0.28000000000000003</v>
      </c>
      <c r="S13" s="34">
        <f t="shared" si="0"/>
        <v>5.8861727335164833</v>
      </c>
      <c r="T13" s="26">
        <v>18.399999999999999</v>
      </c>
      <c r="U13" s="26">
        <f>T13*S13</f>
        <v>108.30557829670329</v>
      </c>
      <c r="V13" s="27">
        <v>0.48399999999999999</v>
      </c>
      <c r="W13" s="33">
        <v>0.16</v>
      </c>
      <c r="X13" s="24">
        <v>0</v>
      </c>
      <c r="Y13" s="24">
        <v>0</v>
      </c>
      <c r="Z13" s="24">
        <v>0</v>
      </c>
      <c r="AA13" s="24">
        <v>0.04</v>
      </c>
      <c r="AB13" s="24">
        <v>0</v>
      </c>
      <c r="AC13" s="24">
        <v>0.03</v>
      </c>
      <c r="AD13" s="24">
        <v>0.03</v>
      </c>
      <c r="AE13" s="24">
        <v>0</v>
      </c>
      <c r="AF13" s="24">
        <v>0.41</v>
      </c>
      <c r="AG13" s="24">
        <v>0</v>
      </c>
      <c r="AH13" s="24">
        <v>0</v>
      </c>
      <c r="AI13" s="24">
        <v>0</v>
      </c>
      <c r="AJ13" s="24">
        <v>0</v>
      </c>
      <c r="AK13" s="24">
        <v>0.36</v>
      </c>
      <c r="AL13" s="24">
        <v>0.08</v>
      </c>
      <c r="AM13" s="24">
        <v>0</v>
      </c>
      <c r="AN13" s="24">
        <v>0</v>
      </c>
      <c r="AO13" s="24">
        <v>0</v>
      </c>
      <c r="AP13" s="24">
        <v>0</v>
      </c>
      <c r="AQ13" s="25">
        <v>0.22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</row>
    <row r="14" spans="1:48" s="22" customFormat="1" x14ac:dyDescent="0.15">
      <c r="A14" s="53">
        <v>14</v>
      </c>
      <c r="B14" s="26"/>
      <c r="C14" s="26"/>
      <c r="D14" s="26"/>
      <c r="E14" s="26"/>
      <c r="F14" s="26"/>
      <c r="G14" s="26">
        <v>80.5</v>
      </c>
      <c r="H14" s="26">
        <v>160.69999999999999</v>
      </c>
      <c r="I14" s="26">
        <f t="shared" si="4"/>
        <v>0.12554687499999997</v>
      </c>
      <c r="J14" s="26">
        <f t="shared" si="5"/>
        <v>276.42</v>
      </c>
      <c r="K14" s="26">
        <f>(J14-J13)/S14/2</f>
        <v>4.0459353767498589</v>
      </c>
      <c r="L14" s="26">
        <f>K14*S14</f>
        <v>24.150000000000009</v>
      </c>
      <c r="M14" s="26"/>
      <c r="N14" s="26">
        <v>18.100000000000001</v>
      </c>
      <c r="O14" s="34">
        <f t="shared" si="1"/>
        <v>112.30000000000001</v>
      </c>
      <c r="P14" s="34">
        <f t="shared" si="2"/>
        <v>0.12340659340659342</v>
      </c>
      <c r="Q14" s="26"/>
      <c r="R14" s="34">
        <f t="shared" si="3"/>
        <v>0.28000000000000003</v>
      </c>
      <c r="S14" s="34">
        <f t="shared" si="0"/>
        <v>5.9689534684065935</v>
      </c>
      <c r="T14" s="26"/>
      <c r="U14" s="26"/>
      <c r="V14" s="25"/>
      <c r="W14" s="33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</row>
    <row r="15" spans="1:48" s="22" customFormat="1" x14ac:dyDescent="0.15">
      <c r="A15" s="53">
        <v>16</v>
      </c>
      <c r="B15" s="26">
        <v>5.4</v>
      </c>
      <c r="C15" s="26">
        <f>(LN(B15)-LN(B13))/(A15-A13)</f>
        <v>2.4290937113411959E-2</v>
      </c>
      <c r="D15" s="26">
        <f>(W15*1.025*S15/S15-W11*1.025*S11/S11)/4</f>
        <v>7.4312500000000004E-3</v>
      </c>
      <c r="E15" s="26">
        <v>15.25</v>
      </c>
      <c r="F15" s="26">
        <f>E15*S15</f>
        <v>90.957582846840651</v>
      </c>
      <c r="G15" s="26">
        <v>59.9</v>
      </c>
      <c r="H15" s="26">
        <v>220.6</v>
      </c>
      <c r="I15" s="26">
        <f t="shared" si="4"/>
        <v>0.17234374999999999</v>
      </c>
      <c r="J15" s="26">
        <f t="shared" si="5"/>
        <v>312.36</v>
      </c>
      <c r="K15" s="26">
        <f>(J15-J14)/S15/2</f>
        <v>3.0128604061680893</v>
      </c>
      <c r="L15" s="26">
        <f>K15*S15</f>
        <v>17.97</v>
      </c>
      <c r="M15" s="26">
        <f>(E13*S13+G14*0.6+G15*0.6-E15*S15)/S15/4</f>
        <v>2.3706690445449135</v>
      </c>
      <c r="N15" s="26">
        <v>17</v>
      </c>
      <c r="O15" s="34">
        <f t="shared" si="1"/>
        <v>129.30000000000001</v>
      </c>
      <c r="P15" s="34">
        <f t="shared" si="2"/>
        <v>0.14208791208791208</v>
      </c>
      <c r="Q15" s="26">
        <v>7.0000000000000007E-2</v>
      </c>
      <c r="R15" s="34">
        <f t="shared" si="3"/>
        <v>0.35000000000000003</v>
      </c>
      <c r="S15" s="34">
        <f t="shared" si="0"/>
        <v>5.9644316620879119</v>
      </c>
      <c r="T15" s="26">
        <v>23.8</v>
      </c>
      <c r="U15" s="26">
        <f>T15*S15</f>
        <v>141.95347355769232</v>
      </c>
      <c r="V15" s="27">
        <v>0.45700000000000002</v>
      </c>
      <c r="W15" s="33">
        <v>0.17599999999999999</v>
      </c>
      <c r="X15" s="24">
        <v>0</v>
      </c>
      <c r="Y15" s="24">
        <v>0</v>
      </c>
      <c r="Z15" s="24">
        <v>0</v>
      </c>
      <c r="AA15" s="24">
        <v>0.04</v>
      </c>
      <c r="AB15" s="24">
        <v>0</v>
      </c>
      <c r="AC15" s="24">
        <v>0.02</v>
      </c>
      <c r="AD15" s="24">
        <v>0.04</v>
      </c>
      <c r="AE15" s="24">
        <v>0</v>
      </c>
      <c r="AF15" s="24">
        <v>0.4</v>
      </c>
      <c r="AG15" s="24">
        <v>0</v>
      </c>
      <c r="AH15" s="24">
        <v>0</v>
      </c>
      <c r="AI15" s="24">
        <v>0</v>
      </c>
      <c r="AJ15" s="24">
        <v>0</v>
      </c>
      <c r="AK15" s="24">
        <v>0.5</v>
      </c>
      <c r="AL15" s="24">
        <v>0.1</v>
      </c>
      <c r="AM15" s="24">
        <v>0</v>
      </c>
      <c r="AN15" s="24">
        <v>0</v>
      </c>
      <c r="AO15" s="24">
        <v>0</v>
      </c>
      <c r="AP15" s="24">
        <v>0</v>
      </c>
      <c r="AQ15" s="25">
        <v>0.28999999999999998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</row>
    <row r="16" spans="1:48" s="22" customFormat="1" x14ac:dyDescent="0.15">
      <c r="A16" s="53">
        <v>18</v>
      </c>
      <c r="B16" s="26"/>
      <c r="C16" s="26"/>
      <c r="D16" s="26"/>
      <c r="E16" s="26"/>
      <c r="F16" s="26"/>
      <c r="G16" s="26">
        <v>0</v>
      </c>
      <c r="H16" s="26">
        <v>220.6</v>
      </c>
      <c r="I16" s="26">
        <f t="shared" si="4"/>
        <v>0.17234374999999999</v>
      </c>
      <c r="J16" s="26">
        <f t="shared" si="5"/>
        <v>312.36</v>
      </c>
      <c r="K16" s="26"/>
      <c r="L16" s="26"/>
      <c r="M16" s="26"/>
      <c r="N16" s="26">
        <v>14.3</v>
      </c>
      <c r="O16" s="34">
        <f t="shared" si="1"/>
        <v>143.60000000000002</v>
      </c>
      <c r="P16" s="34">
        <f t="shared" si="2"/>
        <v>0.15780219780219781</v>
      </c>
      <c r="Q16" s="26"/>
      <c r="R16" s="34">
        <f t="shared" si="3"/>
        <v>0.35000000000000003</v>
      </c>
      <c r="S16" s="34">
        <f t="shared" si="0"/>
        <v>5.9801459478021979</v>
      </c>
      <c r="T16" s="26"/>
      <c r="U16" s="26"/>
      <c r="V16" s="25"/>
      <c r="W16" s="33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</row>
    <row r="17" spans="1:48" s="22" customFormat="1" x14ac:dyDescent="0.15">
      <c r="A17" s="53">
        <v>20</v>
      </c>
      <c r="B17" s="26">
        <v>6.7</v>
      </c>
      <c r="C17" s="26">
        <f>(LN(B17)-LN(B15))/(A17-A15)</f>
        <v>5.3927143206672912E-2</v>
      </c>
      <c r="D17" s="26">
        <f>(W17*1.025*S17/S17-W13*1.025*S13/S13)/4</f>
        <v>1.5375E-2</v>
      </c>
      <c r="E17" s="26">
        <v>8.75</v>
      </c>
      <c r="F17" s="26">
        <f>E17*S17</f>
        <v>52.108270733173079</v>
      </c>
      <c r="G17" s="26">
        <v>34.5</v>
      </c>
      <c r="H17" s="26">
        <v>255.1</v>
      </c>
      <c r="I17" s="26">
        <f t="shared" si="4"/>
        <v>0.19929687500000001</v>
      </c>
      <c r="J17" s="26">
        <f t="shared" si="5"/>
        <v>333.06</v>
      </c>
      <c r="K17" s="26">
        <f>(J17-J15)/S17/4</f>
        <v>0.86898393216440217</v>
      </c>
      <c r="L17" s="26">
        <f>K17*S17</f>
        <v>5.1749999999999972</v>
      </c>
      <c r="M17" s="26">
        <f>(E15*S15+G16*0.6+G17*0.6-E17*S17)/S17/4</f>
        <v>2.49987417382706</v>
      </c>
      <c r="N17" s="26">
        <v>16.5</v>
      </c>
      <c r="O17" s="34">
        <f t="shared" si="1"/>
        <v>160.10000000000002</v>
      </c>
      <c r="P17" s="34">
        <f t="shared" si="2"/>
        <v>0.17593406593406596</v>
      </c>
      <c r="Q17" s="26">
        <v>7.0000000000000007E-2</v>
      </c>
      <c r="R17" s="34">
        <f t="shared" si="3"/>
        <v>0.42000000000000004</v>
      </c>
      <c r="S17" s="34">
        <f t="shared" si="0"/>
        <v>5.955230940934066</v>
      </c>
      <c r="T17" s="26">
        <v>28.8</v>
      </c>
      <c r="U17" s="26">
        <f>T17*S17</f>
        <v>171.51065109890109</v>
      </c>
      <c r="V17" s="27">
        <v>0.51900000000000002</v>
      </c>
      <c r="W17" s="33">
        <v>0.22</v>
      </c>
      <c r="X17" s="24">
        <v>0</v>
      </c>
      <c r="Y17" s="24">
        <v>0</v>
      </c>
      <c r="Z17" s="24">
        <v>0</v>
      </c>
      <c r="AA17" s="24">
        <v>0.04</v>
      </c>
      <c r="AB17" s="24">
        <v>0</v>
      </c>
      <c r="AC17" s="24">
        <v>0.01</v>
      </c>
      <c r="AD17" s="24">
        <v>0.05</v>
      </c>
      <c r="AE17" s="24">
        <v>0</v>
      </c>
      <c r="AF17" s="24">
        <v>0.4</v>
      </c>
      <c r="AG17" s="24">
        <v>0</v>
      </c>
      <c r="AH17" s="24">
        <v>0</v>
      </c>
      <c r="AI17" s="24">
        <v>0</v>
      </c>
      <c r="AJ17" s="24">
        <v>0</v>
      </c>
      <c r="AK17" s="24">
        <v>0.56999999999999995</v>
      </c>
      <c r="AL17" s="24">
        <v>0.12</v>
      </c>
      <c r="AM17" s="24">
        <v>0</v>
      </c>
      <c r="AN17" s="24">
        <v>0</v>
      </c>
      <c r="AO17" s="24">
        <v>0</v>
      </c>
      <c r="AP17" s="24">
        <v>0</v>
      </c>
      <c r="AQ17" s="25">
        <v>0.36</v>
      </c>
      <c r="AR17" s="25">
        <v>0</v>
      </c>
      <c r="AS17" s="25">
        <v>0</v>
      </c>
      <c r="AT17" s="25">
        <v>0</v>
      </c>
      <c r="AU17" s="25">
        <v>0</v>
      </c>
      <c r="AV17" s="25">
        <v>0</v>
      </c>
    </row>
    <row r="18" spans="1:48" s="22" customFormat="1" x14ac:dyDescent="0.15">
      <c r="A18" s="53">
        <v>22</v>
      </c>
      <c r="B18" s="26"/>
      <c r="C18" s="26"/>
      <c r="D18" s="26"/>
      <c r="E18" s="26"/>
      <c r="F18" s="26"/>
      <c r="G18" s="26">
        <v>63.3</v>
      </c>
      <c r="H18" s="26">
        <v>318.39999999999998</v>
      </c>
      <c r="I18" s="26">
        <f t="shared" si="4"/>
        <v>0.24874999999999997</v>
      </c>
      <c r="J18" s="26">
        <f t="shared" si="5"/>
        <v>371.04</v>
      </c>
      <c r="K18" s="26">
        <f>(J18-J17)/S18/2</f>
        <v>3.154967377090709</v>
      </c>
      <c r="L18" s="26">
        <f>K18*S18</f>
        <v>18.990000000000009</v>
      </c>
      <c r="M18" s="26"/>
      <c r="N18" s="26">
        <v>13.1</v>
      </c>
      <c r="O18" s="34">
        <f t="shared" si="1"/>
        <v>173.20000000000002</v>
      </c>
      <c r="P18" s="34">
        <f t="shared" si="2"/>
        <v>0.19032967032967033</v>
      </c>
      <c r="Q18" s="26"/>
      <c r="R18" s="34">
        <f t="shared" si="3"/>
        <v>0.42000000000000004</v>
      </c>
      <c r="S18" s="34">
        <f t="shared" si="0"/>
        <v>6.0190796703296705</v>
      </c>
      <c r="T18" s="26"/>
      <c r="U18" s="26"/>
      <c r="V18" s="25"/>
      <c r="W18" s="33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</row>
    <row r="19" spans="1:48" s="22" customFormat="1" x14ac:dyDescent="0.15">
      <c r="A19" s="53">
        <v>24</v>
      </c>
      <c r="B19" s="26">
        <v>6.8</v>
      </c>
      <c r="C19" s="26">
        <f>(LN(B19)-LN(B17))/(A19-A17)</f>
        <v>3.7037714462851423E-3</v>
      </c>
      <c r="D19" s="26">
        <f>(W19*1.025*S19/S19-W15*1.025*S15/S15)/4</f>
        <v>1.1787499999999999E-2</v>
      </c>
      <c r="E19" s="26">
        <v>11.75</v>
      </c>
      <c r="F19" s="26">
        <f>E19*S19</f>
        <v>70.558679387019239</v>
      </c>
      <c r="G19" s="26">
        <v>52.3</v>
      </c>
      <c r="H19" s="26">
        <v>370.7</v>
      </c>
      <c r="I19" s="26">
        <f t="shared" si="4"/>
        <v>0.289609375</v>
      </c>
      <c r="J19" s="26">
        <f t="shared" si="5"/>
        <v>402.42</v>
      </c>
      <c r="K19" s="26">
        <f>(J19-J18)/S19/2</f>
        <v>2.6128252626269597</v>
      </c>
      <c r="L19" s="26">
        <f>K19*S19</f>
        <v>15.69</v>
      </c>
      <c r="M19" s="26">
        <f>(E17*S17+G18*0.6+G19*0.6-E19*S19)/S19/4</f>
        <v>2.1194688715622307</v>
      </c>
      <c r="N19" s="26">
        <v>13.7</v>
      </c>
      <c r="O19" s="34">
        <f t="shared" si="1"/>
        <v>186.9</v>
      </c>
      <c r="P19" s="34">
        <f t="shared" si="2"/>
        <v>0.20538461538461539</v>
      </c>
      <c r="Q19" s="26">
        <v>7.0000000000000007E-2</v>
      </c>
      <c r="R19" s="34">
        <f t="shared" si="3"/>
        <v>0.49000000000000005</v>
      </c>
      <c r="S19" s="34">
        <f t="shared" si="0"/>
        <v>6.0049939903846159</v>
      </c>
      <c r="T19" s="26">
        <v>34.5</v>
      </c>
      <c r="U19" s="26">
        <f>T19*S19</f>
        <v>207.17229266826925</v>
      </c>
      <c r="V19" s="27">
        <v>0.51400000000000001</v>
      </c>
      <c r="W19" s="33">
        <v>0.222</v>
      </c>
      <c r="X19" s="24">
        <v>0</v>
      </c>
      <c r="Y19" s="24">
        <v>0</v>
      </c>
      <c r="Z19" s="24">
        <v>0</v>
      </c>
      <c r="AA19" s="24">
        <v>0.05</v>
      </c>
      <c r="AB19" s="24">
        <v>0</v>
      </c>
      <c r="AC19" s="24">
        <v>0.01</v>
      </c>
      <c r="AD19" s="24">
        <v>0.09</v>
      </c>
      <c r="AE19" s="24">
        <v>0</v>
      </c>
      <c r="AF19" s="24">
        <v>0.42</v>
      </c>
      <c r="AG19" s="24">
        <v>0</v>
      </c>
      <c r="AH19" s="24">
        <v>0</v>
      </c>
      <c r="AI19" s="24">
        <v>0</v>
      </c>
      <c r="AJ19" s="24">
        <v>0</v>
      </c>
      <c r="AK19" s="24">
        <v>0.73</v>
      </c>
      <c r="AL19" s="24">
        <v>0.14000000000000001</v>
      </c>
      <c r="AM19" s="24">
        <v>0</v>
      </c>
      <c r="AN19" s="24">
        <v>0</v>
      </c>
      <c r="AO19" s="24">
        <v>0</v>
      </c>
      <c r="AP19" s="24">
        <v>0</v>
      </c>
      <c r="AQ19" s="25">
        <v>0.43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</row>
    <row r="20" spans="1:48" s="22" customFormat="1" x14ac:dyDescent="0.15">
      <c r="A20" s="53">
        <v>26</v>
      </c>
      <c r="B20" s="26"/>
      <c r="C20" s="26"/>
      <c r="D20" s="26"/>
      <c r="E20" s="26"/>
      <c r="F20" s="26"/>
      <c r="G20" s="26">
        <v>65</v>
      </c>
      <c r="H20" s="26">
        <v>435.7</v>
      </c>
      <c r="I20" s="26">
        <f t="shared" si="4"/>
        <v>0.340390625</v>
      </c>
      <c r="J20" s="26">
        <f t="shared" si="5"/>
        <v>441.42</v>
      </c>
      <c r="K20" s="26">
        <f>(J20-J19)/S20/2</f>
        <v>3.2117905927692005</v>
      </c>
      <c r="L20" s="26">
        <f>K20*S20</f>
        <v>19.5</v>
      </c>
      <c r="M20" s="26"/>
      <c r="N20" s="26">
        <v>14.2</v>
      </c>
      <c r="O20" s="34">
        <f t="shared" si="1"/>
        <v>201.1</v>
      </c>
      <c r="P20" s="34">
        <f t="shared" si="2"/>
        <v>0.22098901098901097</v>
      </c>
      <c r="Q20" s="26"/>
      <c r="R20" s="34">
        <f t="shared" si="3"/>
        <v>0.49000000000000005</v>
      </c>
      <c r="S20" s="34">
        <f t="shared" si="0"/>
        <v>6.0713796359890111</v>
      </c>
      <c r="T20" s="26"/>
      <c r="U20" s="26"/>
      <c r="V20" s="25"/>
      <c r="W20" s="33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spans="1:48" s="22" customFormat="1" x14ac:dyDescent="0.15">
      <c r="A21" s="53">
        <v>28</v>
      </c>
      <c r="B21" s="26">
        <v>7.15</v>
      </c>
      <c r="C21" s="26">
        <f>(LN(B21)-LN(B19))/(A21-A19)</f>
        <v>1.2547436130963818E-2</v>
      </c>
      <c r="D21" s="26">
        <f>(W21*1.025*S21/S21-W17*1.025*S17/S17)/4</f>
        <v>3.5875000000000004E-3</v>
      </c>
      <c r="E21" s="26">
        <v>13</v>
      </c>
      <c r="F21" s="26">
        <f>E21*S21</f>
        <v>78.717957589285717</v>
      </c>
      <c r="G21" s="26">
        <v>55</v>
      </c>
      <c r="H21" s="26">
        <v>490.7</v>
      </c>
      <c r="I21" s="26">
        <f t="shared" si="4"/>
        <v>0.383359375</v>
      </c>
      <c r="J21" s="26">
        <f t="shared" si="5"/>
        <v>474.42</v>
      </c>
      <c r="K21" s="26">
        <f>(J21-J20)/S21/2</f>
        <v>2.7249182596830428</v>
      </c>
      <c r="L21" s="26">
        <f>K21*S21</f>
        <v>16.5</v>
      </c>
      <c r="M21" s="26">
        <f>(E19*S19+G20*0.6+G21*0.6-E21*S21)/S21/4</f>
        <v>2.6357689172422631</v>
      </c>
      <c r="N21" s="26">
        <v>9.9</v>
      </c>
      <c r="O21" s="34">
        <f t="shared" si="1"/>
        <v>211</v>
      </c>
      <c r="P21" s="34">
        <f t="shared" si="2"/>
        <v>0.23186813186813185</v>
      </c>
      <c r="Q21" s="26">
        <v>7.0000000000000007E-2</v>
      </c>
      <c r="R21" s="34">
        <f t="shared" si="3"/>
        <v>0.56000000000000005</v>
      </c>
      <c r="S21" s="34">
        <f t="shared" si="0"/>
        <v>6.0552275068681318</v>
      </c>
      <c r="T21" s="26">
        <v>39.4</v>
      </c>
      <c r="U21" s="26">
        <f>T21*S21</f>
        <v>238.57596377060437</v>
      </c>
      <c r="V21" s="27">
        <v>0.498</v>
      </c>
      <c r="W21" s="33">
        <v>0.23400000000000001</v>
      </c>
      <c r="X21" s="24">
        <v>0</v>
      </c>
      <c r="Y21" s="24">
        <v>0</v>
      </c>
      <c r="Z21" s="24">
        <v>0</v>
      </c>
      <c r="AA21" s="24">
        <v>0.03</v>
      </c>
      <c r="AB21" s="24">
        <v>0</v>
      </c>
      <c r="AC21" s="24">
        <v>0</v>
      </c>
      <c r="AD21" s="24">
        <v>0.12</v>
      </c>
      <c r="AE21" s="24">
        <v>0</v>
      </c>
      <c r="AF21" s="24">
        <v>0.42</v>
      </c>
      <c r="AG21" s="24">
        <v>0</v>
      </c>
      <c r="AH21" s="24">
        <v>0</v>
      </c>
      <c r="AI21" s="24">
        <v>0</v>
      </c>
      <c r="AJ21" s="24">
        <v>0.04</v>
      </c>
      <c r="AK21" s="24">
        <v>0.82</v>
      </c>
      <c r="AL21" s="24">
        <v>0.14000000000000001</v>
      </c>
      <c r="AM21" s="24">
        <v>0</v>
      </c>
      <c r="AN21" s="24">
        <v>0</v>
      </c>
      <c r="AO21" s="24">
        <v>0</v>
      </c>
      <c r="AP21" s="24">
        <v>0</v>
      </c>
      <c r="AQ21" s="25">
        <v>0.49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</row>
    <row r="22" spans="1:48" s="22" customFormat="1" x14ac:dyDescent="0.15">
      <c r="A22" s="53">
        <v>30</v>
      </c>
      <c r="B22" s="26"/>
      <c r="C22" s="26"/>
      <c r="D22" s="26"/>
      <c r="E22" s="26"/>
      <c r="F22" s="26"/>
      <c r="G22" s="26">
        <v>0</v>
      </c>
      <c r="H22" s="26">
        <v>490.7</v>
      </c>
      <c r="I22" s="26">
        <f t="shared" si="4"/>
        <v>0.383359375</v>
      </c>
      <c r="J22" s="26">
        <f t="shared" si="5"/>
        <v>474.42</v>
      </c>
      <c r="K22" s="26"/>
      <c r="L22" s="26"/>
      <c r="M22" s="26"/>
      <c r="N22" s="26">
        <v>22</v>
      </c>
      <c r="O22" s="34">
        <f t="shared" si="1"/>
        <v>233</v>
      </c>
      <c r="P22" s="34">
        <f t="shared" si="2"/>
        <v>0.25604395604395602</v>
      </c>
      <c r="Q22" s="26"/>
      <c r="R22" s="34">
        <f t="shared" si="3"/>
        <v>0.56000000000000005</v>
      </c>
      <c r="S22" s="34">
        <f t="shared" si="0"/>
        <v>6.0794033310439559</v>
      </c>
      <c r="T22" s="26"/>
      <c r="U22" s="26"/>
      <c r="V22" s="25"/>
      <c r="W22" s="33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</row>
    <row r="23" spans="1:48" s="22" customFormat="1" x14ac:dyDescent="0.15">
      <c r="A23" s="53">
        <v>32</v>
      </c>
      <c r="B23" s="26">
        <v>9.1999999999999993</v>
      </c>
      <c r="C23" s="26">
        <f>(LN(B23)-LN(B21))/(A23-A21)</f>
        <v>6.3022781837269559E-2</v>
      </c>
      <c r="D23" s="26">
        <f>(W23*1.025*S23/S23-W19*1.025*S19/S19)/4</f>
        <v>1.9987499999999991E-2</v>
      </c>
      <c r="E23" s="26">
        <v>10</v>
      </c>
      <c r="F23" s="26">
        <f>E23*S23</f>
        <v>60.58795501373627</v>
      </c>
      <c r="G23" s="26">
        <v>50</v>
      </c>
      <c r="H23" s="26">
        <v>540.70000000000005</v>
      </c>
      <c r="I23" s="26">
        <f t="shared" si="4"/>
        <v>0.422421875</v>
      </c>
      <c r="J23" s="26">
        <f t="shared" si="5"/>
        <v>504.42</v>
      </c>
      <c r="K23" s="26">
        <f>(J23-J21)/S23/4</f>
        <v>1.2378698040393719</v>
      </c>
      <c r="L23" s="26">
        <f t="shared" ref="L23:L37" si="6">K23*S23</f>
        <v>7.4999999999999991</v>
      </c>
      <c r="M23" s="26">
        <f>(E21*S21+G22*0.6+G23*0.6-E23*S23)/S23/4</f>
        <v>1.9859558952203287</v>
      </c>
      <c r="N23" s="26">
        <v>9.4</v>
      </c>
      <c r="O23" s="34">
        <f t="shared" si="1"/>
        <v>242.4</v>
      </c>
      <c r="P23" s="34">
        <f t="shared" si="2"/>
        <v>0.26637362637362638</v>
      </c>
      <c r="Q23" s="26">
        <v>7.0000000000000007E-2</v>
      </c>
      <c r="R23" s="34">
        <f t="shared" si="3"/>
        <v>0.63000000000000012</v>
      </c>
      <c r="S23" s="34">
        <f t="shared" si="0"/>
        <v>6.058795501373627</v>
      </c>
      <c r="T23" s="26">
        <v>45.7</v>
      </c>
      <c r="U23" s="26">
        <f>T23*S23</f>
        <v>276.8869544127748</v>
      </c>
      <c r="V23" s="27">
        <v>0.54400000000000004</v>
      </c>
      <c r="W23" s="33">
        <v>0.3</v>
      </c>
      <c r="X23" s="24">
        <v>0</v>
      </c>
      <c r="Y23" s="24">
        <v>0</v>
      </c>
      <c r="Z23" s="24">
        <v>0</v>
      </c>
      <c r="AA23" s="24">
        <v>0.04</v>
      </c>
      <c r="AB23" s="24">
        <v>0</v>
      </c>
      <c r="AC23" s="24">
        <v>0.01</v>
      </c>
      <c r="AD23" s="24">
        <v>0.18</v>
      </c>
      <c r="AE23" s="24">
        <v>0.01</v>
      </c>
      <c r="AF23" s="24">
        <v>0.44</v>
      </c>
      <c r="AG23" s="24">
        <v>0</v>
      </c>
      <c r="AH23" s="24">
        <v>0</v>
      </c>
      <c r="AI23" s="24">
        <v>0</v>
      </c>
      <c r="AJ23" s="24">
        <v>0.05</v>
      </c>
      <c r="AK23" s="24">
        <v>0.93</v>
      </c>
      <c r="AL23" s="24">
        <v>0.19</v>
      </c>
      <c r="AM23" s="24">
        <v>0.03</v>
      </c>
      <c r="AN23" s="24">
        <v>0</v>
      </c>
      <c r="AO23" s="24">
        <v>0</v>
      </c>
      <c r="AP23" s="24">
        <v>0</v>
      </c>
      <c r="AQ23" s="25">
        <v>0.54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</row>
    <row r="24" spans="1:48" s="22" customFormat="1" x14ac:dyDescent="0.15">
      <c r="A24" s="53">
        <v>34</v>
      </c>
      <c r="B24" s="26"/>
      <c r="C24" s="26"/>
      <c r="D24" s="26"/>
      <c r="E24" s="26"/>
      <c r="F24" s="26"/>
      <c r="G24" s="26">
        <v>50.2</v>
      </c>
      <c r="H24" s="26">
        <v>590.9</v>
      </c>
      <c r="I24" s="26">
        <f t="shared" si="4"/>
        <v>0.46164062500000003</v>
      </c>
      <c r="J24" s="26">
        <f t="shared" si="5"/>
        <v>534.54</v>
      </c>
      <c r="K24" s="26">
        <f t="shared" ref="K24:K37" si="7">(J24-J23)/S24/2</f>
        <v>2.4645932685629957</v>
      </c>
      <c r="L24" s="26">
        <f t="shared" si="6"/>
        <v>15.059999999999974</v>
      </c>
      <c r="M24" s="26"/>
      <c r="N24" s="26">
        <v>11.4</v>
      </c>
      <c r="O24" s="34">
        <f t="shared" si="1"/>
        <v>253.8</v>
      </c>
      <c r="P24" s="34">
        <f t="shared" si="2"/>
        <v>0.27890109890109893</v>
      </c>
      <c r="Q24" s="26"/>
      <c r="R24" s="34">
        <f t="shared" si="3"/>
        <v>0.63000000000000012</v>
      </c>
      <c r="S24" s="34">
        <f t="shared" si="0"/>
        <v>6.1105417239010995</v>
      </c>
      <c r="T24" s="26"/>
      <c r="U24" s="26"/>
      <c r="V24" s="25"/>
      <c r="W24" s="33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</row>
    <row r="25" spans="1:48" s="22" customFormat="1" x14ac:dyDescent="0.15">
      <c r="A25" s="53">
        <v>36</v>
      </c>
      <c r="B25" s="26">
        <v>8.9</v>
      </c>
      <c r="C25" s="26">
        <f>(LN(B25)-LN(B23))/(A25-A23)</f>
        <v>-8.288051829225096E-3</v>
      </c>
      <c r="D25" s="26">
        <f>(W25*1.025*S25/S25-W21*1.025*S21/S21)/4</f>
        <v>1.4349999999999995E-2</v>
      </c>
      <c r="E25" s="26">
        <v>11.5</v>
      </c>
      <c r="F25" s="26">
        <f>E25*S25</f>
        <v>70.059089972527474</v>
      </c>
      <c r="G25" s="26">
        <v>51.5</v>
      </c>
      <c r="H25" s="26">
        <v>642.4</v>
      </c>
      <c r="I25" s="26">
        <f t="shared" si="4"/>
        <v>0.50187499999999996</v>
      </c>
      <c r="J25" s="26">
        <f t="shared" si="5"/>
        <v>565.43999999999994</v>
      </c>
      <c r="K25" s="26">
        <f t="shared" si="7"/>
        <v>2.5360734783976246</v>
      </c>
      <c r="L25" s="26">
        <f t="shared" si="6"/>
        <v>15.44999999999999</v>
      </c>
      <c r="M25" s="26">
        <f>(E23*S23+G24*0.6+G25*0.6-E25*S25)/S25/4</f>
        <v>2.1153998296522363</v>
      </c>
      <c r="N25" s="26">
        <v>10.3</v>
      </c>
      <c r="O25" s="34">
        <f t="shared" si="1"/>
        <v>264.10000000000002</v>
      </c>
      <c r="P25" s="34">
        <f t="shared" si="2"/>
        <v>0.29021978021978029</v>
      </c>
      <c r="Q25" s="26">
        <v>7.0000000000000007E-2</v>
      </c>
      <c r="R25" s="34">
        <f t="shared" si="3"/>
        <v>0.70000000000000018</v>
      </c>
      <c r="S25" s="34">
        <f t="shared" si="0"/>
        <v>6.0920947802197798</v>
      </c>
      <c r="T25" s="26">
        <v>49.7</v>
      </c>
      <c r="U25" s="26">
        <f>T25*S25</f>
        <v>302.77711057692306</v>
      </c>
      <c r="V25" s="27">
        <v>0.52700000000000002</v>
      </c>
      <c r="W25" s="33">
        <v>0.28999999999999998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0.01</v>
      </c>
      <c r="AD25" s="24">
        <v>0.23</v>
      </c>
      <c r="AE25" s="24">
        <v>0</v>
      </c>
      <c r="AF25" s="24">
        <v>0.45</v>
      </c>
      <c r="AG25" s="24">
        <v>0.04</v>
      </c>
      <c r="AH25" s="24">
        <v>0</v>
      </c>
      <c r="AI25" s="24">
        <v>0</v>
      </c>
      <c r="AJ25" s="24">
        <v>0.06</v>
      </c>
      <c r="AK25" s="24">
        <v>0.97</v>
      </c>
      <c r="AL25" s="24">
        <v>0.19</v>
      </c>
      <c r="AM25" s="24">
        <v>0.03</v>
      </c>
      <c r="AN25" s="24">
        <v>0</v>
      </c>
      <c r="AO25" s="24">
        <v>0</v>
      </c>
      <c r="AP25" s="24">
        <v>0</v>
      </c>
      <c r="AQ25" s="25">
        <v>0.6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</row>
    <row r="26" spans="1:48" s="22" customFormat="1" x14ac:dyDescent="0.15">
      <c r="A26" s="53">
        <v>38</v>
      </c>
      <c r="B26" s="26"/>
      <c r="C26" s="26"/>
      <c r="D26" s="26"/>
      <c r="E26" s="26"/>
      <c r="F26" s="26"/>
      <c r="G26" s="26">
        <v>50</v>
      </c>
      <c r="H26" s="26">
        <v>692.4</v>
      </c>
      <c r="I26" s="26">
        <f t="shared" si="4"/>
        <v>0.54093749999999996</v>
      </c>
      <c r="J26" s="26">
        <f t="shared" si="5"/>
        <v>595.43999999999994</v>
      </c>
      <c r="K26" s="26">
        <f t="shared" si="7"/>
        <v>2.441225866487077</v>
      </c>
      <c r="L26" s="26">
        <f t="shared" si="6"/>
        <v>15</v>
      </c>
      <c r="M26" s="26"/>
      <c r="N26" s="26">
        <v>12.1</v>
      </c>
      <c r="O26" s="34">
        <f t="shared" si="1"/>
        <v>276.20000000000005</v>
      </c>
      <c r="P26" s="34">
        <f t="shared" si="2"/>
        <v>0.30351648351648358</v>
      </c>
      <c r="Q26" s="26"/>
      <c r="R26" s="34">
        <f t="shared" si="3"/>
        <v>0.70000000000000018</v>
      </c>
      <c r="S26" s="34">
        <f t="shared" si="0"/>
        <v>6.1444539835164838</v>
      </c>
      <c r="T26" s="26"/>
      <c r="U26" s="26"/>
      <c r="V26" s="25"/>
      <c r="W26" s="33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</row>
    <row r="27" spans="1:48" s="22" customFormat="1" x14ac:dyDescent="0.15">
      <c r="A27" s="53">
        <v>40</v>
      </c>
      <c r="B27" s="26">
        <v>8.6999999999999993</v>
      </c>
      <c r="C27" s="26">
        <f>(LN(B27)-LN(B25))/(A27-A25)</f>
        <v>-5.6820627693890957E-3</v>
      </c>
      <c r="D27" s="26">
        <f>(W27*1.025*S27/S27-W23*1.025*S23/S23)/4</f>
        <v>-4.3562499999999921E-3</v>
      </c>
      <c r="E27" s="26">
        <v>11</v>
      </c>
      <c r="F27" s="26">
        <f>E27*S27</f>
        <v>67.226177026098895</v>
      </c>
      <c r="G27" s="26">
        <v>34.299999999999997</v>
      </c>
      <c r="H27" s="26">
        <v>726.7</v>
      </c>
      <c r="I27" s="26">
        <f t="shared" si="4"/>
        <v>0.56773437500000001</v>
      </c>
      <c r="J27" s="26">
        <f t="shared" si="5"/>
        <v>616.02</v>
      </c>
      <c r="K27" s="26">
        <f t="shared" si="7"/>
        <v>1.6837191256027697</v>
      </c>
      <c r="L27" s="26">
        <f t="shared" si="6"/>
        <v>10.29000000000002</v>
      </c>
      <c r="M27" s="26">
        <f>(E25*S25+G26*0.6+G27*0.6-E27*S27)/S27/4</f>
        <v>2.1849451672025606</v>
      </c>
      <c r="N27" s="26">
        <v>9.3000000000000007</v>
      </c>
      <c r="O27" s="34">
        <f t="shared" si="1"/>
        <v>285.50000000000006</v>
      </c>
      <c r="P27" s="34">
        <f t="shared" si="2"/>
        <v>0.31373626373626379</v>
      </c>
      <c r="Q27" s="26">
        <v>7.0000000000000007E-2</v>
      </c>
      <c r="R27" s="34">
        <f t="shared" si="3"/>
        <v>0.77000000000000024</v>
      </c>
      <c r="S27" s="34">
        <f t="shared" si="0"/>
        <v>6.1114706387362627</v>
      </c>
      <c r="T27" s="26">
        <v>54.6</v>
      </c>
      <c r="U27" s="26">
        <f>T27*S27</f>
        <v>333.68629687499993</v>
      </c>
      <c r="V27" s="27">
        <v>0.53200000000000003</v>
      </c>
      <c r="W27" s="33">
        <v>0.28299999999999997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0.01</v>
      </c>
      <c r="AD27" s="24">
        <v>0.28000000000000003</v>
      </c>
      <c r="AE27" s="24">
        <v>0</v>
      </c>
      <c r="AF27" s="24">
        <v>0.47</v>
      </c>
      <c r="AG27" s="24">
        <v>0.04</v>
      </c>
      <c r="AH27" s="24">
        <v>0</v>
      </c>
      <c r="AI27" s="24">
        <v>0</v>
      </c>
      <c r="AJ27" s="24">
        <v>0.08</v>
      </c>
      <c r="AK27" s="24">
        <v>1.02</v>
      </c>
      <c r="AL27" s="24">
        <v>0.23</v>
      </c>
      <c r="AM27" s="24">
        <v>0.03</v>
      </c>
      <c r="AN27" s="24">
        <v>0</v>
      </c>
      <c r="AO27" s="24">
        <v>0</v>
      </c>
      <c r="AP27" s="24">
        <v>0</v>
      </c>
      <c r="AQ27" s="25">
        <v>0.62</v>
      </c>
      <c r="AR27" s="25">
        <v>0</v>
      </c>
      <c r="AS27" s="25">
        <v>0</v>
      </c>
      <c r="AT27" s="25">
        <v>0</v>
      </c>
      <c r="AU27" s="25">
        <v>0</v>
      </c>
      <c r="AV27" s="25">
        <v>0</v>
      </c>
    </row>
    <row r="28" spans="1:48" s="22" customFormat="1" x14ac:dyDescent="0.15">
      <c r="A28" s="53">
        <v>42</v>
      </c>
      <c r="B28" s="26"/>
      <c r="C28" s="26"/>
      <c r="D28" s="26"/>
      <c r="E28" s="26"/>
      <c r="F28" s="26"/>
      <c r="G28" s="26">
        <v>50</v>
      </c>
      <c r="H28" s="26">
        <v>776.7</v>
      </c>
      <c r="I28" s="26">
        <f t="shared" si="4"/>
        <v>0.60679687500000001</v>
      </c>
      <c r="J28" s="26">
        <f t="shared" si="5"/>
        <v>646.02</v>
      </c>
      <c r="K28" s="26">
        <f t="shared" si="7"/>
        <v>2.4326845199980118</v>
      </c>
      <c r="L28" s="26">
        <f t="shared" si="6"/>
        <v>15</v>
      </c>
      <c r="M28" s="26"/>
      <c r="N28" s="26">
        <v>14.1</v>
      </c>
      <c r="O28" s="34">
        <f t="shared" si="1"/>
        <v>299.60000000000008</v>
      </c>
      <c r="P28" s="34">
        <f t="shared" si="2"/>
        <v>0.32923076923076927</v>
      </c>
      <c r="Q28" s="26"/>
      <c r="R28" s="34">
        <f t="shared" si="3"/>
        <v>0.77000000000000024</v>
      </c>
      <c r="S28" s="34">
        <f t="shared" si="0"/>
        <v>6.1660276442307689</v>
      </c>
      <c r="T28" s="26"/>
      <c r="U28" s="26"/>
      <c r="V28" s="25"/>
      <c r="W28" s="33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1:48" s="22" customFormat="1" x14ac:dyDescent="0.15">
      <c r="A29" s="53">
        <v>44</v>
      </c>
      <c r="B29" s="26">
        <v>8.6</v>
      </c>
      <c r="C29" s="26">
        <f>(LN(B29)-LN(B27))/(A29-A27)</f>
        <v>-2.8902056002689802E-3</v>
      </c>
      <c r="D29" s="26">
        <f>(W29*1.025*S29/S29-W25*1.025*S25/S25)/4</f>
        <v>-2.3062499999999819E-3</v>
      </c>
      <c r="E29" s="26">
        <v>12</v>
      </c>
      <c r="F29" s="26">
        <f>E29*S29</f>
        <v>73.726751373626371</v>
      </c>
      <c r="G29" s="26">
        <v>50.3</v>
      </c>
      <c r="H29" s="26">
        <v>827</v>
      </c>
      <c r="I29" s="26">
        <f t="shared" si="4"/>
        <v>0.64609375000000002</v>
      </c>
      <c r="J29" s="26">
        <f t="shared" si="5"/>
        <v>676.19999999999993</v>
      </c>
      <c r="K29" s="26">
        <f t="shared" si="7"/>
        <v>2.4560962829127972</v>
      </c>
      <c r="L29" s="26">
        <f t="shared" si="6"/>
        <v>15.089999999999977</v>
      </c>
      <c r="M29" s="26">
        <f>(E27*S27+G28*0.6+G29*0.6-E29*S29)/S29/4</f>
        <v>2.184258413087008</v>
      </c>
      <c r="N29" s="26">
        <v>7.8</v>
      </c>
      <c r="O29" s="34">
        <f t="shared" si="1"/>
        <v>307.40000000000009</v>
      </c>
      <c r="P29" s="34">
        <f t="shared" si="2"/>
        <v>0.33780219780219789</v>
      </c>
      <c r="Q29" s="26">
        <v>7.0000000000000007E-2</v>
      </c>
      <c r="R29" s="34">
        <f t="shared" si="3"/>
        <v>0.8400000000000003</v>
      </c>
      <c r="S29" s="34">
        <f t="shared" si="0"/>
        <v>6.1438959478021982</v>
      </c>
      <c r="T29" s="26">
        <v>57.6</v>
      </c>
      <c r="U29" s="26">
        <f>T29*S29</f>
        <v>353.88840659340661</v>
      </c>
      <c r="V29" s="27">
        <v>0.51100000000000001</v>
      </c>
      <c r="W29" s="33">
        <v>0.28100000000000003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0.01</v>
      </c>
      <c r="AD29" s="24">
        <v>0.33</v>
      </c>
      <c r="AE29" s="24">
        <v>0.02</v>
      </c>
      <c r="AF29" s="24">
        <v>0.47</v>
      </c>
      <c r="AG29" s="24">
        <v>0.05</v>
      </c>
      <c r="AH29" s="24">
        <v>0</v>
      </c>
      <c r="AI29" s="24">
        <v>0</v>
      </c>
      <c r="AJ29" s="24">
        <v>0.09</v>
      </c>
      <c r="AK29" s="24">
        <v>1.01</v>
      </c>
      <c r="AL29" s="24">
        <v>0.21</v>
      </c>
      <c r="AM29" s="24">
        <v>0.04</v>
      </c>
      <c r="AN29" s="24">
        <v>0</v>
      </c>
      <c r="AO29" s="24">
        <v>0</v>
      </c>
      <c r="AP29" s="24">
        <v>0</v>
      </c>
      <c r="AQ29" s="25">
        <v>0.63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</row>
    <row r="30" spans="1:48" s="22" customFormat="1" x14ac:dyDescent="0.15">
      <c r="A30" s="53">
        <v>46</v>
      </c>
      <c r="B30" s="26"/>
      <c r="C30" s="26"/>
      <c r="D30" s="26"/>
      <c r="E30" s="26"/>
      <c r="F30" s="26"/>
      <c r="G30" s="26">
        <v>40.1</v>
      </c>
      <c r="H30" s="26">
        <v>867.1</v>
      </c>
      <c r="I30" s="26">
        <f t="shared" si="4"/>
        <v>0.67742187499999995</v>
      </c>
      <c r="J30" s="26">
        <f t="shared" si="5"/>
        <v>700.25999999999988</v>
      </c>
      <c r="K30" s="26">
        <f t="shared" si="7"/>
        <v>1.9431626198395369</v>
      </c>
      <c r="L30" s="26">
        <f t="shared" si="6"/>
        <v>12.029999999999973</v>
      </c>
      <c r="M30" s="26"/>
      <c r="N30" s="26">
        <v>14.3</v>
      </c>
      <c r="O30" s="34">
        <f t="shared" si="1"/>
        <v>321.7000000000001</v>
      </c>
      <c r="P30" s="34">
        <f t="shared" si="2"/>
        <v>0.35351648351648363</v>
      </c>
      <c r="Q30" s="26"/>
      <c r="R30" s="34">
        <f t="shared" si="3"/>
        <v>0.8400000000000003</v>
      </c>
      <c r="S30" s="34">
        <f t="shared" si="0"/>
        <v>6.1909383585164841</v>
      </c>
      <c r="T30" s="26"/>
      <c r="U30" s="26"/>
      <c r="V30" s="25"/>
      <c r="W30" s="33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</row>
    <row r="31" spans="1:48" s="22" customFormat="1" x14ac:dyDescent="0.15">
      <c r="A31" s="53">
        <v>48</v>
      </c>
      <c r="B31" s="26">
        <v>8.15</v>
      </c>
      <c r="C31" s="26">
        <f>(LN(B31)-LN(B29))/(A31-A29)</f>
        <v>-1.3436069001672601E-2</v>
      </c>
      <c r="D31" s="26">
        <f>(W31*1.025*S31/S31-W27*1.025*S27/S27)/4</f>
        <v>-4.0999999999999925E-3</v>
      </c>
      <c r="E31" s="26">
        <v>11</v>
      </c>
      <c r="F31" s="26">
        <f>E31*S31</f>
        <v>67.768470982142858</v>
      </c>
      <c r="G31" s="26">
        <v>37.200000000000003</v>
      </c>
      <c r="H31" s="26">
        <v>904.3</v>
      </c>
      <c r="I31" s="26">
        <f t="shared" si="4"/>
        <v>0.70648437500000005</v>
      </c>
      <c r="J31" s="26">
        <f t="shared" si="5"/>
        <v>722.57999999999993</v>
      </c>
      <c r="K31" s="26">
        <f t="shared" si="7"/>
        <v>1.8114618527006137</v>
      </c>
      <c r="L31" s="26">
        <f t="shared" si="6"/>
        <v>11.160000000000025</v>
      </c>
      <c r="M31" s="26">
        <f>(E29*S29+G30*0.6+G31*0.6-E31*S31)/S31/4</f>
        <v>2.123853009971342</v>
      </c>
      <c r="N31" s="26">
        <v>9.8000000000000007</v>
      </c>
      <c r="O31" s="34">
        <f t="shared" si="1"/>
        <v>331.50000000000011</v>
      </c>
      <c r="P31" s="34">
        <f t="shared" si="2"/>
        <v>0.36428571428571438</v>
      </c>
      <c r="Q31" s="26">
        <v>7.0000000000000007E-2</v>
      </c>
      <c r="R31" s="34">
        <f t="shared" si="3"/>
        <v>0.91000000000000036</v>
      </c>
      <c r="S31" s="34">
        <f t="shared" si="0"/>
        <v>6.1607700892857142</v>
      </c>
      <c r="T31" s="26">
        <v>61.8</v>
      </c>
      <c r="U31" s="26">
        <f>T31*S31</f>
        <v>380.73559151785713</v>
      </c>
      <c r="V31" s="27">
        <v>0.51300000000000001</v>
      </c>
      <c r="W31" s="33">
        <v>0.26700000000000002</v>
      </c>
      <c r="X31" s="24">
        <v>0</v>
      </c>
      <c r="Y31" s="24">
        <v>0</v>
      </c>
      <c r="Z31" s="24">
        <v>0.01</v>
      </c>
      <c r="AA31" s="24">
        <v>0.04</v>
      </c>
      <c r="AB31" s="24">
        <v>0</v>
      </c>
      <c r="AC31" s="24">
        <v>0.05</v>
      </c>
      <c r="AD31" s="24">
        <v>0.38</v>
      </c>
      <c r="AE31" s="24">
        <v>0.01</v>
      </c>
      <c r="AF31" s="24">
        <v>0.48</v>
      </c>
      <c r="AG31" s="24">
        <v>0.04</v>
      </c>
      <c r="AH31" s="24">
        <v>0</v>
      </c>
      <c r="AI31" s="24">
        <v>0</v>
      </c>
      <c r="AJ31" s="24">
        <v>0.11</v>
      </c>
      <c r="AK31" s="24">
        <v>1.01</v>
      </c>
      <c r="AL31" s="24">
        <v>0.22</v>
      </c>
      <c r="AM31" s="24">
        <v>0.04</v>
      </c>
      <c r="AN31" s="24">
        <v>0</v>
      </c>
      <c r="AO31" s="24">
        <v>0</v>
      </c>
      <c r="AP31" s="24">
        <v>0</v>
      </c>
      <c r="AQ31" s="25">
        <v>0.65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</row>
    <row r="32" spans="1:48" s="22" customFormat="1" x14ac:dyDescent="0.15">
      <c r="A32" s="53">
        <v>50</v>
      </c>
      <c r="B32" s="26"/>
      <c r="C32" s="26"/>
      <c r="D32" s="26"/>
      <c r="E32" s="26"/>
      <c r="F32" s="26"/>
      <c r="G32" s="26">
        <v>37.299999999999997</v>
      </c>
      <c r="H32" s="26">
        <v>941.6</v>
      </c>
      <c r="I32" s="26">
        <f t="shared" si="4"/>
        <v>0.73562499999999997</v>
      </c>
      <c r="J32" s="26">
        <f t="shared" si="5"/>
        <v>744.95999999999992</v>
      </c>
      <c r="K32" s="26">
        <f t="shared" si="7"/>
        <v>1.804832711695614</v>
      </c>
      <c r="L32" s="26">
        <f t="shared" si="6"/>
        <v>11.189999999999998</v>
      </c>
      <c r="M32" s="26"/>
      <c r="N32" s="26">
        <v>9.1999999999999993</v>
      </c>
      <c r="O32" s="34">
        <f t="shared" si="1"/>
        <v>340.7000000000001</v>
      </c>
      <c r="P32" s="34">
        <f t="shared" si="2"/>
        <v>0.37439560439560449</v>
      </c>
      <c r="Q32" s="26"/>
      <c r="R32" s="34">
        <f t="shared" si="3"/>
        <v>0.91000000000000036</v>
      </c>
      <c r="S32" s="34">
        <f t="shared" si="0"/>
        <v>6.2000206043956041</v>
      </c>
      <c r="T32" s="26"/>
      <c r="U32" s="26"/>
      <c r="V32" s="25"/>
      <c r="W32" s="33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</row>
    <row r="33" spans="1:48" s="22" customFormat="1" x14ac:dyDescent="0.15">
      <c r="A33" s="53">
        <v>52</v>
      </c>
      <c r="B33" s="26">
        <v>8.6</v>
      </c>
      <c r="C33" s="26">
        <f>(LN(B33)-LN(B31))/(A33-A31)</f>
        <v>1.3436069001672601E-2</v>
      </c>
      <c r="D33" s="26">
        <f>(W33*1.025*S33/S33-W29*1.025*S29/S29)/4</f>
        <v>2.5624999999998566E-4</v>
      </c>
      <c r="E33" s="26">
        <v>12</v>
      </c>
      <c r="F33" s="26">
        <f>E33*S33</f>
        <v>74.070432692307691</v>
      </c>
      <c r="G33" s="26">
        <v>37.4</v>
      </c>
      <c r="H33" s="26">
        <v>979</v>
      </c>
      <c r="I33" s="26">
        <f t="shared" si="4"/>
        <v>0.76484375000000004</v>
      </c>
      <c r="J33" s="26">
        <f t="shared" si="5"/>
        <v>767.39999999999986</v>
      </c>
      <c r="K33" s="26">
        <f t="shared" si="7"/>
        <v>1.8177293571282485</v>
      </c>
      <c r="L33" s="26">
        <f t="shared" si="6"/>
        <v>11.21999999999997</v>
      </c>
      <c r="M33" s="26">
        <f>(E31*S31+G32*0.6+G33*0.6-E33*S33)/S33/4</f>
        <v>1.5600572410522173</v>
      </c>
      <c r="N33" s="26">
        <v>12.1</v>
      </c>
      <c r="O33" s="34">
        <f t="shared" si="1"/>
        <v>352.80000000000013</v>
      </c>
      <c r="P33" s="34">
        <f t="shared" si="2"/>
        <v>0.38769230769230778</v>
      </c>
      <c r="Q33" s="26">
        <v>7.0000000000000007E-2</v>
      </c>
      <c r="R33" s="34">
        <f t="shared" si="3"/>
        <v>0.98000000000000043</v>
      </c>
      <c r="S33" s="34">
        <f t="shared" si="0"/>
        <v>6.172536057692307</v>
      </c>
      <c r="T33" s="26">
        <v>65.099999999999994</v>
      </c>
      <c r="U33" s="26">
        <f>T33*S33</f>
        <v>401.83209735576912</v>
      </c>
      <c r="V33" s="27">
        <v>0.50900000000000001</v>
      </c>
      <c r="W33" s="33">
        <v>0.28199999999999997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0.01</v>
      </c>
      <c r="AD33" s="24">
        <v>0.44</v>
      </c>
      <c r="AE33" s="24">
        <v>0.01</v>
      </c>
      <c r="AF33" s="24">
        <v>0.5</v>
      </c>
      <c r="AG33" s="24">
        <v>0.06</v>
      </c>
      <c r="AH33" s="24">
        <v>0</v>
      </c>
      <c r="AI33" s="24">
        <v>0</v>
      </c>
      <c r="AJ33" s="24">
        <v>0.11</v>
      </c>
      <c r="AK33" s="24">
        <v>1.03</v>
      </c>
      <c r="AL33" s="24">
        <v>0.24</v>
      </c>
      <c r="AM33" s="24">
        <v>0.05</v>
      </c>
      <c r="AN33" s="24">
        <v>0</v>
      </c>
      <c r="AO33" s="24">
        <v>0</v>
      </c>
      <c r="AP33" s="24">
        <v>0</v>
      </c>
      <c r="AQ33" s="25">
        <v>0.67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</row>
    <row r="34" spans="1:48" s="22" customFormat="1" x14ac:dyDescent="0.15">
      <c r="A34" s="53">
        <v>54</v>
      </c>
      <c r="B34" s="26"/>
      <c r="C34" s="26"/>
      <c r="D34" s="26"/>
      <c r="E34" s="26"/>
      <c r="F34" s="26"/>
      <c r="G34" s="26">
        <v>38.299999999999997</v>
      </c>
      <c r="H34" s="26">
        <v>1017.3</v>
      </c>
      <c r="I34" s="26">
        <f t="shared" si="4"/>
        <v>0.79476562500000003</v>
      </c>
      <c r="J34" s="26">
        <f t="shared" si="5"/>
        <v>790.37999999999988</v>
      </c>
      <c r="K34" s="26">
        <f t="shared" si="7"/>
        <v>1.8494440772486596</v>
      </c>
      <c r="L34" s="26">
        <f t="shared" si="6"/>
        <v>11.490000000000009</v>
      </c>
      <c r="M34" s="26"/>
      <c r="N34" s="26">
        <v>9.3000000000000007</v>
      </c>
      <c r="O34" s="34">
        <f t="shared" si="1"/>
        <v>362.10000000000014</v>
      </c>
      <c r="P34" s="34">
        <f t="shared" si="2"/>
        <v>0.39791208791208804</v>
      </c>
      <c r="Q34" s="26"/>
      <c r="R34" s="34">
        <f t="shared" si="3"/>
        <v>0.98000000000000043</v>
      </c>
      <c r="S34" s="34">
        <f t="shared" si="0"/>
        <v>6.2126777129120878</v>
      </c>
      <c r="T34" s="26"/>
      <c r="U34" s="26"/>
      <c r="V34" s="25"/>
      <c r="W34" s="33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</row>
    <row r="35" spans="1:48" s="22" customFormat="1" x14ac:dyDescent="0.15">
      <c r="A35" s="53">
        <v>56</v>
      </c>
      <c r="B35" s="26">
        <v>8.5</v>
      </c>
      <c r="C35" s="26">
        <f>(LN(B35)-LN(B33))/(A35-A33)</f>
        <v>-2.9240099407977782E-3</v>
      </c>
      <c r="D35" s="26"/>
      <c r="E35" s="26">
        <v>10.5</v>
      </c>
      <c r="F35" s="26">
        <f>E35*S35</f>
        <v>65.064546274038449</v>
      </c>
      <c r="G35" s="26">
        <v>54</v>
      </c>
      <c r="H35" s="26">
        <v>1071.3</v>
      </c>
      <c r="I35" s="26">
        <f t="shared" si="4"/>
        <v>0.83695312499999996</v>
      </c>
      <c r="J35" s="26">
        <f t="shared" si="5"/>
        <v>822.77999999999986</v>
      </c>
      <c r="K35" s="26">
        <f t="shared" si="7"/>
        <v>2.6143269989707414</v>
      </c>
      <c r="L35" s="26">
        <f t="shared" si="6"/>
        <v>16.199999999999989</v>
      </c>
      <c r="M35" s="26">
        <f>(E33*S33+G34*0.6+G35*0.6-E35*S35)/S35/4</f>
        <v>2.5976197718510026</v>
      </c>
      <c r="N35" s="26">
        <v>10.7</v>
      </c>
      <c r="O35" s="34">
        <f t="shared" si="1"/>
        <v>372.80000000000013</v>
      </c>
      <c r="P35" s="34">
        <f t="shared" si="2"/>
        <v>0.40967032967032979</v>
      </c>
      <c r="Q35" s="26">
        <v>7.0000000000000007E-2</v>
      </c>
      <c r="R35" s="34">
        <f t="shared" si="3"/>
        <v>1.0500000000000005</v>
      </c>
      <c r="S35" s="34">
        <f t="shared" si="0"/>
        <v>6.1966234546703287</v>
      </c>
      <c r="T35" s="26"/>
      <c r="U35" s="26"/>
      <c r="V35" s="25"/>
      <c r="W35" s="33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</row>
    <row r="36" spans="1:48" s="22" customFormat="1" x14ac:dyDescent="0.15">
      <c r="A36" s="53">
        <v>58</v>
      </c>
      <c r="B36" s="26"/>
      <c r="C36" s="26"/>
      <c r="D36" s="26"/>
      <c r="E36" s="26"/>
      <c r="F36" s="26"/>
      <c r="G36" s="26">
        <v>58</v>
      </c>
      <c r="H36" s="26">
        <v>1129.3</v>
      </c>
      <c r="I36" s="26">
        <f t="shared" si="4"/>
        <v>0.88226562500000005</v>
      </c>
      <c r="J36" s="26">
        <f t="shared" si="5"/>
        <v>857.57999999999981</v>
      </c>
      <c r="K36" s="26">
        <f t="shared" si="7"/>
        <v>2.7824532159114259</v>
      </c>
      <c r="L36" s="26">
        <f t="shared" si="6"/>
        <v>17.399999999999977</v>
      </c>
      <c r="M36" s="26"/>
      <c r="N36" s="26">
        <v>10.5</v>
      </c>
      <c r="O36" s="34">
        <f t="shared" si="1"/>
        <v>383.30000000000013</v>
      </c>
      <c r="P36" s="34">
        <f t="shared" si="2"/>
        <v>0.42120879120879134</v>
      </c>
      <c r="Q36" s="26"/>
      <c r="R36" s="34">
        <f t="shared" si="3"/>
        <v>1.0500000000000005</v>
      </c>
      <c r="S36" s="34">
        <f t="shared" si="0"/>
        <v>6.2534744162087907</v>
      </c>
      <c r="T36" s="26"/>
      <c r="U36" s="26"/>
      <c r="V36" s="25"/>
      <c r="W36" s="33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  <row r="37" spans="1:48" s="22" customFormat="1" x14ac:dyDescent="0.15">
      <c r="A37" s="53">
        <v>60</v>
      </c>
      <c r="B37" s="26">
        <v>8.8000000000000007</v>
      </c>
      <c r="C37" s="26">
        <f>(LN(B37)-LN(B35))/(A37-A35)</f>
        <v>8.671389496972548E-3</v>
      </c>
      <c r="D37" s="26">
        <f>(W37*1.025*S37/S37-W33*1.025*S33/S33)/4</f>
        <v>2.0499999999999963E-3</v>
      </c>
      <c r="E37" s="26">
        <v>11</v>
      </c>
      <c r="F37" s="26">
        <f>E37*S37</f>
        <v>68.47638822115384</v>
      </c>
      <c r="G37" s="26">
        <v>46</v>
      </c>
      <c r="H37" s="26">
        <v>1175.3</v>
      </c>
      <c r="I37" s="26">
        <f t="shared" si="4"/>
        <v>0.91820312500000001</v>
      </c>
      <c r="J37" s="26">
        <f t="shared" si="5"/>
        <v>885.17999999999984</v>
      </c>
      <c r="K37" s="26">
        <f t="shared" si="7"/>
        <v>2.2168225273468178</v>
      </c>
      <c r="L37" s="26">
        <f t="shared" si="6"/>
        <v>13.80000000000001</v>
      </c>
      <c r="M37" s="26">
        <f>(E35*S35+G36*0.6+G37*0.6-E37*S37)/S37/4</f>
        <v>2.3689543046798747</v>
      </c>
      <c r="N37" s="26">
        <v>5.2</v>
      </c>
      <c r="O37" s="34">
        <f t="shared" si="1"/>
        <v>388.50000000000011</v>
      </c>
      <c r="P37" s="34">
        <f t="shared" si="2"/>
        <v>0.42692307692307702</v>
      </c>
      <c r="Q37" s="26">
        <v>7.0000000000000007E-2</v>
      </c>
      <c r="R37" s="34">
        <f t="shared" si="3"/>
        <v>1.1200000000000006</v>
      </c>
      <c r="S37" s="34">
        <f t="shared" si="0"/>
        <v>6.225126201923076</v>
      </c>
      <c r="T37" s="26">
        <v>80.8</v>
      </c>
      <c r="U37" s="26">
        <f>T37*S37</f>
        <v>502.99019711538455</v>
      </c>
      <c r="V37" s="27">
        <v>0.54800000000000004</v>
      </c>
      <c r="W37" s="33">
        <v>0.28999999999999998</v>
      </c>
      <c r="X37" s="24">
        <v>0</v>
      </c>
      <c r="Y37" s="24">
        <v>0</v>
      </c>
      <c r="Z37" s="24">
        <v>0</v>
      </c>
      <c r="AA37" s="24">
        <v>0.05</v>
      </c>
      <c r="AB37" s="24">
        <v>0</v>
      </c>
      <c r="AC37" s="24">
        <v>0.01</v>
      </c>
      <c r="AD37" s="24">
        <v>0.51</v>
      </c>
      <c r="AE37" s="24">
        <v>0.01</v>
      </c>
      <c r="AF37" s="24">
        <v>0.56999999999999995</v>
      </c>
      <c r="AG37" s="24">
        <v>0.08</v>
      </c>
      <c r="AH37" s="24">
        <v>0</v>
      </c>
      <c r="AI37" s="24">
        <v>0</v>
      </c>
      <c r="AJ37" s="24">
        <v>0.08</v>
      </c>
      <c r="AK37" s="24">
        <v>1.04</v>
      </c>
      <c r="AL37" s="24">
        <v>0.28000000000000003</v>
      </c>
      <c r="AM37" s="24">
        <v>0.05</v>
      </c>
      <c r="AN37" s="24">
        <v>0</v>
      </c>
      <c r="AO37" s="24">
        <v>0</v>
      </c>
      <c r="AP37" s="24">
        <v>0</v>
      </c>
      <c r="AQ37" s="25">
        <v>0.62</v>
      </c>
      <c r="AR37" s="25">
        <v>0</v>
      </c>
      <c r="AS37" s="25">
        <v>0</v>
      </c>
      <c r="AT37" s="25">
        <v>0</v>
      </c>
      <c r="AU37" s="25">
        <v>0</v>
      </c>
      <c r="AV37" s="25">
        <v>0</v>
      </c>
    </row>
    <row r="38" spans="1:48" s="22" customFormat="1" x14ac:dyDescent="0.15">
      <c r="A38" s="26" t="s">
        <v>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>
        <v>8.8000000000000007</v>
      </c>
      <c r="T38" s="26">
        <v>55</v>
      </c>
      <c r="U38" s="30"/>
      <c r="V38" s="30"/>
      <c r="W38" s="30"/>
      <c r="X38" s="26"/>
      <c r="Y38" s="26"/>
      <c r="Z38" s="26"/>
      <c r="AA38" s="25"/>
      <c r="AB38" s="25"/>
      <c r="AC38" s="25"/>
      <c r="AD38" s="25"/>
      <c r="AE38" s="25"/>
      <c r="AF38" s="25"/>
      <c r="AG38" s="24"/>
      <c r="AH38" s="24"/>
      <c r="AI38" s="24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</row>
    <row r="39" spans="1:48" s="22" customFormat="1" x14ac:dyDescent="0.2">
      <c r="A39" s="26" t="s">
        <v>6</v>
      </c>
      <c r="B39" s="26"/>
      <c r="C39" s="26"/>
      <c r="D39" s="26"/>
      <c r="E39" s="26"/>
      <c r="F39" s="26"/>
      <c r="G39" s="26"/>
      <c r="H39" s="26"/>
      <c r="I39" s="26"/>
      <c r="J39" s="26">
        <f>J37</f>
        <v>885.17999999999984</v>
      </c>
      <c r="K39" s="26"/>
      <c r="L39" s="26"/>
      <c r="M39" s="26"/>
      <c r="N39" s="26"/>
      <c r="O39" s="26"/>
      <c r="P39" s="26"/>
      <c r="Q39" s="26"/>
      <c r="R39" s="26"/>
      <c r="S39" s="26"/>
      <c r="T39" s="26">
        <f>T38*S38</f>
        <v>484.00000000000006</v>
      </c>
      <c r="U39" s="26"/>
      <c r="V39" s="27">
        <f>T38*S38/J39</f>
        <v>0.54678144558168973</v>
      </c>
      <c r="W39" s="26">
        <f>W37*0.01*S37*1000*1.025-W7*0.01*1000*S7*1.025</f>
        <v>16.133670135216342</v>
      </c>
      <c r="X39" s="26">
        <f t="shared" ref="X39:AV39" si="8">X37*$S37-X7*$S7</f>
        <v>0</v>
      </c>
      <c r="Y39" s="26">
        <f t="shared" si="8"/>
        <v>0</v>
      </c>
      <c r="Z39" s="26">
        <f t="shared" si="8"/>
        <v>-0.23719999999999999</v>
      </c>
      <c r="AA39" s="26">
        <f t="shared" si="8"/>
        <v>0.19265631009615386</v>
      </c>
      <c r="AB39" s="26">
        <f t="shared" si="8"/>
        <v>0</v>
      </c>
      <c r="AC39" s="26">
        <f t="shared" si="8"/>
        <v>-0.11564873798076922</v>
      </c>
      <c r="AD39" s="26">
        <f t="shared" si="8"/>
        <v>3.174814362980769</v>
      </c>
      <c r="AE39" s="26">
        <f t="shared" si="8"/>
        <v>6.2251262019230764E-2</v>
      </c>
      <c r="AF39" s="26">
        <f t="shared" si="8"/>
        <v>0.87982193509615314</v>
      </c>
      <c r="AG39" s="26">
        <f t="shared" si="8"/>
        <v>0.49801009615384612</v>
      </c>
      <c r="AH39" s="26">
        <f t="shared" si="8"/>
        <v>0</v>
      </c>
      <c r="AI39" s="26">
        <f t="shared" si="8"/>
        <v>0</v>
      </c>
      <c r="AJ39" s="26">
        <f t="shared" si="8"/>
        <v>0.49801009615384612</v>
      </c>
      <c r="AK39" s="26">
        <f t="shared" si="8"/>
        <v>6.0590312499999994</v>
      </c>
      <c r="AL39" s="26">
        <f t="shared" si="8"/>
        <v>1.5058353365384614</v>
      </c>
      <c r="AM39" s="26">
        <f t="shared" si="8"/>
        <v>0.19265631009615386</v>
      </c>
      <c r="AN39" s="26">
        <f t="shared" si="8"/>
        <v>0</v>
      </c>
      <c r="AO39" s="26">
        <f t="shared" si="8"/>
        <v>0</v>
      </c>
      <c r="AP39" s="26">
        <f t="shared" si="8"/>
        <v>0</v>
      </c>
      <c r="AQ39" s="26">
        <f t="shared" si="8"/>
        <v>3.503778245192307</v>
      </c>
      <c r="AR39" s="26">
        <f t="shared" si="8"/>
        <v>0</v>
      </c>
      <c r="AS39" s="26">
        <f t="shared" si="8"/>
        <v>0</v>
      </c>
      <c r="AT39" s="26">
        <f t="shared" si="8"/>
        <v>0</v>
      </c>
      <c r="AU39" s="26">
        <f t="shared" si="8"/>
        <v>0</v>
      </c>
      <c r="AV39" s="26">
        <f t="shared" si="8"/>
        <v>0</v>
      </c>
    </row>
    <row r="40" spans="1:48" s="22" customFormat="1" ht="17" customHeight="1" x14ac:dyDescent="0.15">
      <c r="A40" s="26" t="s">
        <v>5</v>
      </c>
      <c r="B40" s="26"/>
      <c r="C40" s="26"/>
      <c r="D40" s="26"/>
      <c r="E40" s="26"/>
      <c r="F40" s="26"/>
      <c r="G40" s="26"/>
      <c r="H40" s="26"/>
      <c r="I40" s="26"/>
      <c r="J40" s="26">
        <f>J39/180.16</f>
        <v>4.9132992895204257</v>
      </c>
      <c r="K40" s="26"/>
      <c r="L40" s="26"/>
      <c r="M40" s="26"/>
      <c r="N40" s="26"/>
      <c r="O40" s="26"/>
      <c r="P40" s="26"/>
      <c r="Q40" s="26"/>
      <c r="R40" s="26"/>
      <c r="S40" s="26"/>
      <c r="T40" s="26">
        <f>(T38*S38)/117.15</f>
        <v>4.131455399061033</v>
      </c>
      <c r="U40" s="26"/>
      <c r="V40" s="27"/>
      <c r="W40" s="26"/>
      <c r="X40" s="26">
        <v>0</v>
      </c>
      <c r="Y40" s="26">
        <f>Y39/133.1</f>
        <v>0</v>
      </c>
      <c r="Z40" s="26">
        <f>Z39/147.13</f>
        <v>-1.6121797050227689E-3</v>
      </c>
      <c r="AA40" s="25">
        <f>AA39/105.09</f>
        <v>1.8332506432215611E-3</v>
      </c>
      <c r="AB40" s="25">
        <v>0</v>
      </c>
      <c r="AC40" s="25">
        <f>AC39/75.07</f>
        <v>-1.5405453307682059E-3</v>
      </c>
      <c r="AD40" s="25">
        <f>AD39/119.12</f>
        <v>2.6652236089496045E-2</v>
      </c>
      <c r="AE40" s="25">
        <f>AE39/174.2</f>
        <v>3.5735512066148548E-4</v>
      </c>
      <c r="AF40" s="25">
        <f>AF39/89.09</f>
        <v>9.8756531046823789E-3</v>
      </c>
      <c r="AG40" s="24">
        <f>AG39/181.19</f>
        <v>2.7485517752295716E-3</v>
      </c>
      <c r="AH40" s="24">
        <f>AH39/240.3</f>
        <v>0</v>
      </c>
      <c r="AI40" s="24">
        <f>0</f>
        <v>0</v>
      </c>
      <c r="AJ40" s="25">
        <f>AJ39/165.19</f>
        <v>3.0147714519876876E-3</v>
      </c>
      <c r="AK40" s="25">
        <f>AK39/131.17</f>
        <v>4.6192202866509109E-2</v>
      </c>
      <c r="AL40" s="25">
        <f>AL39/131.17</f>
        <v>1.1480028486227502E-2</v>
      </c>
      <c r="AM40" s="25">
        <f>AM39/146.19</f>
        <v>1.3178487591227433E-3</v>
      </c>
      <c r="AN40" s="25">
        <v>0</v>
      </c>
      <c r="AO40" s="25">
        <v>0</v>
      </c>
      <c r="AP40" s="25">
        <v>0</v>
      </c>
      <c r="AQ40" s="25">
        <f>AQ39/60.05</f>
        <v>5.8347681019022601E-2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</row>
    <row r="41" spans="1:48" s="11" customFormat="1" x14ac:dyDescent="0.15">
      <c r="A41" s="19" t="s">
        <v>4</v>
      </c>
      <c r="B41" s="1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19"/>
      <c r="N41" s="49"/>
      <c r="O41" s="49"/>
      <c r="P41" s="49"/>
      <c r="Q41" s="49"/>
      <c r="R41" s="49"/>
      <c r="S41" s="49"/>
      <c r="T41" s="50">
        <v>0</v>
      </c>
      <c r="U41" s="50"/>
      <c r="V41" s="49"/>
      <c r="W41" s="49"/>
      <c r="X41" s="49"/>
      <c r="Y41" s="49"/>
      <c r="Z41" s="49"/>
      <c r="AA41" s="48"/>
      <c r="AB41" s="48"/>
      <c r="AC41" s="48"/>
      <c r="AD41" s="48">
        <f>AD40*-2</f>
        <v>-5.3304472178992091E-2</v>
      </c>
      <c r="AE41" s="48"/>
      <c r="AF41" s="48">
        <v>0</v>
      </c>
      <c r="AG41" s="48"/>
      <c r="AH41" s="48"/>
      <c r="AI41" s="48"/>
      <c r="AJ41" s="46"/>
      <c r="AK41" s="46">
        <f>-3*AK40</f>
        <v>-0.13857660859952733</v>
      </c>
      <c r="AL41" s="46">
        <f>3*AL40</f>
        <v>3.4440085458682504E-2</v>
      </c>
      <c r="AM41" s="52"/>
      <c r="AN41" s="46"/>
      <c r="AO41" s="46"/>
      <c r="AP41" s="46"/>
      <c r="AQ41" s="46">
        <f>AQ40*2</f>
        <v>0.1166953620380452</v>
      </c>
      <c r="AR41" s="46"/>
      <c r="AS41" s="46"/>
      <c r="AT41" s="46"/>
      <c r="AU41" s="46"/>
      <c r="AV41" s="46"/>
    </row>
    <row r="42" spans="1:48" s="11" customFormat="1" x14ac:dyDescent="0.15">
      <c r="A42" s="19" t="s">
        <v>3</v>
      </c>
      <c r="B42" s="51">
        <f>T41+AD41+AF41+AK41+AL41+AQ41+AA41+AG41+AJ41+AM41</f>
        <v>-4.0745633281791704E-2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19"/>
      <c r="N42" s="49"/>
      <c r="O42" s="49"/>
      <c r="P42" s="49"/>
      <c r="Q42" s="49"/>
      <c r="R42" s="49"/>
      <c r="S42" s="49"/>
      <c r="T42" s="50"/>
      <c r="U42" s="50"/>
      <c r="V42" s="49"/>
      <c r="W42" s="49"/>
      <c r="X42" s="49"/>
      <c r="Y42" s="49"/>
      <c r="Z42" s="49"/>
      <c r="AA42" s="48"/>
      <c r="AB42" s="48"/>
      <c r="AC42" s="48"/>
      <c r="AD42" s="48"/>
      <c r="AE42" s="48"/>
      <c r="AF42" s="48"/>
      <c r="AG42" s="48"/>
      <c r="AH42" s="48"/>
      <c r="AI42" s="48"/>
      <c r="AJ42" s="46"/>
      <c r="AK42" s="47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</row>
    <row r="43" spans="1:48" s="4" customFormat="1" x14ac:dyDescent="0.2">
      <c r="A43" s="8" t="s">
        <v>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>
        <f>T39/0.65</f>
        <v>744.61538461538464</v>
      </c>
      <c r="U43" s="9"/>
      <c r="V43" s="9"/>
      <c r="W43" s="9"/>
      <c r="X43" s="9"/>
      <c r="Y43" s="9"/>
      <c r="Z43" s="9"/>
      <c r="AA43" s="44"/>
      <c r="AB43" s="44"/>
      <c r="AC43" s="44"/>
      <c r="AD43" s="44">
        <f>AD40/2*180.16</f>
        <v>2.4008334269418037</v>
      </c>
      <c r="AE43" s="44"/>
      <c r="AF43" s="44">
        <f>AF40/2*180.16</f>
        <v>0.8895988316697887</v>
      </c>
      <c r="AG43" s="44"/>
      <c r="AH43" s="44"/>
      <c r="AI43" s="44"/>
      <c r="AJ43" s="44"/>
      <c r="AK43" s="44">
        <f>AK40/1*180.16</f>
        <v>8.3219872684302807</v>
      </c>
      <c r="AL43" s="44">
        <f>AL40/1.5*180.16</f>
        <v>1.3788279547191646</v>
      </c>
      <c r="AM43" s="44"/>
      <c r="AN43" s="44"/>
      <c r="AO43" s="44"/>
      <c r="AP43" s="44"/>
      <c r="AQ43" s="44">
        <f>AQ40/2*180.16</f>
        <v>5.255959106193556</v>
      </c>
      <c r="AR43" s="44"/>
      <c r="AS43" s="44"/>
      <c r="AT43" s="44"/>
      <c r="AU43" s="44"/>
      <c r="AV43" s="44"/>
    </row>
    <row r="44" spans="1:48" s="4" customFormat="1" x14ac:dyDescent="0.2">
      <c r="A44" s="9" t="s">
        <v>1</v>
      </c>
      <c r="B44" s="45">
        <f>J39-T43-AD43-AF43-AK43-AL43-AQ43-AA43-AG43-AJ43-AM43</f>
        <v>122.31740879666059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</row>
    <row r="45" spans="1:48" s="4" customFormat="1" x14ac:dyDescent="0.2">
      <c r="A45" s="9" t="s">
        <v>0</v>
      </c>
      <c r="B45" s="45">
        <f>W39/B44</f>
        <v>0.13190003200637462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</row>
    <row r="46" spans="1:48" x14ac:dyDescent="0.2">
      <c r="A46" s="43"/>
      <c r="C46" s="42"/>
      <c r="D46" s="42"/>
    </row>
    <row r="47" spans="1:48" x14ac:dyDescent="0.15">
      <c r="A47" s="41" t="s">
        <v>57</v>
      </c>
      <c r="B47" s="26"/>
      <c r="C47" s="26"/>
      <c r="D47" s="26"/>
      <c r="E47" s="39"/>
      <c r="F47" s="39"/>
      <c r="G47" s="26"/>
      <c r="H47" s="39"/>
      <c r="I47" s="26"/>
      <c r="J47" s="39"/>
      <c r="K47" s="39"/>
      <c r="L47" s="39"/>
      <c r="M47" s="26"/>
      <c r="N47" s="39"/>
      <c r="O47" s="26"/>
      <c r="P47" s="26"/>
      <c r="Q47" s="26"/>
      <c r="R47" s="26"/>
      <c r="S47" s="26"/>
      <c r="T47" s="39"/>
      <c r="U47" s="39"/>
      <c r="V47" s="26"/>
      <c r="W47" s="26"/>
      <c r="X47" s="26"/>
      <c r="Y47" s="39"/>
      <c r="Z47" s="26"/>
      <c r="AA47" s="32"/>
      <c r="AB47" s="25"/>
      <c r="AC47" s="32"/>
      <c r="AD47" s="25"/>
      <c r="AE47" s="25"/>
      <c r="AF47" s="24"/>
      <c r="AG47" s="24"/>
      <c r="AH47" s="24"/>
      <c r="AI47" s="24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</row>
    <row r="48" spans="1:48" s="37" customFormat="1" x14ac:dyDescent="0.2">
      <c r="A48" s="38" t="s">
        <v>55</v>
      </c>
      <c r="B48" s="38" t="s">
        <v>54</v>
      </c>
      <c r="C48" s="38" t="s">
        <v>53</v>
      </c>
      <c r="D48" s="38" t="s">
        <v>52</v>
      </c>
      <c r="E48" s="38" t="s">
        <v>51</v>
      </c>
      <c r="F48" s="38" t="s">
        <v>50</v>
      </c>
      <c r="G48" s="38" t="s">
        <v>49</v>
      </c>
      <c r="H48" s="38" t="s">
        <v>48</v>
      </c>
      <c r="I48" s="38" t="s">
        <v>47</v>
      </c>
      <c r="J48" s="38" t="s">
        <v>46</v>
      </c>
      <c r="K48" s="38" t="s">
        <v>45</v>
      </c>
      <c r="L48" s="38" t="s">
        <v>44</v>
      </c>
      <c r="M48" s="38" t="s">
        <v>43</v>
      </c>
      <c r="N48" s="38" t="s">
        <v>42</v>
      </c>
      <c r="O48" s="38" t="s">
        <v>41</v>
      </c>
      <c r="P48" s="38" t="s">
        <v>40</v>
      </c>
      <c r="Q48" s="38" t="s">
        <v>39</v>
      </c>
      <c r="R48" s="38" t="s">
        <v>38</v>
      </c>
      <c r="S48" s="38" t="s">
        <v>37</v>
      </c>
      <c r="T48" s="38" t="s">
        <v>36</v>
      </c>
      <c r="U48" s="38" t="s">
        <v>35</v>
      </c>
      <c r="V48" s="38" t="s">
        <v>34</v>
      </c>
      <c r="W48" s="38" t="s">
        <v>33</v>
      </c>
      <c r="X48" s="38" t="s">
        <v>32</v>
      </c>
      <c r="Y48" s="38" t="s">
        <v>31</v>
      </c>
      <c r="Z48" s="38" t="s">
        <v>30</v>
      </c>
      <c r="AA48" s="38" t="s">
        <v>29</v>
      </c>
      <c r="AB48" s="38" t="s">
        <v>28</v>
      </c>
      <c r="AC48" s="38" t="s">
        <v>27</v>
      </c>
      <c r="AD48" s="38" t="s">
        <v>26</v>
      </c>
      <c r="AE48" s="38" t="s">
        <v>25</v>
      </c>
      <c r="AF48" s="38" t="s">
        <v>24</v>
      </c>
      <c r="AG48" s="38" t="s">
        <v>23</v>
      </c>
      <c r="AH48" s="38" t="s">
        <v>22</v>
      </c>
      <c r="AI48" s="38" t="s">
        <v>21</v>
      </c>
      <c r="AJ48" s="38" t="s">
        <v>20</v>
      </c>
      <c r="AK48" s="38" t="s">
        <v>19</v>
      </c>
      <c r="AL48" s="38" t="s">
        <v>18</v>
      </c>
      <c r="AM48" s="38" t="s">
        <v>17</v>
      </c>
      <c r="AN48" s="38" t="s">
        <v>16</v>
      </c>
      <c r="AO48" s="38" t="s">
        <v>15</v>
      </c>
      <c r="AP48" s="38" t="s">
        <v>14</v>
      </c>
      <c r="AQ48" s="38" t="s">
        <v>13</v>
      </c>
      <c r="AR48" s="38" t="s">
        <v>12</v>
      </c>
      <c r="AS48" s="38" t="s">
        <v>11</v>
      </c>
      <c r="AT48" s="38" t="s">
        <v>10</v>
      </c>
      <c r="AU48" s="38" t="s">
        <v>9</v>
      </c>
      <c r="AV48" s="38" t="s">
        <v>8</v>
      </c>
    </row>
    <row r="49" spans="1:48" x14ac:dyDescent="0.15">
      <c r="A49" s="26">
        <v>0</v>
      </c>
      <c r="B49" s="26">
        <v>1</v>
      </c>
      <c r="C49" s="26"/>
      <c r="D49" s="35"/>
      <c r="E49" s="26">
        <v>26</v>
      </c>
      <c r="F49" s="26">
        <f>E49*S49</f>
        <v>154.18</v>
      </c>
      <c r="G49" s="26"/>
      <c r="H49" s="26"/>
      <c r="I49" s="26"/>
      <c r="J49" s="26"/>
      <c r="K49" s="26"/>
      <c r="L49" s="26"/>
      <c r="M49" s="26"/>
      <c r="N49" s="25">
        <v>8.1</v>
      </c>
      <c r="O49" s="34"/>
      <c r="P49" s="34"/>
      <c r="Q49" s="26">
        <v>7.0000000000000007E-2</v>
      </c>
      <c r="R49" s="34">
        <v>7.0000000000000007E-2</v>
      </c>
      <c r="S49" s="34">
        <f t="shared" ref="S49:S79" si="9">6-R49+P49+I49</f>
        <v>5.93</v>
      </c>
      <c r="T49" s="32">
        <v>2.7</v>
      </c>
      <c r="U49" s="26">
        <f>T49*S49</f>
        <v>16.010999999999999</v>
      </c>
      <c r="V49" s="25"/>
      <c r="W49" s="33">
        <v>3.3000000000000002E-2</v>
      </c>
      <c r="X49" s="24">
        <v>0</v>
      </c>
      <c r="Y49" s="24">
        <v>0</v>
      </c>
      <c r="Z49" s="24">
        <v>0.03</v>
      </c>
      <c r="AA49" s="24">
        <v>0</v>
      </c>
      <c r="AB49" s="24">
        <v>0</v>
      </c>
      <c r="AC49" s="24">
        <v>0.03</v>
      </c>
      <c r="AD49" s="24">
        <v>0</v>
      </c>
      <c r="AE49" s="24">
        <v>0.01</v>
      </c>
      <c r="AF49" s="24">
        <v>0.44</v>
      </c>
      <c r="AG49" s="24">
        <v>0</v>
      </c>
      <c r="AH49" s="24">
        <v>0</v>
      </c>
      <c r="AI49" s="24">
        <v>0</v>
      </c>
      <c r="AJ49" s="24">
        <v>0</v>
      </c>
      <c r="AK49" s="24">
        <v>0.09</v>
      </c>
      <c r="AL49" s="24">
        <v>0.05</v>
      </c>
      <c r="AM49" s="24">
        <v>0.02</v>
      </c>
      <c r="AN49" s="24">
        <v>0</v>
      </c>
      <c r="AO49" s="24">
        <v>0</v>
      </c>
      <c r="AP49" s="24">
        <v>0</v>
      </c>
      <c r="AQ49" s="32">
        <v>0.06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</row>
    <row r="50" spans="1:48" x14ac:dyDescent="0.15">
      <c r="A50" s="26">
        <v>2</v>
      </c>
      <c r="B50" s="26"/>
      <c r="C50" s="26"/>
      <c r="D50" s="35"/>
      <c r="E50" s="26"/>
      <c r="F50" s="26"/>
      <c r="G50" s="26"/>
      <c r="H50" s="26"/>
      <c r="I50" s="26"/>
      <c r="J50" s="26"/>
      <c r="K50" s="26"/>
      <c r="L50" s="26"/>
      <c r="M50" s="26"/>
      <c r="N50" s="25">
        <v>1</v>
      </c>
      <c r="O50" s="34">
        <f t="shared" ref="O50:O79" si="10">N50+O49</f>
        <v>1</v>
      </c>
      <c r="P50" s="34">
        <f t="shared" ref="P50:P79" si="11">O50/0.91/1000</f>
        <v>1.0989010989010987E-3</v>
      </c>
      <c r="Q50" s="26"/>
      <c r="R50" s="34">
        <f t="shared" ref="R50:R79" si="12">Q50+R49</f>
        <v>7.0000000000000007E-2</v>
      </c>
      <c r="S50" s="34">
        <f t="shared" si="9"/>
        <v>5.9310989010989008</v>
      </c>
      <c r="T50" s="25"/>
      <c r="U50" s="26"/>
      <c r="V50" s="25"/>
      <c r="W50" s="33"/>
      <c r="X50" s="25"/>
      <c r="Y50" s="28"/>
      <c r="Z50" s="28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</row>
    <row r="51" spans="1:48" x14ac:dyDescent="0.15">
      <c r="A51" s="26">
        <v>4</v>
      </c>
      <c r="B51" s="26">
        <v>4.0999999999999996</v>
      </c>
      <c r="C51" s="26">
        <f>(LN(B51)-LN(B49))/(A51-A49)</f>
        <v>0.35274674342756551</v>
      </c>
      <c r="D51" s="35"/>
      <c r="E51" s="26">
        <v>21</v>
      </c>
      <c r="F51" s="26">
        <f>E51*S51</f>
        <v>123.69230769230771</v>
      </c>
      <c r="G51" s="26"/>
      <c r="H51" s="26"/>
      <c r="I51" s="26"/>
      <c r="J51" s="26"/>
      <c r="K51" s="26"/>
      <c r="L51" s="26"/>
      <c r="M51" s="26">
        <f>(E49-E51)/4</f>
        <v>1.25</v>
      </c>
      <c r="N51" s="25">
        <v>26.4</v>
      </c>
      <c r="O51" s="34">
        <f t="shared" si="10"/>
        <v>27.4</v>
      </c>
      <c r="P51" s="34">
        <f t="shared" si="11"/>
        <v>3.0109890109890104E-2</v>
      </c>
      <c r="Q51" s="26">
        <v>7.0000000000000007E-2</v>
      </c>
      <c r="R51" s="34">
        <f t="shared" si="12"/>
        <v>0.14000000000000001</v>
      </c>
      <c r="S51" s="34">
        <f t="shared" si="9"/>
        <v>5.8901098901098905</v>
      </c>
      <c r="T51" s="25"/>
      <c r="U51" s="26"/>
      <c r="V51" s="25"/>
      <c r="W51" s="33"/>
      <c r="X51" s="25"/>
      <c r="Y51" s="28"/>
      <c r="Z51" s="28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</row>
    <row r="52" spans="1:48" x14ac:dyDescent="0.15">
      <c r="A52" s="26">
        <v>6</v>
      </c>
      <c r="B52" s="26"/>
      <c r="C52" s="26"/>
      <c r="D52" s="35"/>
      <c r="E52" s="26"/>
      <c r="F52" s="26"/>
      <c r="G52" s="26"/>
      <c r="H52" s="26"/>
      <c r="I52" s="26"/>
      <c r="J52" s="26"/>
      <c r="K52" s="26"/>
      <c r="L52" s="26"/>
      <c r="M52" s="26"/>
      <c r="N52" s="25">
        <v>11.9</v>
      </c>
      <c r="O52" s="34">
        <f t="shared" si="10"/>
        <v>39.299999999999997</v>
      </c>
      <c r="P52" s="34">
        <f t="shared" si="11"/>
        <v>4.318681318681318E-2</v>
      </c>
      <c r="Q52" s="26"/>
      <c r="R52" s="34">
        <f t="shared" si="12"/>
        <v>0.14000000000000001</v>
      </c>
      <c r="S52" s="34">
        <f t="shared" si="9"/>
        <v>5.9031868131868137</v>
      </c>
      <c r="T52" s="25"/>
      <c r="U52" s="26"/>
      <c r="V52" s="25"/>
      <c r="W52" s="33"/>
      <c r="X52" s="25"/>
      <c r="Y52" s="28"/>
      <c r="Z52" s="28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</row>
    <row r="53" spans="1:48" x14ac:dyDescent="0.15">
      <c r="A53" s="26">
        <v>8</v>
      </c>
      <c r="B53" s="26">
        <v>4.4000000000000004</v>
      </c>
      <c r="C53" s="26">
        <f>(LN(B53)-LN(B51))/(A53-A51)</f>
        <v>1.7654391803488378E-2</v>
      </c>
      <c r="D53" s="35">
        <f>(W53*1.025*S53/S53-W49*1.025*S49/S49)/4</f>
        <v>2.8187499999999997E-2</v>
      </c>
      <c r="E53" s="26">
        <v>13</v>
      </c>
      <c r="F53" s="26">
        <f>E53*S53</f>
        <v>76.147142857142853</v>
      </c>
      <c r="G53" s="26"/>
      <c r="H53" s="26"/>
      <c r="I53" s="26"/>
      <c r="J53" s="26"/>
      <c r="K53" s="26"/>
      <c r="L53" s="26"/>
      <c r="M53" s="26">
        <f>(E51-E53)/4</f>
        <v>2</v>
      </c>
      <c r="N53" s="25">
        <v>22.1</v>
      </c>
      <c r="O53" s="34">
        <f t="shared" si="10"/>
        <v>61.4</v>
      </c>
      <c r="P53" s="34">
        <f t="shared" si="11"/>
        <v>6.747252747252748E-2</v>
      </c>
      <c r="Q53" s="26">
        <v>7.0000000000000007E-2</v>
      </c>
      <c r="R53" s="34">
        <f t="shared" si="12"/>
        <v>0.21000000000000002</v>
      </c>
      <c r="S53" s="34">
        <f t="shared" si="9"/>
        <v>5.8574725274725274</v>
      </c>
      <c r="T53" s="25">
        <v>13</v>
      </c>
      <c r="U53" s="26">
        <f>T53*S53</f>
        <v>76.147142857142853</v>
      </c>
      <c r="V53" s="27">
        <v>0.433</v>
      </c>
      <c r="W53" s="33">
        <v>0.14299999999999999</v>
      </c>
      <c r="X53" s="24">
        <v>0</v>
      </c>
      <c r="Y53" s="24">
        <v>0</v>
      </c>
      <c r="Z53" s="24">
        <v>0.01</v>
      </c>
      <c r="AA53" s="24">
        <v>0</v>
      </c>
      <c r="AB53" s="24">
        <v>0</v>
      </c>
      <c r="AC53" s="24">
        <v>0.03</v>
      </c>
      <c r="AD53" s="24">
        <v>0</v>
      </c>
      <c r="AE53" s="24">
        <v>0.01</v>
      </c>
      <c r="AF53" s="24">
        <v>0.39</v>
      </c>
      <c r="AG53" s="24"/>
      <c r="AH53" s="24"/>
      <c r="AI53" s="24">
        <v>0</v>
      </c>
      <c r="AJ53" s="24">
        <v>0</v>
      </c>
      <c r="AK53" s="24">
        <v>0.28999999999999998</v>
      </c>
      <c r="AL53" s="24">
        <v>0.08</v>
      </c>
      <c r="AM53" s="24">
        <v>0</v>
      </c>
      <c r="AN53" s="24">
        <v>0</v>
      </c>
      <c r="AO53" s="24">
        <v>0</v>
      </c>
      <c r="AP53" s="24">
        <v>0</v>
      </c>
      <c r="AQ53" s="32">
        <v>7.0000000000000007E-2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</row>
    <row r="54" spans="1:48" x14ac:dyDescent="0.15">
      <c r="A54" s="26">
        <v>10</v>
      </c>
      <c r="B54" s="26"/>
      <c r="C54" s="26"/>
      <c r="D54" s="35"/>
      <c r="E54" s="26"/>
      <c r="F54" s="26"/>
      <c r="G54" s="26"/>
      <c r="H54" s="26"/>
      <c r="I54" s="26"/>
      <c r="J54" s="26">
        <v>180</v>
      </c>
      <c r="K54" s="26"/>
      <c r="L54" s="26"/>
      <c r="M54" s="26"/>
      <c r="N54" s="25">
        <v>20.399999999999999</v>
      </c>
      <c r="O54" s="34">
        <f t="shared" si="10"/>
        <v>81.8</v>
      </c>
      <c r="P54" s="34">
        <f t="shared" si="11"/>
        <v>8.9890109890109884E-2</v>
      </c>
      <c r="Q54" s="26"/>
      <c r="R54" s="34">
        <f t="shared" si="12"/>
        <v>0.21000000000000002</v>
      </c>
      <c r="S54" s="34">
        <f t="shared" si="9"/>
        <v>5.87989010989011</v>
      </c>
      <c r="T54" s="25"/>
      <c r="U54" s="26"/>
      <c r="V54" s="25"/>
      <c r="W54" s="33"/>
      <c r="X54" s="25"/>
      <c r="Y54" s="28"/>
      <c r="Z54" s="28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</row>
    <row r="55" spans="1:48" x14ac:dyDescent="0.15">
      <c r="A55" s="26">
        <v>12</v>
      </c>
      <c r="B55" s="26">
        <v>5.9</v>
      </c>
      <c r="C55" s="26">
        <f>(LN(B55)-LN(B53))/(A55-A53)</f>
        <v>7.333695249686456E-2</v>
      </c>
      <c r="D55" s="35">
        <f>(W55*1.025*S55/S55-W51*1.025*S51/S51)/4</f>
        <v>4.945625E-2</v>
      </c>
      <c r="E55" s="26">
        <v>9.5</v>
      </c>
      <c r="F55" s="26">
        <f>E55*S55</f>
        <v>56.016299793956037</v>
      </c>
      <c r="G55" s="26">
        <v>85.2</v>
      </c>
      <c r="H55" s="26">
        <v>85.2</v>
      </c>
      <c r="I55" s="26">
        <f t="shared" ref="I55:I79" si="13">H55/1.28/1000</f>
        <v>6.6562499999999997E-2</v>
      </c>
      <c r="J55" s="26">
        <f t="shared" ref="J55:J79" si="14">J54+G55*0.6</f>
        <v>231.12</v>
      </c>
      <c r="K55" s="26">
        <f>(J55-J54)/S55/2</f>
        <v>4.3348097052672419</v>
      </c>
      <c r="L55" s="26">
        <f>K55*S55</f>
        <v>25.560000000000002</v>
      </c>
      <c r="M55" s="26">
        <f>(E53*S53+G55*0.6-E55*S55)/S55/4</f>
        <v>3.0209198554262064</v>
      </c>
      <c r="N55" s="25">
        <v>18.2</v>
      </c>
      <c r="O55" s="34">
        <f t="shared" si="10"/>
        <v>100</v>
      </c>
      <c r="P55" s="34">
        <f t="shared" si="11"/>
        <v>0.10989010989010989</v>
      </c>
      <c r="Q55" s="26">
        <v>7.0000000000000007E-2</v>
      </c>
      <c r="R55" s="34">
        <f t="shared" si="12"/>
        <v>0.28000000000000003</v>
      </c>
      <c r="S55" s="34">
        <f t="shared" si="9"/>
        <v>5.8964526098901091</v>
      </c>
      <c r="T55" s="25">
        <v>19.2</v>
      </c>
      <c r="U55" s="26">
        <f>T55*S55</f>
        <v>113.21189010989009</v>
      </c>
      <c r="V55" s="27">
        <v>0.498</v>
      </c>
      <c r="W55" s="33">
        <v>0.193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0.03</v>
      </c>
      <c r="AD55" s="24">
        <v>0.03</v>
      </c>
      <c r="AE55" s="24">
        <v>0.02</v>
      </c>
      <c r="AF55" s="24">
        <v>0.38</v>
      </c>
      <c r="AG55" s="24">
        <v>0</v>
      </c>
      <c r="AH55" s="24">
        <v>0</v>
      </c>
      <c r="AI55" s="24">
        <v>0</v>
      </c>
      <c r="AJ55" s="24">
        <v>0</v>
      </c>
      <c r="AK55" s="24">
        <v>0.41</v>
      </c>
      <c r="AL55" s="24">
        <v>0.08</v>
      </c>
      <c r="AM55" s="24">
        <v>0</v>
      </c>
      <c r="AN55" s="24">
        <v>0</v>
      </c>
      <c r="AO55" s="24">
        <v>0</v>
      </c>
      <c r="AP55" s="24">
        <v>0</v>
      </c>
      <c r="AQ55" s="32">
        <v>0.23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</row>
    <row r="56" spans="1:48" x14ac:dyDescent="0.15">
      <c r="A56" s="26">
        <v>14</v>
      </c>
      <c r="B56" s="26"/>
      <c r="C56" s="26"/>
      <c r="D56" s="35"/>
      <c r="E56" s="26"/>
      <c r="F56" s="26"/>
      <c r="G56" s="26">
        <v>79.599999999999994</v>
      </c>
      <c r="H56" s="26">
        <v>164.8</v>
      </c>
      <c r="I56" s="26">
        <f t="shared" si="13"/>
        <v>0.12875</v>
      </c>
      <c r="J56" s="26">
        <f t="shared" si="14"/>
        <v>278.88</v>
      </c>
      <c r="K56" s="26">
        <f>(J56-J55)/S56/2</f>
        <v>3.9945864592548332</v>
      </c>
      <c r="L56" s="26">
        <f>K56*S56</f>
        <v>23.879999999999995</v>
      </c>
      <c r="M56" s="26"/>
      <c r="N56" s="25">
        <v>17.7</v>
      </c>
      <c r="O56" s="34">
        <f t="shared" si="10"/>
        <v>117.7</v>
      </c>
      <c r="P56" s="34">
        <f t="shared" si="11"/>
        <v>0.12934065934065933</v>
      </c>
      <c r="Q56" s="26"/>
      <c r="R56" s="34">
        <f t="shared" si="12"/>
        <v>0.28000000000000003</v>
      </c>
      <c r="S56" s="34">
        <f t="shared" si="9"/>
        <v>5.9780906593406593</v>
      </c>
      <c r="T56" s="25"/>
      <c r="U56" s="26"/>
      <c r="V56" s="25"/>
      <c r="W56" s="33"/>
      <c r="X56" s="25"/>
      <c r="Y56" s="28"/>
      <c r="Z56" s="28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</row>
    <row r="57" spans="1:48" x14ac:dyDescent="0.15">
      <c r="A57" s="26">
        <v>16</v>
      </c>
      <c r="B57" s="26">
        <v>6.4</v>
      </c>
      <c r="C57" s="26">
        <f>(LN(B57)-LN(B55))/(A57-A55)</f>
        <v>2.0336409863488114E-2</v>
      </c>
      <c r="D57" s="35">
        <f>(W57*1.025*S57/S57-W53*1.025*S53/S53)/4</f>
        <v>1.7424999999999996E-2</v>
      </c>
      <c r="E57" s="26">
        <v>14</v>
      </c>
      <c r="F57" s="26">
        <f>E57*S57</f>
        <v>83.63902644230771</v>
      </c>
      <c r="G57" s="26">
        <v>58.9</v>
      </c>
      <c r="H57" s="26">
        <v>223.7</v>
      </c>
      <c r="I57" s="26">
        <f t="shared" si="13"/>
        <v>0.17476562500000001</v>
      </c>
      <c r="J57" s="26">
        <f t="shared" si="14"/>
        <v>314.21999999999997</v>
      </c>
      <c r="K57" s="26">
        <f>(J57-J56)/S57/2</f>
        <v>2.9577101805535353</v>
      </c>
      <c r="L57" s="26">
        <f>K57*S57</f>
        <v>17.669999999999987</v>
      </c>
      <c r="M57" s="26">
        <f>(E55*S55+G56*0.6+G57*0.6-E57*S57)/S57/4</f>
        <v>2.3215293743848577</v>
      </c>
      <c r="N57" s="25">
        <v>18.3</v>
      </c>
      <c r="O57" s="34">
        <f t="shared" si="10"/>
        <v>136</v>
      </c>
      <c r="P57" s="34">
        <f t="shared" si="11"/>
        <v>0.14945054945054945</v>
      </c>
      <c r="Q57" s="26">
        <v>7.0000000000000007E-2</v>
      </c>
      <c r="R57" s="34">
        <f t="shared" si="12"/>
        <v>0.35000000000000003</v>
      </c>
      <c r="S57" s="34">
        <f t="shared" si="9"/>
        <v>5.9742161744505502</v>
      </c>
      <c r="T57" s="25">
        <v>25.4</v>
      </c>
      <c r="U57" s="26">
        <f>T57*S57</f>
        <v>151.74509083104397</v>
      </c>
      <c r="V57" s="27">
        <v>0.48499999999999999</v>
      </c>
      <c r="W57" s="33">
        <v>0.21099999999999999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0.02</v>
      </c>
      <c r="AD57" s="24">
        <v>0.04</v>
      </c>
      <c r="AE57" s="24">
        <v>0.02</v>
      </c>
      <c r="AF57" s="24">
        <v>0.38</v>
      </c>
      <c r="AG57" s="24">
        <v>0</v>
      </c>
      <c r="AH57" s="24">
        <v>0</v>
      </c>
      <c r="AI57" s="24">
        <v>0</v>
      </c>
      <c r="AJ57" s="24">
        <v>0</v>
      </c>
      <c r="AK57" s="24">
        <v>0.56999999999999995</v>
      </c>
      <c r="AL57" s="24">
        <v>0.11</v>
      </c>
      <c r="AM57" s="24">
        <v>0</v>
      </c>
      <c r="AN57" s="24">
        <v>0</v>
      </c>
      <c r="AO57" s="24">
        <v>0</v>
      </c>
      <c r="AP57" s="24">
        <v>0</v>
      </c>
      <c r="AQ57" s="32">
        <v>0.32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</row>
    <row r="58" spans="1:48" x14ac:dyDescent="0.15">
      <c r="A58" s="26">
        <v>18</v>
      </c>
      <c r="B58" s="26"/>
      <c r="C58" s="26"/>
      <c r="D58" s="35"/>
      <c r="E58" s="26"/>
      <c r="F58" s="26"/>
      <c r="G58" s="26">
        <v>0</v>
      </c>
      <c r="H58" s="26">
        <v>223.7</v>
      </c>
      <c r="I58" s="26">
        <f t="shared" si="13"/>
        <v>0.17476562500000001</v>
      </c>
      <c r="J58" s="26">
        <f t="shared" si="14"/>
        <v>314.21999999999997</v>
      </c>
      <c r="K58" s="26"/>
      <c r="L58" s="26"/>
      <c r="M58" s="26"/>
      <c r="N58" s="25">
        <v>15.1</v>
      </c>
      <c r="O58" s="34">
        <f t="shared" si="10"/>
        <v>151.1</v>
      </c>
      <c r="P58" s="34">
        <f t="shared" si="11"/>
        <v>0.16604395604395603</v>
      </c>
      <c r="Q58" s="26"/>
      <c r="R58" s="34">
        <f t="shared" si="12"/>
        <v>0.35000000000000003</v>
      </c>
      <c r="S58" s="34">
        <f t="shared" si="9"/>
        <v>5.9908095810439566</v>
      </c>
      <c r="T58" s="25"/>
      <c r="U58" s="26"/>
      <c r="V58" s="25"/>
      <c r="W58" s="33"/>
      <c r="X58" s="25"/>
      <c r="Y58" s="28"/>
      <c r="Z58" s="28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</row>
    <row r="59" spans="1:48" x14ac:dyDescent="0.15">
      <c r="A59" s="26">
        <v>20</v>
      </c>
      <c r="B59" s="26">
        <v>6.52</v>
      </c>
      <c r="C59" s="26">
        <f>(LN(B59)-LN(B57))/(A59-A57)</f>
        <v>4.6440963932338208E-3</v>
      </c>
      <c r="D59" s="35">
        <f>(W59*1.025*S59/S59-W55*1.025*S55/S55)/4</f>
        <v>5.1249999999999907E-3</v>
      </c>
      <c r="E59" s="26">
        <v>9</v>
      </c>
      <c r="F59" s="26">
        <f>E59*S59</f>
        <v>53.666347870879129</v>
      </c>
      <c r="G59" s="26">
        <v>34.5</v>
      </c>
      <c r="H59" s="26">
        <v>258.2</v>
      </c>
      <c r="I59" s="26">
        <f t="shared" si="13"/>
        <v>0.20171875</v>
      </c>
      <c r="J59" s="26">
        <f t="shared" si="14"/>
        <v>334.91999999999996</v>
      </c>
      <c r="K59" s="26">
        <f>(J59-J57)/S59/4</f>
        <v>0.86786229821449956</v>
      </c>
      <c r="L59" s="26">
        <f>K59*S59</f>
        <v>5.1749999999999972</v>
      </c>
      <c r="M59" s="26">
        <f>(E57*S57+G58*0.6+G59*0.6-E59*S59)/S59/4</f>
        <v>2.1244882744775198</v>
      </c>
      <c r="N59" s="25">
        <v>13.8</v>
      </c>
      <c r="O59" s="34">
        <f t="shared" si="10"/>
        <v>164.9</v>
      </c>
      <c r="P59" s="34">
        <f t="shared" si="11"/>
        <v>0.18120879120879121</v>
      </c>
      <c r="Q59" s="26">
        <v>7.0000000000000007E-2</v>
      </c>
      <c r="R59" s="34">
        <f t="shared" si="12"/>
        <v>0.42000000000000004</v>
      </c>
      <c r="S59" s="34">
        <f t="shared" si="9"/>
        <v>5.9629275412087921</v>
      </c>
      <c r="T59" s="25">
        <v>31.5</v>
      </c>
      <c r="U59" s="26">
        <f>T59*S59</f>
        <v>187.83221754807695</v>
      </c>
      <c r="V59" s="27">
        <v>0.56399999999999995</v>
      </c>
      <c r="W59" s="33">
        <v>0.21299999999999999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0.02</v>
      </c>
      <c r="AD59" s="24">
        <v>0.05</v>
      </c>
      <c r="AE59" s="24">
        <v>0.02</v>
      </c>
      <c r="AF59" s="24">
        <v>0.39</v>
      </c>
      <c r="AG59" s="24">
        <v>0</v>
      </c>
      <c r="AH59" s="24">
        <v>0</v>
      </c>
      <c r="AI59" s="24">
        <v>0</v>
      </c>
      <c r="AJ59" s="24">
        <v>0.04</v>
      </c>
      <c r="AK59" s="24">
        <v>0.71</v>
      </c>
      <c r="AL59" s="24">
        <v>0.14000000000000001</v>
      </c>
      <c r="AM59" s="24">
        <v>0</v>
      </c>
      <c r="AN59" s="24">
        <v>0</v>
      </c>
      <c r="AO59" s="24">
        <v>0</v>
      </c>
      <c r="AP59" s="24">
        <v>0</v>
      </c>
      <c r="AQ59" s="32">
        <v>0.4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</row>
    <row r="60" spans="1:48" x14ac:dyDescent="0.15">
      <c r="A60" s="26">
        <v>22</v>
      </c>
      <c r="B60" s="26"/>
      <c r="C60" s="26"/>
      <c r="D60" s="35"/>
      <c r="E60" s="26"/>
      <c r="F60" s="26"/>
      <c r="G60" s="26">
        <v>54.8</v>
      </c>
      <c r="H60" s="26">
        <v>313</v>
      </c>
      <c r="I60" s="26">
        <f t="shared" si="13"/>
        <v>0.24453125000000001</v>
      </c>
      <c r="J60" s="26">
        <f t="shared" si="14"/>
        <v>367.79999999999995</v>
      </c>
      <c r="K60" s="26">
        <f>(J60-J59)/S60/2</f>
        <v>2.7306859415814704</v>
      </c>
      <c r="L60" s="26">
        <f>K60*S60</f>
        <v>16.439999999999998</v>
      </c>
      <c r="M60" s="26"/>
      <c r="N60" s="25">
        <v>13.4</v>
      </c>
      <c r="O60" s="34">
        <f t="shared" si="10"/>
        <v>178.3</v>
      </c>
      <c r="P60" s="34">
        <f t="shared" si="11"/>
        <v>0.19593406593406593</v>
      </c>
      <c r="Q60" s="26"/>
      <c r="R60" s="34">
        <f t="shared" si="12"/>
        <v>0.42000000000000004</v>
      </c>
      <c r="S60" s="34">
        <f t="shared" si="9"/>
        <v>6.0204653159340653</v>
      </c>
      <c r="T60" s="25"/>
      <c r="U60" s="26"/>
      <c r="V60" s="25"/>
      <c r="W60" s="33"/>
      <c r="X60" s="25"/>
      <c r="Y60" s="28"/>
      <c r="Z60" s="28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</row>
    <row r="61" spans="1:48" x14ac:dyDescent="0.15">
      <c r="A61" s="26">
        <v>24</v>
      </c>
      <c r="B61" s="26">
        <v>7</v>
      </c>
      <c r="C61" s="26">
        <f>(LN(B61)-LN(B59))/(A61-A59)</f>
        <v>1.7758943279187922E-2</v>
      </c>
      <c r="D61" s="35">
        <f>(W61*1.025*S61/S61-W57*1.025*S57/S57)/4</f>
        <v>4.1000000000000064E-3</v>
      </c>
      <c r="E61" s="26">
        <v>8.25</v>
      </c>
      <c r="F61" s="26">
        <f>E61*S61</f>
        <v>49.590680588942305</v>
      </c>
      <c r="G61" s="26">
        <v>57.5</v>
      </c>
      <c r="H61" s="26">
        <v>370.5</v>
      </c>
      <c r="I61" s="26">
        <f t="shared" si="13"/>
        <v>0.28945312499999998</v>
      </c>
      <c r="J61" s="26">
        <f t="shared" si="14"/>
        <v>402.29999999999995</v>
      </c>
      <c r="K61" s="26">
        <f>(J61-J60)/S61/2</f>
        <v>2.8697428288921838</v>
      </c>
      <c r="L61" s="26">
        <f>K61*S61</f>
        <v>17.25</v>
      </c>
      <c r="M61" s="26">
        <f>(E59*S59+G60*0.6+G61*0.6-E61*S61)/S61/4</f>
        <v>2.9718751995078843</v>
      </c>
      <c r="N61" s="25">
        <v>14.2</v>
      </c>
      <c r="O61" s="34">
        <f t="shared" si="10"/>
        <v>192.5</v>
      </c>
      <c r="P61" s="34">
        <f t="shared" si="11"/>
        <v>0.21153846153846151</v>
      </c>
      <c r="Q61" s="26">
        <v>7.0000000000000007E-2</v>
      </c>
      <c r="R61" s="34">
        <f t="shared" si="12"/>
        <v>0.49000000000000005</v>
      </c>
      <c r="S61" s="34">
        <f t="shared" si="9"/>
        <v>6.0109915865384611</v>
      </c>
      <c r="T61" s="25">
        <v>36.6</v>
      </c>
      <c r="U61" s="26">
        <f>T61*S61</f>
        <v>220.00229206730768</v>
      </c>
      <c r="V61" s="27">
        <v>0.54600000000000004</v>
      </c>
      <c r="W61" s="33">
        <v>0.22700000000000001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0.02</v>
      </c>
      <c r="AD61" s="24">
        <v>0.08</v>
      </c>
      <c r="AE61" s="24">
        <v>0.02</v>
      </c>
      <c r="AF61" s="24">
        <v>0.39</v>
      </c>
      <c r="AG61" s="24">
        <v>0</v>
      </c>
      <c r="AH61" s="24">
        <v>0</v>
      </c>
      <c r="AI61" s="24">
        <v>0</v>
      </c>
      <c r="AJ61" s="24">
        <v>0.05</v>
      </c>
      <c r="AK61" s="24">
        <v>0.82</v>
      </c>
      <c r="AL61" s="24">
        <v>0.14000000000000001</v>
      </c>
      <c r="AM61" s="24">
        <v>0</v>
      </c>
      <c r="AN61" s="24">
        <v>0</v>
      </c>
      <c r="AO61" s="24">
        <v>0</v>
      </c>
      <c r="AP61" s="24">
        <v>0</v>
      </c>
      <c r="AQ61" s="32">
        <v>0.46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</row>
    <row r="62" spans="1:48" x14ac:dyDescent="0.15">
      <c r="A62" s="26">
        <v>26</v>
      </c>
      <c r="B62" s="26"/>
      <c r="C62" s="26"/>
      <c r="D62" s="35"/>
      <c r="E62" s="26"/>
      <c r="F62" s="26"/>
      <c r="G62" s="26">
        <v>63.9</v>
      </c>
      <c r="H62" s="26">
        <v>434.4</v>
      </c>
      <c r="I62" s="26">
        <f t="shared" si="13"/>
        <v>0.33937499999999998</v>
      </c>
      <c r="J62" s="26">
        <f t="shared" si="14"/>
        <v>440.63999999999993</v>
      </c>
      <c r="K62" s="26">
        <f>(J62-J61)/S62/2</f>
        <v>3.1553950246731421</v>
      </c>
      <c r="L62" s="26">
        <f>K62*S62</f>
        <v>19.169999999999987</v>
      </c>
      <c r="M62" s="26"/>
      <c r="N62" s="25">
        <v>13.1</v>
      </c>
      <c r="O62" s="34">
        <f t="shared" si="10"/>
        <v>205.6</v>
      </c>
      <c r="P62" s="34">
        <f t="shared" si="11"/>
        <v>0.22593406593406593</v>
      </c>
      <c r="Q62" s="26"/>
      <c r="R62" s="34">
        <f t="shared" si="12"/>
        <v>0.49000000000000005</v>
      </c>
      <c r="S62" s="34">
        <f t="shared" si="9"/>
        <v>6.0753090659340661</v>
      </c>
      <c r="T62" s="25"/>
      <c r="U62" s="26"/>
      <c r="V62" s="25"/>
      <c r="W62" s="33"/>
      <c r="X62" s="25"/>
      <c r="Y62" s="28"/>
      <c r="Z62" s="28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</row>
    <row r="63" spans="1:48" x14ac:dyDescent="0.15">
      <c r="A63" s="26">
        <v>28</v>
      </c>
      <c r="B63" s="26">
        <v>7.5</v>
      </c>
      <c r="C63" s="26">
        <f>(LN(B63)-LN(B61))/(A63-A61)</f>
        <v>1.7248217871737859E-2</v>
      </c>
      <c r="D63" s="35">
        <f>(W63*1.025*S63/S63-W59*1.025*S59/S59)/4</f>
        <v>7.9437500000000064E-3</v>
      </c>
      <c r="E63" s="26">
        <v>10</v>
      </c>
      <c r="F63" s="26">
        <f>E63*S63</f>
        <v>60.587766140109885</v>
      </c>
      <c r="G63" s="26">
        <v>51.7</v>
      </c>
      <c r="H63" s="26">
        <v>486.1</v>
      </c>
      <c r="I63" s="26">
        <f t="shared" si="13"/>
        <v>0.379765625</v>
      </c>
      <c r="J63" s="26">
        <f t="shared" si="14"/>
        <v>471.65999999999991</v>
      </c>
      <c r="K63" s="26">
        <f>(J63-J62)/S63/2</f>
        <v>2.5599227349186209</v>
      </c>
      <c r="L63" s="26">
        <f>K63*S63</f>
        <v>15.509999999999991</v>
      </c>
      <c r="M63" s="26">
        <f>(E61*S61+G62*0.6+G63*0.6-E63*S63)/S63/4</f>
        <v>2.4081971562488174</v>
      </c>
      <c r="N63" s="25">
        <v>11.9</v>
      </c>
      <c r="O63" s="34">
        <f t="shared" si="10"/>
        <v>217.5</v>
      </c>
      <c r="P63" s="34">
        <f t="shared" si="11"/>
        <v>0.23901098901098899</v>
      </c>
      <c r="Q63" s="26">
        <v>7.0000000000000007E-2</v>
      </c>
      <c r="R63" s="34">
        <f t="shared" si="12"/>
        <v>0.56000000000000005</v>
      </c>
      <c r="S63" s="34">
        <f t="shared" si="9"/>
        <v>6.0587766140109887</v>
      </c>
      <c r="T63" s="25">
        <v>42.2</v>
      </c>
      <c r="U63" s="26">
        <f>T63*S63</f>
        <v>255.68037311126375</v>
      </c>
      <c r="V63" s="27">
        <v>0.53700000000000003</v>
      </c>
      <c r="W63" s="33">
        <v>0.24399999999999999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0.01</v>
      </c>
      <c r="AD63" s="24">
        <v>0.12</v>
      </c>
      <c r="AE63" s="24">
        <v>0.02</v>
      </c>
      <c r="AF63" s="24">
        <v>0.4</v>
      </c>
      <c r="AG63" s="24">
        <v>0</v>
      </c>
      <c r="AH63" s="24">
        <v>0</v>
      </c>
      <c r="AI63" s="24">
        <v>0</v>
      </c>
      <c r="AJ63" s="24">
        <v>0.05</v>
      </c>
      <c r="AK63" s="24">
        <v>0.9</v>
      </c>
      <c r="AL63" s="24">
        <v>0.16</v>
      </c>
      <c r="AM63" s="24">
        <v>0</v>
      </c>
      <c r="AN63" s="24">
        <v>0</v>
      </c>
      <c r="AO63" s="24">
        <v>0</v>
      </c>
      <c r="AP63" s="24">
        <v>0</v>
      </c>
      <c r="AQ63" s="32">
        <v>0.53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</row>
    <row r="64" spans="1:48" x14ac:dyDescent="0.15">
      <c r="A64" s="26">
        <v>30</v>
      </c>
      <c r="B64" s="26"/>
      <c r="C64" s="26"/>
      <c r="D64" s="35"/>
      <c r="E64" s="26"/>
      <c r="F64" s="26"/>
      <c r="G64" s="26">
        <v>0</v>
      </c>
      <c r="H64" s="26">
        <v>486.1</v>
      </c>
      <c r="I64" s="26">
        <f t="shared" si="13"/>
        <v>0.379765625</v>
      </c>
      <c r="J64" s="26">
        <f t="shared" si="14"/>
        <v>471.65999999999991</v>
      </c>
      <c r="K64" s="26"/>
      <c r="L64" s="26"/>
      <c r="M64" s="26"/>
      <c r="N64" s="25">
        <v>14</v>
      </c>
      <c r="O64" s="34">
        <f t="shared" si="10"/>
        <v>231.5</v>
      </c>
      <c r="P64" s="34">
        <f t="shared" si="11"/>
        <v>0.25439560439560438</v>
      </c>
      <c r="Q64" s="26"/>
      <c r="R64" s="34">
        <f t="shared" si="12"/>
        <v>0.56000000000000005</v>
      </c>
      <c r="S64" s="34">
        <f t="shared" si="9"/>
        <v>6.074161229395604</v>
      </c>
      <c r="T64" s="25"/>
      <c r="U64" s="26"/>
      <c r="V64" s="25"/>
      <c r="W64" s="33"/>
      <c r="X64" s="25"/>
      <c r="Y64" s="28"/>
      <c r="Z64" s="28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</row>
    <row r="65" spans="1:48" s="31" customFormat="1" x14ac:dyDescent="0.15">
      <c r="A65" s="26">
        <v>32</v>
      </c>
      <c r="B65" s="26">
        <v>9.3000000000000007</v>
      </c>
      <c r="C65" s="26">
        <f>(LN(B65)-LN(B63))/(A65-A63)</f>
        <v>5.3777844904236427E-2</v>
      </c>
      <c r="D65" s="35">
        <f>(W65*1.025*S65/S65-W61*1.025*S61/S61)/4</f>
        <v>1.9474999999999999E-2</v>
      </c>
      <c r="E65" s="26">
        <v>5.5</v>
      </c>
      <c r="F65" s="26">
        <f>E65*S65</f>
        <v>33.298170072115383</v>
      </c>
      <c r="G65" s="26">
        <v>50</v>
      </c>
      <c r="H65" s="26">
        <v>536.1</v>
      </c>
      <c r="I65" s="26">
        <f t="shared" si="13"/>
        <v>0.418828125</v>
      </c>
      <c r="J65" s="26">
        <f t="shared" si="14"/>
        <v>501.65999999999991</v>
      </c>
      <c r="K65" s="26">
        <f>(J65-J63)/S65/4</f>
        <v>1.2388068146286408</v>
      </c>
      <c r="L65" s="26">
        <f t="shared" ref="L65:L79" si="15">K65*S65</f>
        <v>7.5</v>
      </c>
      <c r="M65" s="26">
        <f>(E63*S63+G64*0.6+G65*0.6-E65*S65)/S65/4</f>
        <v>2.3656914005451259</v>
      </c>
      <c r="N65" s="25">
        <v>10</v>
      </c>
      <c r="O65" s="34">
        <f t="shared" si="10"/>
        <v>241.5</v>
      </c>
      <c r="P65" s="34">
        <f t="shared" si="11"/>
        <v>0.26538461538461539</v>
      </c>
      <c r="Q65" s="26">
        <v>7.0000000000000007E-2</v>
      </c>
      <c r="R65" s="34">
        <f t="shared" si="12"/>
        <v>0.63000000000000012</v>
      </c>
      <c r="S65" s="34">
        <f t="shared" si="9"/>
        <v>6.0542127403846155</v>
      </c>
      <c r="T65" s="25">
        <v>47.3</v>
      </c>
      <c r="U65" s="26">
        <f>T65*S65</f>
        <v>286.36426262019228</v>
      </c>
      <c r="V65" s="27">
        <v>0.56599999999999995</v>
      </c>
      <c r="W65" s="33">
        <v>0.30299999999999999</v>
      </c>
      <c r="X65" s="24">
        <v>0</v>
      </c>
      <c r="Y65" s="24">
        <v>0</v>
      </c>
      <c r="Z65" s="24">
        <v>0</v>
      </c>
      <c r="AA65" s="24">
        <v>0.01</v>
      </c>
      <c r="AB65" s="24">
        <v>0</v>
      </c>
      <c r="AC65" s="24">
        <v>0.01</v>
      </c>
      <c r="AD65" s="24">
        <v>0.18</v>
      </c>
      <c r="AE65" s="24">
        <v>0.02</v>
      </c>
      <c r="AF65" s="24">
        <v>0.41</v>
      </c>
      <c r="AG65" s="24">
        <v>0</v>
      </c>
      <c r="AH65" s="24">
        <v>0</v>
      </c>
      <c r="AI65" s="24">
        <v>0</v>
      </c>
      <c r="AJ65" s="24">
        <v>0.05</v>
      </c>
      <c r="AK65" s="24">
        <v>0.99</v>
      </c>
      <c r="AL65" s="24">
        <v>0.2</v>
      </c>
      <c r="AM65" s="24">
        <v>0.03</v>
      </c>
      <c r="AN65" s="24">
        <v>0</v>
      </c>
      <c r="AO65" s="24">
        <v>0</v>
      </c>
      <c r="AP65" s="24">
        <v>0</v>
      </c>
      <c r="AQ65" s="32">
        <v>0.56000000000000005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</row>
    <row r="66" spans="1:48" s="31" customFormat="1" x14ac:dyDescent="0.15">
      <c r="A66" s="26">
        <v>34</v>
      </c>
      <c r="B66" s="26"/>
      <c r="C66" s="26"/>
      <c r="D66" s="35"/>
      <c r="E66" s="26"/>
      <c r="F66" s="26"/>
      <c r="G66" s="26">
        <v>70.7</v>
      </c>
      <c r="H66" s="26">
        <v>606.79999999999995</v>
      </c>
      <c r="I66" s="26">
        <f t="shared" si="13"/>
        <v>0.47406249999999994</v>
      </c>
      <c r="J66" s="26">
        <f t="shared" si="14"/>
        <v>544.07999999999993</v>
      </c>
      <c r="K66" s="26">
        <f t="shared" ref="K66:K79" si="16">(J66-J65)/S66/2</f>
        <v>3.4627658948211177</v>
      </c>
      <c r="L66" s="26">
        <f t="shared" si="15"/>
        <v>21.210000000000008</v>
      </c>
      <c r="M66" s="26"/>
      <c r="N66" s="25">
        <v>14.3</v>
      </c>
      <c r="O66" s="34">
        <f t="shared" si="10"/>
        <v>255.8</v>
      </c>
      <c r="P66" s="34">
        <f t="shared" si="11"/>
        <v>0.28109890109890107</v>
      </c>
      <c r="Q66" s="26"/>
      <c r="R66" s="34">
        <f t="shared" si="12"/>
        <v>0.63000000000000012</v>
      </c>
      <c r="S66" s="34">
        <f t="shared" si="9"/>
        <v>6.1251614010989011</v>
      </c>
      <c r="T66" s="25"/>
      <c r="U66" s="26"/>
      <c r="V66" s="25"/>
      <c r="W66" s="33"/>
      <c r="X66" s="25"/>
      <c r="Y66" s="28"/>
      <c r="Z66" s="28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</row>
    <row r="67" spans="1:48" s="31" customFormat="1" x14ac:dyDescent="0.15">
      <c r="A67" s="26">
        <v>36</v>
      </c>
      <c r="B67" s="26">
        <v>8.9</v>
      </c>
      <c r="C67" s="26">
        <f>(LN(B67)-LN(B65))/(A67-A65)</f>
        <v>-1.0990780855279048E-2</v>
      </c>
      <c r="D67" s="35">
        <f>(W67*1.025*S67/S67-W63*1.025*S63/S63)/4</f>
        <v>1.1787499999999992E-2</v>
      </c>
      <c r="E67" s="26">
        <v>7.5</v>
      </c>
      <c r="F67" s="26">
        <f>E67*S67</f>
        <v>45.816313959478016</v>
      </c>
      <c r="G67" s="26">
        <v>49.3</v>
      </c>
      <c r="H67" s="26">
        <v>656.1</v>
      </c>
      <c r="I67" s="26">
        <f t="shared" si="13"/>
        <v>0.512578125</v>
      </c>
      <c r="J67" s="26">
        <f t="shared" si="14"/>
        <v>573.66</v>
      </c>
      <c r="K67" s="26">
        <f t="shared" si="16"/>
        <v>2.4210808424725556</v>
      </c>
      <c r="L67" s="26">
        <f t="shared" si="15"/>
        <v>14.79000000000002</v>
      </c>
      <c r="M67" s="26">
        <f>(E65*S65+G66*0.6+G67*0.6-E67*S67)/S67/4</f>
        <v>2.4342525745269645</v>
      </c>
      <c r="N67" s="25">
        <v>13.8</v>
      </c>
      <c r="O67" s="34">
        <f t="shared" si="10"/>
        <v>269.60000000000002</v>
      </c>
      <c r="P67" s="34">
        <f t="shared" si="11"/>
        <v>0.29626373626373631</v>
      </c>
      <c r="Q67" s="26">
        <v>7.0000000000000007E-2</v>
      </c>
      <c r="R67" s="34">
        <f t="shared" si="12"/>
        <v>0.70000000000000018</v>
      </c>
      <c r="S67" s="34">
        <f t="shared" si="9"/>
        <v>6.1088418612637359</v>
      </c>
      <c r="T67" s="25">
        <v>52.6</v>
      </c>
      <c r="U67" s="26">
        <f>T67*S67</f>
        <v>321.3250819024725</v>
      </c>
      <c r="V67" s="27">
        <v>0.55000000000000004</v>
      </c>
      <c r="W67" s="33">
        <v>0.28999999999999998</v>
      </c>
      <c r="X67" s="24">
        <v>0</v>
      </c>
      <c r="Y67" s="24">
        <v>0</v>
      </c>
      <c r="Z67" s="24">
        <v>0.01</v>
      </c>
      <c r="AA67" s="24">
        <v>0</v>
      </c>
      <c r="AB67" s="24">
        <v>0</v>
      </c>
      <c r="AC67" s="24">
        <v>0</v>
      </c>
      <c r="AD67" s="24">
        <v>0.24</v>
      </c>
      <c r="AE67" s="24">
        <v>0.03</v>
      </c>
      <c r="AF67" s="24">
        <v>0.43</v>
      </c>
      <c r="AG67" s="24">
        <v>0.04</v>
      </c>
      <c r="AH67" s="24">
        <v>0</v>
      </c>
      <c r="AI67" s="24">
        <v>0</v>
      </c>
      <c r="AJ67" s="24">
        <v>7.0000000000000007E-2</v>
      </c>
      <c r="AK67" s="24">
        <v>1.02</v>
      </c>
      <c r="AL67" s="24">
        <v>0.21</v>
      </c>
      <c r="AM67" s="24">
        <v>0.03</v>
      </c>
      <c r="AN67" s="24">
        <v>0</v>
      </c>
      <c r="AO67" s="24">
        <v>0</v>
      </c>
      <c r="AP67" s="24">
        <v>0</v>
      </c>
      <c r="AQ67" s="32">
        <v>0.61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</row>
    <row r="68" spans="1:48" s="31" customFormat="1" x14ac:dyDescent="0.15">
      <c r="A68" s="26">
        <v>38</v>
      </c>
      <c r="B68" s="26"/>
      <c r="C68" s="26"/>
      <c r="D68" s="35"/>
      <c r="E68" s="26"/>
      <c r="F68" s="26"/>
      <c r="G68" s="26">
        <v>69.900000000000006</v>
      </c>
      <c r="H68" s="26">
        <v>726</v>
      </c>
      <c r="I68" s="26">
        <f t="shared" si="13"/>
        <v>0.56718749999999996</v>
      </c>
      <c r="J68" s="26">
        <f t="shared" si="14"/>
        <v>615.6</v>
      </c>
      <c r="K68" s="26">
        <f t="shared" si="16"/>
        <v>3.3950508079173325</v>
      </c>
      <c r="L68" s="26">
        <f t="shared" si="15"/>
        <v>20.970000000000027</v>
      </c>
      <c r="M68" s="26"/>
      <c r="N68" s="25">
        <v>12</v>
      </c>
      <c r="O68" s="34">
        <f t="shared" si="10"/>
        <v>281.60000000000002</v>
      </c>
      <c r="P68" s="34">
        <f t="shared" si="11"/>
        <v>0.30945054945054951</v>
      </c>
      <c r="Q68" s="26"/>
      <c r="R68" s="34">
        <f t="shared" si="12"/>
        <v>0.70000000000000018</v>
      </c>
      <c r="S68" s="34">
        <f t="shared" si="9"/>
        <v>6.1766380494505499</v>
      </c>
      <c r="T68" s="25"/>
      <c r="U68" s="26"/>
      <c r="V68" s="25"/>
      <c r="W68" s="33"/>
      <c r="X68" s="25"/>
      <c r="Y68" s="28"/>
      <c r="Z68" s="28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</row>
    <row r="69" spans="1:48" s="31" customFormat="1" x14ac:dyDescent="0.15">
      <c r="A69" s="26">
        <v>40</v>
      </c>
      <c r="B69" s="26">
        <v>8.6999999999999993</v>
      </c>
      <c r="C69" s="26">
        <f>(LN(B69)-LN(B67))/(A69-A67)</f>
        <v>-5.6820627693890957E-3</v>
      </c>
      <c r="D69" s="35">
        <f>(W69*1.025*S69/S69-W65*1.025*S65/S65)/4</f>
        <v>-4.356250000000006E-3</v>
      </c>
      <c r="E69" s="26">
        <v>9.5</v>
      </c>
      <c r="F69" s="26">
        <f>E69*S69</f>
        <v>58.450707417582414</v>
      </c>
      <c r="G69" s="26">
        <v>40.4</v>
      </c>
      <c r="H69" s="26">
        <v>766.4</v>
      </c>
      <c r="I69" s="26">
        <f t="shared" si="13"/>
        <v>0.59875</v>
      </c>
      <c r="J69" s="26">
        <f t="shared" si="14"/>
        <v>639.84</v>
      </c>
      <c r="K69" s="26">
        <f t="shared" si="16"/>
        <v>1.9698649526586407</v>
      </c>
      <c r="L69" s="26">
        <f t="shared" si="15"/>
        <v>12.120000000000005</v>
      </c>
      <c r="M69" s="26">
        <f>(E67*S67+G68*0.6+G69*0.6-E69*S69)/S69/4</f>
        <v>2.1756933518095987</v>
      </c>
      <c r="N69" s="25">
        <v>13.2</v>
      </c>
      <c r="O69" s="34">
        <f t="shared" si="10"/>
        <v>294.8</v>
      </c>
      <c r="P69" s="34">
        <f t="shared" si="11"/>
        <v>0.32395604395604399</v>
      </c>
      <c r="Q69" s="26">
        <v>7.0000000000000007E-2</v>
      </c>
      <c r="R69" s="34">
        <f t="shared" si="12"/>
        <v>0.77000000000000024</v>
      </c>
      <c r="S69" s="34">
        <f t="shared" si="9"/>
        <v>6.1527060439560435</v>
      </c>
      <c r="T69" s="25">
        <v>58.3</v>
      </c>
      <c r="U69" s="26">
        <f>T69*S69</f>
        <v>358.70276236263732</v>
      </c>
      <c r="V69" s="27">
        <v>0.54700000000000004</v>
      </c>
      <c r="W69" s="33">
        <v>0.28599999999999998</v>
      </c>
      <c r="X69" s="24">
        <v>0</v>
      </c>
      <c r="Y69" s="24">
        <v>0</v>
      </c>
      <c r="Z69" s="24">
        <v>0</v>
      </c>
      <c r="AA69" s="24">
        <v>0.01</v>
      </c>
      <c r="AB69" s="24">
        <v>0</v>
      </c>
      <c r="AC69" s="24">
        <v>0</v>
      </c>
      <c r="AD69" s="24">
        <v>0.31</v>
      </c>
      <c r="AE69" s="24">
        <v>0.03</v>
      </c>
      <c r="AF69" s="24">
        <v>0.45</v>
      </c>
      <c r="AG69" s="24">
        <v>0.04</v>
      </c>
      <c r="AH69" s="24">
        <v>0</v>
      </c>
      <c r="AI69" s="24">
        <v>0</v>
      </c>
      <c r="AJ69" s="24">
        <v>0.09</v>
      </c>
      <c r="AK69" s="24">
        <v>1.08</v>
      </c>
      <c r="AL69" s="24">
        <v>0.22</v>
      </c>
      <c r="AM69" s="24">
        <v>0.03</v>
      </c>
      <c r="AN69" s="24">
        <v>0</v>
      </c>
      <c r="AO69" s="24">
        <v>0</v>
      </c>
      <c r="AP69" s="24">
        <v>0</v>
      </c>
      <c r="AQ69" s="32">
        <v>0.65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</row>
    <row r="70" spans="1:48" s="31" customFormat="1" x14ac:dyDescent="0.15">
      <c r="A70" s="26">
        <v>42</v>
      </c>
      <c r="B70" s="26"/>
      <c r="C70" s="26"/>
      <c r="D70" s="35"/>
      <c r="E70" s="26"/>
      <c r="F70" s="26"/>
      <c r="G70" s="26">
        <v>50.2</v>
      </c>
      <c r="H70" s="26">
        <v>816.6</v>
      </c>
      <c r="I70" s="26">
        <f t="shared" si="13"/>
        <v>0.63796874999999997</v>
      </c>
      <c r="J70" s="26">
        <f t="shared" si="14"/>
        <v>669.96</v>
      </c>
      <c r="K70" s="26">
        <f t="shared" si="16"/>
        <v>2.427848214090468</v>
      </c>
      <c r="L70" s="26">
        <f t="shared" si="15"/>
        <v>15.060000000000002</v>
      </c>
      <c r="M70" s="26"/>
      <c r="N70" s="25">
        <v>10.1</v>
      </c>
      <c r="O70" s="34">
        <f t="shared" si="10"/>
        <v>304.90000000000003</v>
      </c>
      <c r="P70" s="34">
        <f t="shared" si="11"/>
        <v>0.3350549450549451</v>
      </c>
      <c r="Q70" s="26"/>
      <c r="R70" s="34">
        <f t="shared" si="12"/>
        <v>0.77000000000000024</v>
      </c>
      <c r="S70" s="34">
        <f t="shared" si="9"/>
        <v>6.2030236950549442</v>
      </c>
      <c r="T70" s="25"/>
      <c r="U70" s="26"/>
      <c r="V70" s="25"/>
      <c r="W70" s="33"/>
      <c r="X70" s="25"/>
      <c r="Y70" s="28"/>
      <c r="Z70" s="28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</row>
    <row r="71" spans="1:48" s="31" customFormat="1" x14ac:dyDescent="0.15">
      <c r="A71" s="26">
        <v>44</v>
      </c>
      <c r="B71" s="26">
        <v>8.9</v>
      </c>
      <c r="C71" s="26">
        <f>(LN(B71)-LN(B69))/(A71-A69)</f>
        <v>5.6820627693890957E-3</v>
      </c>
      <c r="D71" s="35">
        <f>(W71*1.025*S71/S71-W67*1.025*S67/S67)/4</f>
        <v>0</v>
      </c>
      <c r="E71" s="26">
        <v>10.5</v>
      </c>
      <c r="F71" s="26">
        <f>E71*S71</f>
        <v>64.927058293269241</v>
      </c>
      <c r="G71" s="26">
        <v>50.3</v>
      </c>
      <c r="H71" s="26">
        <v>866.9</v>
      </c>
      <c r="I71" s="26">
        <f t="shared" si="13"/>
        <v>0.67726562499999998</v>
      </c>
      <c r="J71" s="26">
        <f t="shared" si="14"/>
        <v>700.14</v>
      </c>
      <c r="K71" s="26">
        <f t="shared" si="16"/>
        <v>2.4403539012089381</v>
      </c>
      <c r="L71" s="26">
        <f t="shared" si="15"/>
        <v>15.089999999999975</v>
      </c>
      <c r="M71" s="26">
        <f>(E69*S69+G70*0.6+G71*0.6-E71*S71)/S71/4</f>
        <v>2.1760893326345081</v>
      </c>
      <c r="N71" s="25">
        <v>10.199999999999999</v>
      </c>
      <c r="O71" s="34">
        <f t="shared" si="10"/>
        <v>315.10000000000002</v>
      </c>
      <c r="P71" s="34">
        <f t="shared" si="11"/>
        <v>0.3462637362637363</v>
      </c>
      <c r="Q71" s="26">
        <v>7.0000000000000007E-2</v>
      </c>
      <c r="R71" s="34">
        <f t="shared" si="12"/>
        <v>0.8400000000000003</v>
      </c>
      <c r="S71" s="34">
        <f t="shared" si="9"/>
        <v>6.1835293612637372</v>
      </c>
      <c r="T71" s="25">
        <v>62.8</v>
      </c>
      <c r="U71" s="26">
        <f>T71*S71</f>
        <v>388.32564388736267</v>
      </c>
      <c r="V71" s="27">
        <v>0.53800000000000003</v>
      </c>
      <c r="W71" s="33">
        <v>0.28999999999999998</v>
      </c>
      <c r="X71" s="24">
        <v>0</v>
      </c>
      <c r="Y71" s="24">
        <v>0</v>
      </c>
      <c r="Z71" s="24">
        <v>0</v>
      </c>
      <c r="AA71" s="24">
        <v>0.01</v>
      </c>
      <c r="AB71" s="24">
        <v>0</v>
      </c>
      <c r="AC71" s="24">
        <v>0.01</v>
      </c>
      <c r="AD71" s="24">
        <v>0.36</v>
      </c>
      <c r="AE71" s="24">
        <v>0.02</v>
      </c>
      <c r="AF71" s="24">
        <v>0.46</v>
      </c>
      <c r="AG71" s="24">
        <v>0.05</v>
      </c>
      <c r="AH71" s="24">
        <v>0</v>
      </c>
      <c r="AI71" s="24">
        <v>0</v>
      </c>
      <c r="AJ71" s="24">
        <v>0.1</v>
      </c>
      <c r="AK71" s="24">
        <v>1.0900000000000001</v>
      </c>
      <c r="AL71" s="24">
        <v>0.25</v>
      </c>
      <c r="AM71" s="24">
        <v>0.05</v>
      </c>
      <c r="AN71" s="24">
        <v>0</v>
      </c>
      <c r="AO71" s="24">
        <v>0</v>
      </c>
      <c r="AP71" s="24">
        <v>0</v>
      </c>
      <c r="AQ71" s="32">
        <v>0.67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</row>
    <row r="72" spans="1:48" s="31" customFormat="1" x14ac:dyDescent="0.15">
      <c r="A72" s="26">
        <v>46</v>
      </c>
      <c r="B72" s="26"/>
      <c r="C72" s="26"/>
      <c r="D72" s="35"/>
      <c r="E72" s="26"/>
      <c r="F72" s="26"/>
      <c r="G72" s="26">
        <v>40</v>
      </c>
      <c r="H72" s="26">
        <v>906.9</v>
      </c>
      <c r="I72" s="26">
        <f t="shared" si="13"/>
        <v>0.70851562499999998</v>
      </c>
      <c r="J72" s="26">
        <f t="shared" si="14"/>
        <v>724.14</v>
      </c>
      <c r="K72" s="26">
        <f t="shared" si="16"/>
        <v>1.9274389081045344</v>
      </c>
      <c r="L72" s="26">
        <f t="shared" si="15"/>
        <v>12</v>
      </c>
      <c r="M72" s="26"/>
      <c r="N72" s="25">
        <v>10.1</v>
      </c>
      <c r="O72" s="34">
        <f t="shared" si="10"/>
        <v>325.20000000000005</v>
      </c>
      <c r="P72" s="34">
        <f t="shared" si="11"/>
        <v>0.35736263736263735</v>
      </c>
      <c r="Q72" s="26"/>
      <c r="R72" s="34">
        <f t="shared" si="12"/>
        <v>0.8400000000000003</v>
      </c>
      <c r="S72" s="34">
        <f t="shared" si="9"/>
        <v>6.2258782623626381</v>
      </c>
      <c r="T72" s="25"/>
      <c r="U72" s="26"/>
      <c r="V72" s="25"/>
      <c r="W72" s="33"/>
      <c r="X72" s="25"/>
      <c r="Y72" s="28"/>
      <c r="Z72" s="28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</row>
    <row r="73" spans="1:48" s="31" customFormat="1" x14ac:dyDescent="0.15">
      <c r="A73" s="26">
        <v>48</v>
      </c>
      <c r="B73" s="26">
        <v>9</v>
      </c>
      <c r="C73" s="26">
        <f>(LN(B73)-LN(B71))/(A73-A71)</f>
        <v>2.7933251495313449E-3</v>
      </c>
      <c r="D73" s="35">
        <f>(W73*1.025*S73/S73-W69*1.025*S69/S69)/4</f>
        <v>2.3062499999999958E-3</v>
      </c>
      <c r="E73" s="26">
        <v>9</v>
      </c>
      <c r="F73" s="26">
        <f>E73*S73</f>
        <v>55.820305631868131</v>
      </c>
      <c r="G73" s="26">
        <v>41.5</v>
      </c>
      <c r="H73" s="26">
        <v>948.4</v>
      </c>
      <c r="I73" s="26">
        <f t="shared" si="13"/>
        <v>0.74093750000000003</v>
      </c>
      <c r="J73" s="26">
        <f t="shared" si="14"/>
        <v>749.04</v>
      </c>
      <c r="K73" s="26">
        <f t="shared" si="16"/>
        <v>2.0073340468424434</v>
      </c>
      <c r="L73" s="26">
        <f t="shared" si="15"/>
        <v>12.449999999999989</v>
      </c>
      <c r="M73" s="26">
        <f>(E71*S71+G72*0.6+G73*0.6-E73*S73)/S73/4</f>
        <v>2.3381311157429532</v>
      </c>
      <c r="N73" s="25">
        <v>12.7</v>
      </c>
      <c r="O73" s="34">
        <f t="shared" si="10"/>
        <v>337.90000000000003</v>
      </c>
      <c r="P73" s="34">
        <f t="shared" si="11"/>
        <v>0.37131868131868134</v>
      </c>
      <c r="Q73" s="26">
        <v>7.0000000000000007E-2</v>
      </c>
      <c r="R73" s="34">
        <f t="shared" si="12"/>
        <v>0.91000000000000036</v>
      </c>
      <c r="S73" s="34">
        <f t="shared" si="9"/>
        <v>6.2022561813186812</v>
      </c>
      <c r="T73" s="25">
        <v>66</v>
      </c>
      <c r="U73" s="26">
        <f>T73*S73</f>
        <v>409.34890796703297</v>
      </c>
      <c r="V73" s="27">
        <v>0.52900000000000003</v>
      </c>
      <c r="W73" s="33">
        <v>0.29499999999999998</v>
      </c>
      <c r="X73" s="24">
        <v>0</v>
      </c>
      <c r="Y73" s="24">
        <v>0</v>
      </c>
      <c r="Z73" s="24">
        <v>0</v>
      </c>
      <c r="AA73" s="24">
        <v>0.01</v>
      </c>
      <c r="AB73" s="24">
        <v>0</v>
      </c>
      <c r="AC73" s="24">
        <v>0</v>
      </c>
      <c r="AD73" s="24">
        <v>0.41</v>
      </c>
      <c r="AE73" s="24">
        <v>0.02</v>
      </c>
      <c r="AF73" s="24">
        <v>0.48</v>
      </c>
      <c r="AG73" s="24">
        <v>0.06</v>
      </c>
      <c r="AH73" s="24">
        <v>0</v>
      </c>
      <c r="AI73" s="24">
        <v>0</v>
      </c>
      <c r="AJ73" s="24">
        <v>0.11</v>
      </c>
      <c r="AK73" s="24">
        <v>1.08</v>
      </c>
      <c r="AL73" s="24">
        <v>0.25</v>
      </c>
      <c r="AM73" s="24">
        <v>0.05</v>
      </c>
      <c r="AN73" s="24">
        <v>0</v>
      </c>
      <c r="AO73" s="24">
        <v>0</v>
      </c>
      <c r="AP73" s="24">
        <v>0</v>
      </c>
      <c r="AQ73" s="32">
        <v>0.69</v>
      </c>
      <c r="AR73" s="32">
        <v>0</v>
      </c>
      <c r="AS73" s="32">
        <v>0</v>
      </c>
      <c r="AT73" s="32">
        <v>0</v>
      </c>
      <c r="AU73" s="32">
        <v>0</v>
      </c>
      <c r="AV73" s="32">
        <v>0</v>
      </c>
    </row>
    <row r="74" spans="1:48" s="31" customFormat="1" x14ac:dyDescent="0.15">
      <c r="A74" s="26">
        <v>50</v>
      </c>
      <c r="B74" s="26"/>
      <c r="C74" s="26"/>
      <c r="D74" s="35"/>
      <c r="E74" s="26"/>
      <c r="F74" s="26"/>
      <c r="G74" s="26">
        <v>44.3</v>
      </c>
      <c r="H74" s="26">
        <v>992.7</v>
      </c>
      <c r="I74" s="26">
        <f t="shared" si="13"/>
        <v>0.77554687499999997</v>
      </c>
      <c r="J74" s="26">
        <f t="shared" si="14"/>
        <v>775.62</v>
      </c>
      <c r="K74" s="26">
        <f t="shared" si="16"/>
        <v>2.1279535814952846</v>
      </c>
      <c r="L74" s="26">
        <f t="shared" si="15"/>
        <v>13.29000000000002</v>
      </c>
      <c r="M74" s="26"/>
      <c r="N74" s="25">
        <v>7.8</v>
      </c>
      <c r="O74" s="34">
        <f t="shared" si="10"/>
        <v>345.70000000000005</v>
      </c>
      <c r="P74" s="34">
        <f t="shared" si="11"/>
        <v>0.37989010989010996</v>
      </c>
      <c r="Q74" s="26"/>
      <c r="R74" s="34">
        <f t="shared" si="12"/>
        <v>0.91000000000000036</v>
      </c>
      <c r="S74" s="34">
        <f t="shared" si="9"/>
        <v>6.2454369848901097</v>
      </c>
      <c r="T74" s="25"/>
      <c r="U74" s="26"/>
      <c r="V74" s="25"/>
      <c r="W74" s="33"/>
      <c r="X74" s="25"/>
      <c r="Y74" s="28"/>
      <c r="Z74" s="28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</row>
    <row r="75" spans="1:48" s="31" customFormat="1" x14ac:dyDescent="0.15">
      <c r="A75" s="26">
        <v>52</v>
      </c>
      <c r="B75" s="26">
        <v>8.65</v>
      </c>
      <c r="C75" s="26">
        <f>(LN(B75)-LN(B73))/(A75-A73)</f>
        <v>-9.9163140981078923E-3</v>
      </c>
      <c r="D75" s="35">
        <f>(W75*1.025*S75/S75-W71*1.025*S71/S71)/4</f>
        <v>-1.5374999999999972E-3</v>
      </c>
      <c r="E75" s="26">
        <v>10.5</v>
      </c>
      <c r="F75" s="26">
        <f>E75*S75</f>
        <v>65.483428485576923</v>
      </c>
      <c r="G75" s="26">
        <v>60.6</v>
      </c>
      <c r="H75" s="26">
        <v>1053.3</v>
      </c>
      <c r="I75" s="26">
        <f t="shared" si="13"/>
        <v>0.82289062499999999</v>
      </c>
      <c r="J75" s="26">
        <f t="shared" si="14"/>
        <v>811.98</v>
      </c>
      <c r="K75" s="26">
        <f t="shared" si="16"/>
        <v>2.9150886631118378</v>
      </c>
      <c r="L75" s="26">
        <f t="shared" si="15"/>
        <v>18.180000000000007</v>
      </c>
      <c r="M75" s="26">
        <f>(E73*S73+G74*0.6+G75*0.6-E75*S75)/S75/4</f>
        <v>2.1356823511435037</v>
      </c>
      <c r="N75" s="25">
        <v>12.5</v>
      </c>
      <c r="O75" s="34">
        <f t="shared" si="10"/>
        <v>358.20000000000005</v>
      </c>
      <c r="P75" s="34">
        <f t="shared" si="11"/>
        <v>0.39362637362637365</v>
      </c>
      <c r="Q75" s="26">
        <v>7.0000000000000007E-2</v>
      </c>
      <c r="R75" s="34">
        <f t="shared" si="12"/>
        <v>0.98000000000000043</v>
      </c>
      <c r="S75" s="34">
        <f t="shared" si="9"/>
        <v>6.2365169986263735</v>
      </c>
      <c r="T75" s="25">
        <v>69</v>
      </c>
      <c r="U75" s="26">
        <f>T75*S75</f>
        <v>430.31967290521976</v>
      </c>
      <c r="V75" s="27">
        <v>0.51</v>
      </c>
      <c r="W75" s="33">
        <v>0.28399999999999997</v>
      </c>
      <c r="X75" s="24">
        <v>0</v>
      </c>
      <c r="Y75" s="24">
        <v>0</v>
      </c>
      <c r="Z75" s="24">
        <v>0.01</v>
      </c>
      <c r="AA75" s="24">
        <v>0</v>
      </c>
      <c r="AB75" s="24">
        <v>0</v>
      </c>
      <c r="AC75" s="24">
        <v>0</v>
      </c>
      <c r="AD75" s="24">
        <v>0.48</v>
      </c>
      <c r="AE75" s="24">
        <v>0.02</v>
      </c>
      <c r="AF75" s="24">
        <v>0.49</v>
      </c>
      <c r="AG75" s="24">
        <v>7.0000000000000007E-2</v>
      </c>
      <c r="AH75" s="24">
        <v>0</v>
      </c>
      <c r="AI75" s="24">
        <v>0</v>
      </c>
      <c r="AJ75" s="24">
        <v>0.12</v>
      </c>
      <c r="AK75" s="24">
        <v>1.07</v>
      </c>
      <c r="AL75" s="24">
        <v>0.27</v>
      </c>
      <c r="AM75" s="24">
        <v>0.05</v>
      </c>
      <c r="AN75" s="24">
        <v>0</v>
      </c>
      <c r="AO75" s="24">
        <v>0</v>
      </c>
      <c r="AP75" s="24">
        <v>0</v>
      </c>
      <c r="AQ75" s="32">
        <v>0.71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</row>
    <row r="76" spans="1:48" s="31" customFormat="1" x14ac:dyDescent="0.15">
      <c r="A76" s="26">
        <v>54</v>
      </c>
      <c r="B76" s="26"/>
      <c r="C76" s="26"/>
      <c r="D76" s="35"/>
      <c r="E76" s="26"/>
      <c r="F76" s="26"/>
      <c r="G76" s="26">
        <v>33.5</v>
      </c>
      <c r="H76" s="26">
        <v>1086.8</v>
      </c>
      <c r="I76" s="26">
        <f t="shared" si="13"/>
        <v>0.84906250000000005</v>
      </c>
      <c r="J76" s="26">
        <f t="shared" si="14"/>
        <v>832.08</v>
      </c>
      <c r="K76" s="26">
        <f t="shared" si="16"/>
        <v>1.6020995202832664</v>
      </c>
      <c r="L76" s="26">
        <f t="shared" si="15"/>
        <v>10.050000000000011</v>
      </c>
      <c r="M76" s="26"/>
      <c r="N76" s="25">
        <v>9.4</v>
      </c>
      <c r="O76" s="34">
        <f t="shared" si="10"/>
        <v>367.6</v>
      </c>
      <c r="P76" s="34">
        <f t="shared" si="11"/>
        <v>0.40395604395604395</v>
      </c>
      <c r="Q76" s="26"/>
      <c r="R76" s="34">
        <f t="shared" si="12"/>
        <v>0.98000000000000043</v>
      </c>
      <c r="S76" s="34">
        <f t="shared" si="9"/>
        <v>6.2730185439560433</v>
      </c>
      <c r="T76" s="25"/>
      <c r="U76" s="26"/>
      <c r="V76" s="25"/>
      <c r="W76" s="33"/>
      <c r="X76" s="25"/>
      <c r="Y76" s="28"/>
      <c r="Z76" s="28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</row>
    <row r="77" spans="1:48" s="31" customFormat="1" x14ac:dyDescent="0.15">
      <c r="A77" s="26">
        <v>56</v>
      </c>
      <c r="B77" s="26">
        <v>8.85</v>
      </c>
      <c r="C77" s="26">
        <f>(LN(B77)-LN(B75))/(A77-A75)</f>
        <v>5.714534519012493E-3</v>
      </c>
      <c r="D77" s="35"/>
      <c r="E77" s="26">
        <v>11</v>
      </c>
      <c r="F77" s="26">
        <f>E77*S77</f>
        <v>68.786745364010983</v>
      </c>
      <c r="G77" s="26">
        <v>53.3</v>
      </c>
      <c r="H77" s="26">
        <v>1140.0999999999999</v>
      </c>
      <c r="I77" s="26">
        <f t="shared" si="13"/>
        <v>0.89070312499999993</v>
      </c>
      <c r="J77" s="26">
        <f t="shared" si="14"/>
        <v>864.06000000000006</v>
      </c>
      <c r="K77" s="26">
        <f t="shared" si="16"/>
        <v>2.557033321887987</v>
      </c>
      <c r="L77" s="26">
        <f t="shared" si="15"/>
        <v>15.990000000000009</v>
      </c>
      <c r="M77" s="26">
        <f>(E75*S75+G76*0.6+G77*0.6-E77*S77)/S77/4</f>
        <v>1.950025079315437</v>
      </c>
      <c r="N77" s="25">
        <v>7.9</v>
      </c>
      <c r="O77" s="34">
        <f t="shared" si="10"/>
        <v>375.5</v>
      </c>
      <c r="P77" s="34">
        <f t="shared" si="11"/>
        <v>0.41263736263736261</v>
      </c>
      <c r="Q77" s="26">
        <v>7.0000000000000007E-2</v>
      </c>
      <c r="R77" s="34">
        <f t="shared" si="12"/>
        <v>1.0500000000000005</v>
      </c>
      <c r="S77" s="34">
        <f t="shared" si="9"/>
        <v>6.2533404876373622</v>
      </c>
      <c r="T77" s="25"/>
      <c r="U77" s="26"/>
      <c r="V77" s="25"/>
      <c r="W77" s="33"/>
      <c r="X77" s="25"/>
      <c r="Y77" s="28"/>
      <c r="Z77" s="28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</row>
    <row r="78" spans="1:48" s="31" customFormat="1" x14ac:dyDescent="0.15">
      <c r="A78" s="26">
        <v>58</v>
      </c>
      <c r="B78" s="26"/>
      <c r="C78" s="26"/>
      <c r="D78" s="35"/>
      <c r="E78" s="26"/>
      <c r="F78" s="26"/>
      <c r="G78" s="26">
        <v>51.2</v>
      </c>
      <c r="H78" s="26">
        <v>1191.3</v>
      </c>
      <c r="I78" s="26">
        <f t="shared" si="13"/>
        <v>0.93070312499999996</v>
      </c>
      <c r="J78" s="26">
        <f t="shared" si="14"/>
        <v>894.78000000000009</v>
      </c>
      <c r="K78" s="26">
        <f t="shared" si="16"/>
        <v>2.4362085495722132</v>
      </c>
      <c r="L78" s="26">
        <f t="shared" si="15"/>
        <v>15.360000000000014</v>
      </c>
      <c r="M78" s="26"/>
      <c r="N78" s="25">
        <v>10.5</v>
      </c>
      <c r="O78" s="34">
        <f t="shared" si="10"/>
        <v>386</v>
      </c>
      <c r="P78" s="34">
        <f t="shared" si="11"/>
        <v>0.42417582417582417</v>
      </c>
      <c r="Q78" s="26"/>
      <c r="R78" s="34">
        <f t="shared" si="12"/>
        <v>1.0500000000000005</v>
      </c>
      <c r="S78" s="34">
        <f t="shared" si="9"/>
        <v>6.3048789491758237</v>
      </c>
      <c r="T78" s="25"/>
      <c r="U78" s="26"/>
      <c r="V78" s="25"/>
      <c r="W78" s="33"/>
      <c r="X78" s="25"/>
      <c r="Y78" s="26"/>
      <c r="Z78" s="26"/>
      <c r="AA78" s="23"/>
      <c r="AB78" s="33"/>
      <c r="AC78" s="25"/>
      <c r="AD78" s="23"/>
      <c r="AE78" s="23"/>
      <c r="AF78" s="25"/>
      <c r="AG78" s="25"/>
      <c r="AH78" s="24"/>
      <c r="AI78" s="24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</row>
    <row r="79" spans="1:48" s="31" customFormat="1" x14ac:dyDescent="0.15">
      <c r="A79" s="26">
        <v>60</v>
      </c>
      <c r="B79" s="26">
        <v>9</v>
      </c>
      <c r="C79" s="26">
        <f>(LN(B79)-LN(B77))/(A79-A77)</f>
        <v>4.2017795790953993E-3</v>
      </c>
      <c r="D79" s="35">
        <f>(W79*1.025*S79/S79-W75*1.025*S75/S75)/4</f>
        <v>3.0749999999999944E-3</v>
      </c>
      <c r="E79" s="26">
        <v>11.5</v>
      </c>
      <c r="F79" s="26">
        <f>E79*S79</f>
        <v>72.296347441620867</v>
      </c>
      <c r="G79" s="26">
        <v>55</v>
      </c>
      <c r="H79" s="26">
        <v>1246.3</v>
      </c>
      <c r="I79" s="26">
        <f t="shared" si="13"/>
        <v>0.97367187499999996</v>
      </c>
      <c r="J79" s="26">
        <f t="shared" si="14"/>
        <v>927.78000000000009</v>
      </c>
      <c r="K79" s="26">
        <f t="shared" si="16"/>
        <v>2.6246139219304636</v>
      </c>
      <c r="L79" s="26">
        <f t="shared" si="15"/>
        <v>16.5</v>
      </c>
      <c r="M79" s="26">
        <f>(E77*S77+G78*0.6+G79*0.6-E79*S79)/S79/4</f>
        <v>2.3943795247284569</v>
      </c>
      <c r="N79" s="25">
        <v>8</v>
      </c>
      <c r="O79" s="34">
        <f t="shared" si="10"/>
        <v>394</v>
      </c>
      <c r="P79" s="34">
        <f t="shared" si="11"/>
        <v>0.43296703296703293</v>
      </c>
      <c r="Q79" s="26">
        <v>7.0000000000000007E-2</v>
      </c>
      <c r="R79" s="34">
        <f t="shared" si="12"/>
        <v>1.1200000000000006</v>
      </c>
      <c r="S79" s="34">
        <f t="shared" si="9"/>
        <v>6.2866389079670322</v>
      </c>
      <c r="T79" s="25">
        <v>87.3</v>
      </c>
      <c r="U79" s="26">
        <f>T79*S79</f>
        <v>548.82357666552184</v>
      </c>
      <c r="V79" s="27">
        <v>0.56499999999999995</v>
      </c>
      <c r="W79" s="33">
        <v>0.29599999999999999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0.03</v>
      </c>
      <c r="AD79" s="24">
        <v>0.56999999999999995</v>
      </c>
      <c r="AE79" s="24">
        <v>0.01</v>
      </c>
      <c r="AF79" s="24">
        <v>0.6</v>
      </c>
      <c r="AG79" s="24">
        <v>0.09</v>
      </c>
      <c r="AH79" s="24">
        <v>0</v>
      </c>
      <c r="AI79" s="24">
        <v>0</v>
      </c>
      <c r="AJ79" s="24">
        <v>0.09</v>
      </c>
      <c r="AK79" s="24">
        <v>1.1299999999999999</v>
      </c>
      <c r="AL79" s="24">
        <v>0.31</v>
      </c>
      <c r="AM79" s="24">
        <v>0.08</v>
      </c>
      <c r="AN79" s="24">
        <v>0</v>
      </c>
      <c r="AO79" s="24">
        <v>0</v>
      </c>
      <c r="AP79" s="24">
        <v>0</v>
      </c>
      <c r="AQ79" s="32">
        <v>0.67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</row>
    <row r="80" spans="1:48" s="22" customFormat="1" x14ac:dyDescent="0.15">
      <c r="A80" s="26" t="s">
        <v>7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>
        <v>8.6</v>
      </c>
      <c r="T80" s="26">
        <v>60.9</v>
      </c>
      <c r="U80" s="30"/>
      <c r="V80" s="29"/>
      <c r="W80" s="29"/>
      <c r="X80" s="26"/>
      <c r="Y80" s="26"/>
      <c r="Z80" s="28"/>
      <c r="AA80" s="23"/>
      <c r="AB80" s="23"/>
      <c r="AC80" s="25"/>
      <c r="AD80" s="25"/>
      <c r="AE80" s="25"/>
      <c r="AF80" s="25"/>
      <c r="AG80" s="24"/>
      <c r="AH80" s="24"/>
      <c r="AI80" s="24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</row>
    <row r="81" spans="1:48" s="22" customFormat="1" x14ac:dyDescent="0.2">
      <c r="A81" s="26" t="s">
        <v>6</v>
      </c>
      <c r="B81" s="26"/>
      <c r="C81" s="26"/>
      <c r="D81" s="26"/>
      <c r="E81" s="26"/>
      <c r="F81" s="26"/>
      <c r="G81" s="26"/>
      <c r="H81" s="26"/>
      <c r="I81" s="26"/>
      <c r="J81" s="26">
        <f>J79</f>
        <v>927.78000000000009</v>
      </c>
      <c r="K81" s="26"/>
      <c r="L81" s="26"/>
      <c r="M81" s="26"/>
      <c r="N81" s="26"/>
      <c r="O81" s="26"/>
      <c r="P81" s="26"/>
      <c r="Q81" s="26"/>
      <c r="R81" s="26"/>
      <c r="S81" s="26"/>
      <c r="T81" s="26">
        <f>T80*S80</f>
        <v>523.74</v>
      </c>
      <c r="U81" s="26"/>
      <c r="V81" s="27">
        <f>T80*S80/J81</f>
        <v>0.56450882752376641</v>
      </c>
      <c r="W81" s="28">
        <f>W79*0.01*S79*1000*1.025-W49*0.01*1000*S49*1.025</f>
        <v>17.067839946771976</v>
      </c>
      <c r="X81" s="26">
        <f t="shared" ref="X81:AV81" si="17">X79*$S79-X49*$S49</f>
        <v>0</v>
      </c>
      <c r="Y81" s="26">
        <f t="shared" si="17"/>
        <v>0</v>
      </c>
      <c r="Z81" s="26">
        <f t="shared" si="17"/>
        <v>-0.17789999999999997</v>
      </c>
      <c r="AA81" s="26">
        <f t="shared" si="17"/>
        <v>0</v>
      </c>
      <c r="AB81" s="26">
        <f t="shared" si="17"/>
        <v>0</v>
      </c>
      <c r="AC81" s="26">
        <f t="shared" si="17"/>
        <v>1.0699167239010987E-2</v>
      </c>
      <c r="AD81" s="26">
        <f t="shared" si="17"/>
        <v>3.5833841775412081</v>
      </c>
      <c r="AE81" s="26">
        <f t="shared" si="17"/>
        <v>3.5663890796703221E-3</v>
      </c>
      <c r="AF81" s="26">
        <f t="shared" si="17"/>
        <v>1.1627833447802192</v>
      </c>
      <c r="AG81" s="26">
        <f t="shared" si="17"/>
        <v>0.56579750171703291</v>
      </c>
      <c r="AH81" s="26">
        <f t="shared" si="17"/>
        <v>0</v>
      </c>
      <c r="AI81" s="26">
        <f t="shared" si="17"/>
        <v>0</v>
      </c>
      <c r="AJ81" s="26">
        <f t="shared" si="17"/>
        <v>0.56579750171703291</v>
      </c>
      <c r="AK81" s="26">
        <f t="shared" si="17"/>
        <v>6.5702019660027462</v>
      </c>
      <c r="AL81" s="26">
        <f t="shared" si="17"/>
        <v>1.6523580614697799</v>
      </c>
      <c r="AM81" s="26">
        <f t="shared" si="17"/>
        <v>0.38433111263736258</v>
      </c>
      <c r="AN81" s="26">
        <f t="shared" si="17"/>
        <v>0</v>
      </c>
      <c r="AO81" s="26">
        <f t="shared" si="17"/>
        <v>0</v>
      </c>
      <c r="AP81" s="26">
        <f t="shared" si="17"/>
        <v>0</v>
      </c>
      <c r="AQ81" s="26">
        <f t="shared" si="17"/>
        <v>3.8562480683379117</v>
      </c>
      <c r="AR81" s="26">
        <f t="shared" si="17"/>
        <v>0</v>
      </c>
      <c r="AS81" s="26">
        <f t="shared" si="17"/>
        <v>0</v>
      </c>
      <c r="AT81" s="26">
        <f t="shared" si="17"/>
        <v>0</v>
      </c>
      <c r="AU81" s="26">
        <f t="shared" si="17"/>
        <v>0</v>
      </c>
      <c r="AV81" s="26">
        <f t="shared" si="17"/>
        <v>0</v>
      </c>
    </row>
    <row r="82" spans="1:48" s="22" customFormat="1" x14ac:dyDescent="0.15">
      <c r="A82" s="26" t="s">
        <v>5</v>
      </c>
      <c r="B82" s="26"/>
      <c r="C82" s="26"/>
      <c r="D82" s="26"/>
      <c r="E82" s="26"/>
      <c r="F82" s="26"/>
      <c r="G82" s="26"/>
      <c r="H82" s="26"/>
      <c r="I82" s="26"/>
      <c r="J82" s="26">
        <f>J81/180.16</f>
        <v>5.1497557726465368</v>
      </c>
      <c r="K82" s="26"/>
      <c r="L82" s="26"/>
      <c r="M82" s="26"/>
      <c r="N82" s="26"/>
      <c r="O82" s="26"/>
      <c r="P82" s="26"/>
      <c r="Q82" s="26"/>
      <c r="R82" s="26"/>
      <c r="S82" s="26"/>
      <c r="T82" s="26">
        <f>(T80*S80)/117.15</f>
        <v>4.4706786171574899</v>
      </c>
      <c r="U82" s="26"/>
      <c r="V82" s="27"/>
      <c r="W82" s="26"/>
      <c r="X82" s="26">
        <v>0</v>
      </c>
      <c r="Y82" s="26">
        <f>Y81/133.1</f>
        <v>0</v>
      </c>
      <c r="Z82" s="26">
        <f>Z81/147.13</f>
        <v>-1.2091347787670766E-3</v>
      </c>
      <c r="AA82" s="25">
        <f>AA81/105.09</f>
        <v>0</v>
      </c>
      <c r="AB82" s="25">
        <v>0</v>
      </c>
      <c r="AC82" s="25">
        <f>AC81/75.07</f>
        <v>1.4252254214747553E-4</v>
      </c>
      <c r="AD82" s="25">
        <f>AD81/119.12</f>
        <v>3.0082137151957757E-2</v>
      </c>
      <c r="AE82" s="25">
        <f>AE81/174.2</f>
        <v>2.0472956829335951E-5</v>
      </c>
      <c r="AF82" s="25">
        <f>AF81/89.09</f>
        <v>1.3051782969808273E-2</v>
      </c>
      <c r="AG82" s="24">
        <f>AG81/181.19</f>
        <v>3.1226751019208174E-3</v>
      </c>
      <c r="AH82" s="24">
        <f>AH81/240.3</f>
        <v>0</v>
      </c>
      <c r="AI82" s="24">
        <f>0</f>
        <v>0</v>
      </c>
      <c r="AJ82" s="23">
        <f>AJ81/165.19</f>
        <v>3.4251316769600636E-3</v>
      </c>
      <c r="AK82" s="23">
        <f>AK81/131.17</f>
        <v>5.008921221317944E-2</v>
      </c>
      <c r="AL82" s="23">
        <f>AL81/131.17</f>
        <v>1.2597072969960967E-2</v>
      </c>
      <c r="AM82" s="23">
        <f>AM81/146.19</f>
        <v>2.6289836010490635E-3</v>
      </c>
      <c r="AN82" s="23">
        <v>0</v>
      </c>
      <c r="AO82" s="23">
        <v>0</v>
      </c>
      <c r="AP82" s="23">
        <v>0</v>
      </c>
      <c r="AQ82" s="23">
        <f>AQ81/60.05</f>
        <v>6.421728673335407E-2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</row>
    <row r="83" spans="1:48" s="11" customFormat="1" x14ac:dyDescent="0.15">
      <c r="A83" s="19" t="s">
        <v>4</v>
      </c>
      <c r="B83" s="21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7"/>
      <c r="N83" s="15"/>
      <c r="O83" s="15"/>
      <c r="P83" s="15"/>
      <c r="Q83" s="15"/>
      <c r="R83" s="15"/>
      <c r="S83" s="15"/>
      <c r="T83" s="16">
        <v>0</v>
      </c>
      <c r="U83" s="16"/>
      <c r="V83" s="15"/>
      <c r="W83" s="15"/>
      <c r="X83" s="15"/>
      <c r="Y83" s="15"/>
      <c r="Z83" s="15"/>
      <c r="AA83" s="14"/>
      <c r="AB83" s="14"/>
      <c r="AC83" s="14"/>
      <c r="AD83" s="14">
        <f>AD82*-2</f>
        <v>-6.0164274303915515E-2</v>
      </c>
      <c r="AE83" s="14"/>
      <c r="AF83" s="14">
        <v>0</v>
      </c>
      <c r="AG83" s="14"/>
      <c r="AH83" s="14"/>
      <c r="AI83" s="14"/>
      <c r="AJ83" s="12"/>
      <c r="AK83" s="12">
        <f>-3*AK82</f>
        <v>-0.15026763663953832</v>
      </c>
      <c r="AL83" s="12">
        <f>3*AL82</f>
        <v>3.77912189098829E-2</v>
      </c>
      <c r="AM83" s="20"/>
      <c r="AN83" s="12"/>
      <c r="AO83" s="12"/>
      <c r="AP83" s="12"/>
      <c r="AQ83" s="12">
        <f>AQ82*2</f>
        <v>0.12843457346670814</v>
      </c>
      <c r="AR83" s="12"/>
      <c r="AS83" s="12"/>
      <c r="AT83" s="12"/>
      <c r="AU83" s="12"/>
      <c r="AV83" s="12"/>
    </row>
    <row r="84" spans="1:48" s="11" customFormat="1" x14ac:dyDescent="0.2">
      <c r="A84" s="19" t="s">
        <v>3</v>
      </c>
      <c r="B84" s="18">
        <f>T83+AD83+AF83+AK83+AL83+AQ83+AA83+AG83+AJ83+AM83</f>
        <v>-4.4206118566862795E-2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7"/>
      <c r="N84" s="15"/>
      <c r="O84" s="15"/>
      <c r="P84" s="15"/>
      <c r="Q84" s="15"/>
      <c r="R84" s="15"/>
      <c r="S84" s="15"/>
      <c r="T84" s="16"/>
      <c r="U84" s="16"/>
      <c r="V84" s="15"/>
      <c r="W84" s="15"/>
      <c r="X84" s="15"/>
      <c r="Y84" s="15"/>
      <c r="Z84" s="15"/>
      <c r="AA84" s="14"/>
      <c r="AB84" s="14"/>
      <c r="AC84" s="14"/>
      <c r="AD84" s="14"/>
      <c r="AE84" s="14"/>
      <c r="AF84" s="14"/>
      <c r="AG84" s="14"/>
      <c r="AH84" s="14"/>
      <c r="AI84" s="14"/>
      <c r="AJ84" s="12"/>
      <c r="AK84" s="13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</row>
    <row r="85" spans="1:48" s="4" customFormat="1" x14ac:dyDescent="0.2">
      <c r="A85" s="8" t="s">
        <v>2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>
        <f>T81/0.65</f>
        <v>805.7538461538461</v>
      </c>
      <c r="U85" s="6"/>
      <c r="V85" s="6"/>
      <c r="W85" s="10"/>
      <c r="X85" s="10"/>
      <c r="Y85" s="6"/>
      <c r="Z85" s="6"/>
      <c r="AA85" s="5"/>
      <c r="AB85" s="5"/>
      <c r="AC85" s="5"/>
      <c r="AD85" s="5">
        <f>AD82/2*180.16</f>
        <v>2.7097989146483545</v>
      </c>
      <c r="AE85" s="5"/>
      <c r="AF85" s="5">
        <f>AF82/2*180.16</f>
        <v>1.1757046099203292</v>
      </c>
      <c r="AG85" s="5"/>
      <c r="AH85" s="5"/>
      <c r="AI85" s="5"/>
      <c r="AJ85" s="5"/>
      <c r="AK85" s="5">
        <f>AK82/1*180.16</f>
        <v>9.0240724723264076</v>
      </c>
      <c r="AL85" s="5">
        <f>AL82/1.5*180.16</f>
        <v>1.5129924441787783</v>
      </c>
      <c r="AM85" s="5"/>
      <c r="AN85" s="5"/>
      <c r="AO85" s="5"/>
      <c r="AP85" s="5"/>
      <c r="AQ85" s="5">
        <f>AQ82/2*180.16</f>
        <v>5.7846931889405342</v>
      </c>
      <c r="AR85" s="5"/>
      <c r="AS85" s="5"/>
      <c r="AT85" s="5"/>
      <c r="AU85" s="5"/>
      <c r="AV85" s="5"/>
    </row>
    <row r="86" spans="1:48" s="4" customFormat="1" x14ac:dyDescent="0.2">
      <c r="A86" s="9" t="s">
        <v>1</v>
      </c>
      <c r="B86" s="7">
        <f>J81-T85-AD85-AF85-AK85-AL85-AQ85-AA85-AG85-AJ85-AM85</f>
        <v>101.81889221613957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</row>
    <row r="87" spans="1:48" s="4" customFormat="1" x14ac:dyDescent="0.2">
      <c r="A87" s="8" t="s">
        <v>0</v>
      </c>
      <c r="B87" s="7">
        <f>W81/B86</f>
        <v>0.16762940133487828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</row>
    <row r="89" spans="1:48" x14ac:dyDescent="0.15">
      <c r="A89" s="40" t="s">
        <v>56</v>
      </c>
      <c r="B89" s="26"/>
      <c r="C89" s="26"/>
      <c r="D89" s="26"/>
      <c r="E89" s="39"/>
      <c r="F89" s="39"/>
      <c r="G89" s="26"/>
      <c r="H89" s="39"/>
      <c r="I89" s="26"/>
      <c r="J89" s="39"/>
      <c r="K89" s="39"/>
      <c r="L89" s="39"/>
      <c r="M89" s="26"/>
      <c r="N89" s="39"/>
      <c r="O89" s="26"/>
      <c r="P89" s="26"/>
      <c r="Q89" s="26"/>
      <c r="R89" s="26"/>
      <c r="S89" s="26"/>
      <c r="T89" s="39"/>
      <c r="U89" s="39"/>
      <c r="V89" s="26"/>
      <c r="W89" s="26"/>
      <c r="X89" s="26"/>
      <c r="Y89" s="39"/>
      <c r="Z89" s="26"/>
      <c r="AA89" s="32"/>
      <c r="AB89" s="25"/>
      <c r="AC89" s="32"/>
      <c r="AD89" s="25"/>
      <c r="AE89" s="25"/>
      <c r="AF89" s="24"/>
      <c r="AG89" s="24"/>
      <c r="AH89" s="24"/>
      <c r="AI89" s="24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</row>
    <row r="90" spans="1:48" s="37" customFormat="1" x14ac:dyDescent="0.2">
      <c r="A90" s="38" t="s">
        <v>55</v>
      </c>
      <c r="B90" s="38" t="s">
        <v>54</v>
      </c>
      <c r="C90" s="38" t="s">
        <v>53</v>
      </c>
      <c r="D90" s="38" t="s">
        <v>52</v>
      </c>
      <c r="E90" s="38" t="s">
        <v>51</v>
      </c>
      <c r="F90" s="38" t="s">
        <v>50</v>
      </c>
      <c r="G90" s="38" t="s">
        <v>49</v>
      </c>
      <c r="H90" s="38" t="s">
        <v>48</v>
      </c>
      <c r="I90" s="38" t="s">
        <v>47</v>
      </c>
      <c r="J90" s="38" t="s">
        <v>46</v>
      </c>
      <c r="K90" s="38" t="s">
        <v>45</v>
      </c>
      <c r="L90" s="38" t="s">
        <v>44</v>
      </c>
      <c r="M90" s="38" t="s">
        <v>43</v>
      </c>
      <c r="N90" s="38" t="s">
        <v>42</v>
      </c>
      <c r="O90" s="38" t="s">
        <v>41</v>
      </c>
      <c r="P90" s="38" t="s">
        <v>40</v>
      </c>
      <c r="Q90" s="38" t="s">
        <v>39</v>
      </c>
      <c r="R90" s="38" t="s">
        <v>38</v>
      </c>
      <c r="S90" s="38" t="s">
        <v>37</v>
      </c>
      <c r="T90" s="38" t="s">
        <v>36</v>
      </c>
      <c r="U90" s="38" t="s">
        <v>35</v>
      </c>
      <c r="V90" s="38" t="s">
        <v>34</v>
      </c>
      <c r="W90" s="38" t="s">
        <v>33</v>
      </c>
      <c r="X90" s="38" t="s">
        <v>32</v>
      </c>
      <c r="Y90" s="38" t="s">
        <v>31</v>
      </c>
      <c r="Z90" s="38" t="s">
        <v>30</v>
      </c>
      <c r="AA90" s="38" t="s">
        <v>29</v>
      </c>
      <c r="AB90" s="38" t="s">
        <v>28</v>
      </c>
      <c r="AC90" s="38" t="s">
        <v>27</v>
      </c>
      <c r="AD90" s="38" t="s">
        <v>26</v>
      </c>
      <c r="AE90" s="38" t="s">
        <v>25</v>
      </c>
      <c r="AF90" s="38" t="s">
        <v>24</v>
      </c>
      <c r="AG90" s="38" t="s">
        <v>23</v>
      </c>
      <c r="AH90" s="38" t="s">
        <v>22</v>
      </c>
      <c r="AI90" s="38" t="s">
        <v>21</v>
      </c>
      <c r="AJ90" s="38" t="s">
        <v>20</v>
      </c>
      <c r="AK90" s="38" t="s">
        <v>19</v>
      </c>
      <c r="AL90" s="38" t="s">
        <v>18</v>
      </c>
      <c r="AM90" s="38" t="s">
        <v>17</v>
      </c>
      <c r="AN90" s="38" t="s">
        <v>16</v>
      </c>
      <c r="AO90" s="38" t="s">
        <v>15</v>
      </c>
      <c r="AP90" s="38" t="s">
        <v>14</v>
      </c>
      <c r="AQ90" s="38" t="s">
        <v>13</v>
      </c>
      <c r="AR90" s="38" t="s">
        <v>12</v>
      </c>
      <c r="AS90" s="38" t="s">
        <v>11</v>
      </c>
      <c r="AT90" s="38" t="s">
        <v>10</v>
      </c>
      <c r="AU90" s="38" t="s">
        <v>9</v>
      </c>
      <c r="AV90" s="38" t="s">
        <v>8</v>
      </c>
    </row>
    <row r="91" spans="1:48" x14ac:dyDescent="0.15">
      <c r="A91" s="26">
        <v>0</v>
      </c>
      <c r="B91" s="26">
        <v>1</v>
      </c>
      <c r="C91" s="26"/>
      <c r="D91" s="35"/>
      <c r="E91" s="26">
        <v>26</v>
      </c>
      <c r="F91" s="26">
        <f>E91*S91</f>
        <v>154.18</v>
      </c>
      <c r="G91" s="26"/>
      <c r="H91" s="26"/>
      <c r="I91" s="26"/>
      <c r="J91" s="26"/>
      <c r="K91" s="26"/>
      <c r="L91" s="26"/>
      <c r="M91" s="26"/>
      <c r="N91" s="25">
        <v>4.9000000000000004</v>
      </c>
      <c r="O91" s="34"/>
      <c r="P91" s="34"/>
      <c r="Q91" s="26">
        <v>7.0000000000000007E-2</v>
      </c>
      <c r="R91" s="34">
        <v>7.0000000000000007E-2</v>
      </c>
      <c r="S91" s="34">
        <f t="shared" ref="S91:S121" si="18">6-R91+P91+I91</f>
        <v>5.93</v>
      </c>
      <c r="T91" s="32">
        <v>1.9</v>
      </c>
      <c r="U91" s="26">
        <f>T91*S91</f>
        <v>11.266999999999999</v>
      </c>
      <c r="V91" s="25"/>
      <c r="W91" s="33">
        <v>3.3000000000000002E-2</v>
      </c>
      <c r="X91" s="24">
        <v>0</v>
      </c>
      <c r="Y91" s="24">
        <v>0</v>
      </c>
      <c r="Z91" s="24">
        <v>0.03</v>
      </c>
      <c r="AA91" s="24">
        <v>0</v>
      </c>
      <c r="AB91" s="24">
        <v>0</v>
      </c>
      <c r="AC91" s="24">
        <v>0.02</v>
      </c>
      <c r="AD91" s="24">
        <v>0</v>
      </c>
      <c r="AE91" s="24">
        <v>0</v>
      </c>
      <c r="AF91" s="24">
        <v>0.42</v>
      </c>
      <c r="AG91" s="24">
        <v>0</v>
      </c>
      <c r="AH91" s="24">
        <v>0</v>
      </c>
      <c r="AI91" s="24">
        <v>0</v>
      </c>
      <c r="AJ91" s="24">
        <v>0</v>
      </c>
      <c r="AK91" s="24">
        <v>0.06</v>
      </c>
      <c r="AL91" s="24">
        <v>0.03</v>
      </c>
      <c r="AM91" s="24">
        <v>0.02</v>
      </c>
      <c r="AN91" s="24">
        <v>0</v>
      </c>
      <c r="AO91" s="24">
        <v>0</v>
      </c>
      <c r="AP91" s="24">
        <v>0</v>
      </c>
      <c r="AQ91" s="32">
        <v>0.06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</row>
    <row r="92" spans="1:48" x14ac:dyDescent="0.15">
      <c r="A92" s="26">
        <v>2</v>
      </c>
      <c r="B92" s="26"/>
      <c r="C92" s="26"/>
      <c r="D92" s="35"/>
      <c r="E92" s="26"/>
      <c r="F92" s="26"/>
      <c r="G92" s="26"/>
      <c r="H92" s="26"/>
      <c r="I92" s="26"/>
      <c r="J92" s="26"/>
      <c r="K92" s="26"/>
      <c r="L92" s="26"/>
      <c r="M92" s="26"/>
      <c r="N92" s="25">
        <v>3.5</v>
      </c>
      <c r="O92" s="34">
        <f t="shared" ref="O92:O121" si="19">N92+O91</f>
        <v>3.5</v>
      </c>
      <c r="P92" s="34">
        <f t="shared" ref="P92:P121" si="20">O92/0.91/1000</f>
        <v>3.8461538461538459E-3</v>
      </c>
      <c r="Q92" s="26"/>
      <c r="R92" s="34">
        <f t="shared" ref="R92:R121" si="21">Q92+R91</f>
        <v>7.0000000000000007E-2</v>
      </c>
      <c r="S92" s="34">
        <f t="shared" si="18"/>
        <v>5.9338461538461535</v>
      </c>
      <c r="T92" s="25"/>
      <c r="U92" s="26"/>
      <c r="V92" s="25"/>
      <c r="W92" s="33"/>
      <c r="X92" s="25"/>
      <c r="Y92" s="28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</row>
    <row r="93" spans="1:48" x14ac:dyDescent="0.15">
      <c r="A93" s="26">
        <v>4</v>
      </c>
      <c r="B93" s="26">
        <v>3.6</v>
      </c>
      <c r="C93" s="26">
        <f>(LN(B93)-LN(B91))/(A93-A91)</f>
        <v>0.32023346136551606</v>
      </c>
      <c r="D93" s="35"/>
      <c r="E93" s="26">
        <v>21</v>
      </c>
      <c r="F93" s="26">
        <f>E93*S93</f>
        <v>123.71769230769232</v>
      </c>
      <c r="G93" s="26"/>
      <c r="H93" s="26"/>
      <c r="I93" s="26"/>
      <c r="J93" s="26"/>
      <c r="K93" s="26"/>
      <c r="L93" s="26"/>
      <c r="M93" s="26">
        <f>(E91-E93)/4</f>
        <v>1.25</v>
      </c>
      <c r="N93" s="25">
        <v>25</v>
      </c>
      <c r="O93" s="34">
        <f t="shared" si="19"/>
        <v>28.5</v>
      </c>
      <c r="P93" s="34">
        <f t="shared" si="20"/>
        <v>3.1318681318681318E-2</v>
      </c>
      <c r="Q93" s="26">
        <v>7.0000000000000007E-2</v>
      </c>
      <c r="R93" s="34">
        <f t="shared" si="21"/>
        <v>0.14000000000000001</v>
      </c>
      <c r="S93" s="34">
        <f t="shared" si="18"/>
        <v>5.8913186813186815</v>
      </c>
      <c r="T93" s="36">
        <v>7</v>
      </c>
      <c r="U93" s="26">
        <f>T93*S93</f>
        <v>41.239230769230772</v>
      </c>
      <c r="V93" s="25"/>
      <c r="W93" s="33"/>
      <c r="X93" s="25"/>
      <c r="Y93" s="28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</row>
    <row r="94" spans="1:48" x14ac:dyDescent="0.15">
      <c r="A94" s="26">
        <v>6</v>
      </c>
      <c r="B94" s="26"/>
      <c r="C94" s="26"/>
      <c r="D94" s="35"/>
      <c r="E94" s="26"/>
      <c r="F94" s="26"/>
      <c r="G94" s="26"/>
      <c r="H94" s="26"/>
      <c r="I94" s="26"/>
      <c r="J94" s="26"/>
      <c r="K94" s="26"/>
      <c r="L94" s="26"/>
      <c r="M94" s="26"/>
      <c r="N94" s="25">
        <v>11.3</v>
      </c>
      <c r="O94" s="34">
        <f t="shared" si="19"/>
        <v>39.799999999999997</v>
      </c>
      <c r="P94" s="34">
        <f t="shared" si="20"/>
        <v>4.3736263736263728E-2</v>
      </c>
      <c r="Q94" s="26"/>
      <c r="R94" s="34">
        <f t="shared" si="21"/>
        <v>0.14000000000000001</v>
      </c>
      <c r="S94" s="34">
        <f t="shared" si="18"/>
        <v>5.9037362637362643</v>
      </c>
      <c r="T94" s="25"/>
      <c r="U94" s="26"/>
      <c r="V94" s="25"/>
      <c r="W94" s="33"/>
      <c r="X94" s="25"/>
      <c r="Y94" s="28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</row>
    <row r="95" spans="1:48" x14ac:dyDescent="0.15">
      <c r="A95" s="26">
        <v>8</v>
      </c>
      <c r="B95" s="26">
        <v>4.2</v>
      </c>
      <c r="C95" s="26">
        <f>(LN(B95)-LN(B93))/(A95-A93)</f>
        <v>3.8537669956814624E-2</v>
      </c>
      <c r="D95" s="35">
        <f>(W95*1.025*S95/S95-W91*1.025*S91/S91)/4</f>
        <v>2.690625E-2</v>
      </c>
      <c r="E95" s="26">
        <v>13.5</v>
      </c>
      <c r="F95" s="26">
        <f>E95*S95</f>
        <v>79.114450549450552</v>
      </c>
      <c r="G95" s="26"/>
      <c r="H95" s="26"/>
      <c r="I95" s="26"/>
      <c r="J95" s="26"/>
      <c r="K95" s="26"/>
      <c r="L95" s="26"/>
      <c r="M95" s="26">
        <f>(E93-E95)/4</f>
        <v>1.875</v>
      </c>
      <c r="N95" s="25">
        <v>24.2</v>
      </c>
      <c r="O95" s="34">
        <f t="shared" si="19"/>
        <v>64</v>
      </c>
      <c r="P95" s="34">
        <f t="shared" si="20"/>
        <v>7.0329670329670316E-2</v>
      </c>
      <c r="Q95" s="26">
        <v>7.0000000000000007E-2</v>
      </c>
      <c r="R95" s="34">
        <f t="shared" si="21"/>
        <v>0.21000000000000002</v>
      </c>
      <c r="S95" s="34">
        <f t="shared" si="18"/>
        <v>5.8603296703296701</v>
      </c>
      <c r="T95" s="25">
        <v>12.4</v>
      </c>
      <c r="U95" s="26">
        <f>T95*S95</f>
        <v>72.668087912087913</v>
      </c>
      <c r="V95" s="27">
        <v>0.41299999999999998</v>
      </c>
      <c r="W95" s="33">
        <v>0.13800000000000001</v>
      </c>
      <c r="X95" s="24">
        <v>0</v>
      </c>
      <c r="Y95" s="24"/>
      <c r="Z95" s="24">
        <v>0</v>
      </c>
      <c r="AA95" s="24">
        <v>0</v>
      </c>
      <c r="AB95" s="24">
        <v>0</v>
      </c>
      <c r="AC95" s="24">
        <v>0.04</v>
      </c>
      <c r="AD95" s="24">
        <v>0.03</v>
      </c>
      <c r="AE95" s="24">
        <v>0.02</v>
      </c>
      <c r="AF95" s="24">
        <v>0.39</v>
      </c>
      <c r="AG95" s="24"/>
      <c r="AH95" s="24"/>
      <c r="AI95" s="24">
        <v>0</v>
      </c>
      <c r="AJ95" s="24">
        <v>0</v>
      </c>
      <c r="AK95" s="24">
        <v>0.25</v>
      </c>
      <c r="AL95" s="24">
        <v>0.06</v>
      </c>
      <c r="AM95" s="24">
        <v>0</v>
      </c>
      <c r="AN95" s="24">
        <v>0</v>
      </c>
      <c r="AO95" s="24">
        <v>0</v>
      </c>
      <c r="AP95" s="24">
        <v>0</v>
      </c>
      <c r="AQ95" s="32">
        <v>0.15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</row>
    <row r="96" spans="1:48" x14ac:dyDescent="0.15">
      <c r="A96" s="26">
        <v>10</v>
      </c>
      <c r="B96" s="26"/>
      <c r="C96" s="26"/>
      <c r="D96" s="35"/>
      <c r="E96" s="26"/>
      <c r="F96" s="26"/>
      <c r="G96" s="26"/>
      <c r="H96" s="26"/>
      <c r="I96" s="26"/>
      <c r="J96" s="25">
        <v>180</v>
      </c>
      <c r="K96" s="26"/>
      <c r="L96" s="26"/>
      <c r="M96" s="26"/>
      <c r="N96" s="25">
        <v>22.9</v>
      </c>
      <c r="O96" s="34">
        <f t="shared" si="19"/>
        <v>86.9</v>
      </c>
      <c r="P96" s="34">
        <f t="shared" si="20"/>
        <v>9.5494505494505499E-2</v>
      </c>
      <c r="Q96" s="26"/>
      <c r="R96" s="34">
        <f t="shared" si="21"/>
        <v>0.21000000000000002</v>
      </c>
      <c r="S96" s="34">
        <f t="shared" si="18"/>
        <v>5.8854945054945054</v>
      </c>
      <c r="T96" s="25"/>
      <c r="U96" s="26"/>
      <c r="V96" s="25"/>
      <c r="W96" s="33"/>
      <c r="X96" s="25"/>
      <c r="Y96" s="28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</row>
    <row r="97" spans="1:48" x14ac:dyDescent="0.15">
      <c r="A97" s="26">
        <v>12</v>
      </c>
      <c r="B97" s="26">
        <v>4.9000000000000004</v>
      </c>
      <c r="C97" s="26">
        <f>(LN(B97)-LN(B95))/(A97-A95)</f>
        <v>3.8537669956814569E-2</v>
      </c>
      <c r="D97" s="35">
        <f>(W97*1.025*S97/S97-W93*1.025*S93/S93)/4</f>
        <v>4.1256249999999994E-2</v>
      </c>
      <c r="E97" s="26">
        <v>11</v>
      </c>
      <c r="F97" s="26">
        <f>E97*S97</f>
        <v>64.94907881181318</v>
      </c>
      <c r="G97" s="26">
        <v>88.7</v>
      </c>
      <c r="H97" s="26">
        <v>88.7</v>
      </c>
      <c r="I97" s="26">
        <f t="shared" ref="I97:I121" si="22">H97/1.28/1000</f>
        <v>6.9296874999999994E-2</v>
      </c>
      <c r="J97" s="25">
        <v>233.22</v>
      </c>
      <c r="K97" s="26">
        <f>(J97-J96)/S97/2</f>
        <v>4.5067613791430832</v>
      </c>
      <c r="L97" s="26">
        <f>K97*S97</f>
        <v>26.61</v>
      </c>
      <c r="M97" s="26">
        <f>(E95*S95+G97*0.6-E97*S97)/S97/4</f>
        <v>2.8531547432016526</v>
      </c>
      <c r="N97" s="25">
        <v>17.899999999999999</v>
      </c>
      <c r="O97" s="34">
        <f t="shared" si="19"/>
        <v>104.80000000000001</v>
      </c>
      <c r="P97" s="34">
        <f t="shared" si="20"/>
        <v>0.11516483516483517</v>
      </c>
      <c r="Q97" s="26">
        <v>7.0000000000000007E-2</v>
      </c>
      <c r="R97" s="34">
        <f t="shared" si="21"/>
        <v>0.28000000000000003</v>
      </c>
      <c r="S97" s="34">
        <f t="shared" si="18"/>
        <v>5.9044617101648349</v>
      </c>
      <c r="T97" s="25">
        <v>18.899999999999999</v>
      </c>
      <c r="U97" s="26">
        <f>T97*S97</f>
        <v>111.59432632211536</v>
      </c>
      <c r="V97" s="27">
        <v>0.48599999999999999</v>
      </c>
      <c r="W97" s="33">
        <v>0.161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0.04</v>
      </c>
      <c r="AD97" s="24">
        <v>0.03</v>
      </c>
      <c r="AE97" s="24">
        <v>7.0000000000000007E-2</v>
      </c>
      <c r="AF97" s="24">
        <v>0.39</v>
      </c>
      <c r="AG97" s="24">
        <v>0</v>
      </c>
      <c r="AH97" s="24">
        <v>0</v>
      </c>
      <c r="AI97" s="24">
        <v>0</v>
      </c>
      <c r="AJ97" s="24">
        <v>0</v>
      </c>
      <c r="AK97" s="24">
        <v>0.34</v>
      </c>
      <c r="AL97" s="24">
        <v>0.09</v>
      </c>
      <c r="AM97" s="24">
        <v>0</v>
      </c>
      <c r="AN97" s="24">
        <v>0</v>
      </c>
      <c r="AO97" s="24">
        <v>0</v>
      </c>
      <c r="AP97" s="24">
        <v>0</v>
      </c>
      <c r="AQ97" s="32">
        <v>0.22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</row>
    <row r="98" spans="1:48" x14ac:dyDescent="0.15">
      <c r="A98" s="26">
        <v>14</v>
      </c>
      <c r="B98" s="26"/>
      <c r="C98" s="26"/>
      <c r="D98" s="35"/>
      <c r="E98" s="26"/>
      <c r="F98" s="26"/>
      <c r="G98" s="26">
        <v>81</v>
      </c>
      <c r="H98" s="26">
        <v>169.7</v>
      </c>
      <c r="I98" s="26">
        <f t="shared" si="22"/>
        <v>0.13257812499999999</v>
      </c>
      <c r="J98" s="25">
        <v>281.82</v>
      </c>
      <c r="K98" s="26">
        <f>(J98-J97)/S98/2</f>
        <v>4.0575457764503948</v>
      </c>
      <c r="L98" s="26">
        <f>K98*S98</f>
        <v>24.299999999999997</v>
      </c>
      <c r="M98" s="26"/>
      <c r="N98" s="25">
        <v>19.2</v>
      </c>
      <c r="O98" s="34">
        <f t="shared" si="19"/>
        <v>124.00000000000001</v>
      </c>
      <c r="P98" s="34">
        <f t="shared" si="20"/>
        <v>0.13626373626373625</v>
      </c>
      <c r="Q98" s="26"/>
      <c r="R98" s="34">
        <f t="shared" si="21"/>
        <v>0.28000000000000003</v>
      </c>
      <c r="S98" s="34">
        <f t="shared" si="18"/>
        <v>5.9888418612637366</v>
      </c>
      <c r="T98" s="25"/>
      <c r="U98" s="26"/>
      <c r="V98" s="25"/>
      <c r="W98" s="33"/>
      <c r="X98" s="25"/>
      <c r="Y98" s="28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</row>
    <row r="99" spans="1:48" x14ac:dyDescent="0.15">
      <c r="A99" s="26">
        <v>16</v>
      </c>
      <c r="B99" s="26">
        <v>6.6</v>
      </c>
      <c r="C99" s="26">
        <f>(LN(B99)-LN(B97))/(A99-A97)</f>
        <v>7.445861097894968E-2</v>
      </c>
      <c r="D99" s="35">
        <f>(W99*1.025*S99/S99-W95*1.025*S95/S95)/4</f>
        <v>1.9987499999999998E-2</v>
      </c>
      <c r="E99" s="26">
        <v>14.5</v>
      </c>
      <c r="F99" s="26">
        <f>E99*S99</f>
        <v>86.806276614010983</v>
      </c>
      <c r="G99" s="26">
        <v>60.9</v>
      </c>
      <c r="H99" s="26">
        <v>230.6</v>
      </c>
      <c r="I99" s="26">
        <f t="shared" si="22"/>
        <v>0.18015624999999999</v>
      </c>
      <c r="J99" s="25">
        <v>318.36</v>
      </c>
      <c r="K99" s="26">
        <f>(J99-J98)/S99/2</f>
        <v>3.0517954499760389</v>
      </c>
      <c r="L99" s="26">
        <f>K99*S99</f>
        <v>18.27000000000001</v>
      </c>
      <c r="M99" s="26">
        <f>(E97*S97+G98*0.6+G99*0.6-E99*S99)/S99/4</f>
        <v>2.64266786821273</v>
      </c>
      <c r="N99" s="25">
        <v>18.399999999999999</v>
      </c>
      <c r="O99" s="34">
        <f t="shared" si="19"/>
        <v>142.4</v>
      </c>
      <c r="P99" s="34">
        <f t="shared" si="20"/>
        <v>0.15648351648351649</v>
      </c>
      <c r="Q99" s="26">
        <v>7.0000000000000007E-2</v>
      </c>
      <c r="R99" s="34">
        <f t="shared" si="21"/>
        <v>0.35000000000000003</v>
      </c>
      <c r="S99" s="34">
        <f t="shared" si="18"/>
        <v>5.986639766483516</v>
      </c>
      <c r="T99" s="25">
        <v>22</v>
      </c>
      <c r="U99" s="26">
        <f>T99*S99</f>
        <v>131.70607486263737</v>
      </c>
      <c r="V99" s="27">
        <v>0.41499999999999998</v>
      </c>
      <c r="W99" s="33">
        <v>0.216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0.02</v>
      </c>
      <c r="AD99" s="24">
        <v>0.04</v>
      </c>
      <c r="AE99" s="24">
        <v>0.03</v>
      </c>
      <c r="AF99" s="24">
        <v>0.37</v>
      </c>
      <c r="AG99" s="24">
        <v>0</v>
      </c>
      <c r="AH99" s="24">
        <v>0</v>
      </c>
      <c r="AI99" s="24">
        <v>0</v>
      </c>
      <c r="AJ99" s="24">
        <v>0</v>
      </c>
      <c r="AK99" s="24">
        <v>0.5</v>
      </c>
      <c r="AL99" s="24">
        <v>0.12</v>
      </c>
      <c r="AM99" s="24">
        <v>0</v>
      </c>
      <c r="AN99" s="24">
        <v>0</v>
      </c>
      <c r="AO99" s="24">
        <v>0</v>
      </c>
      <c r="AP99" s="24">
        <v>0</v>
      </c>
      <c r="AQ99" s="32">
        <v>0.3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</row>
    <row r="100" spans="1:48" x14ac:dyDescent="0.15">
      <c r="A100" s="26">
        <v>18</v>
      </c>
      <c r="B100" s="26"/>
      <c r="C100" s="26"/>
      <c r="D100" s="35"/>
      <c r="E100" s="26"/>
      <c r="F100" s="26"/>
      <c r="G100" s="26">
        <v>0</v>
      </c>
      <c r="H100" s="26">
        <v>230.6</v>
      </c>
      <c r="I100" s="26">
        <f t="shared" si="22"/>
        <v>0.18015624999999999</v>
      </c>
      <c r="J100" s="25">
        <v>318.36</v>
      </c>
      <c r="K100" s="26"/>
      <c r="L100" s="26"/>
      <c r="M100" s="26"/>
      <c r="N100" s="25">
        <v>15.8</v>
      </c>
      <c r="O100" s="34">
        <f t="shared" si="19"/>
        <v>158.20000000000002</v>
      </c>
      <c r="P100" s="34">
        <f t="shared" si="20"/>
        <v>0.17384615384615387</v>
      </c>
      <c r="Q100" s="26"/>
      <c r="R100" s="34">
        <f t="shared" si="21"/>
        <v>0.35000000000000003</v>
      </c>
      <c r="S100" s="34">
        <f t="shared" si="18"/>
        <v>6.0040024038461537</v>
      </c>
      <c r="T100" s="25"/>
      <c r="U100" s="26"/>
      <c r="V100" s="25"/>
      <c r="W100" s="33"/>
      <c r="X100" s="25"/>
      <c r="Y100" s="2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</row>
    <row r="101" spans="1:48" x14ac:dyDescent="0.15">
      <c r="A101" s="26">
        <v>20</v>
      </c>
      <c r="B101" s="26">
        <v>7.3</v>
      </c>
      <c r="C101" s="26">
        <f>(LN(B101)-LN(B99))/(A101-A99)</f>
        <v>2.5201174780491442E-2</v>
      </c>
      <c r="D101" s="35">
        <f>(W101*1.025*S101/S101-W97*1.025*S97/S97)/4</f>
        <v>1.9987500000000005E-2</v>
      </c>
      <c r="E101" s="26">
        <v>7.5</v>
      </c>
      <c r="F101" s="26">
        <f>E101*S101</f>
        <v>44.841854824862637</v>
      </c>
      <c r="G101" s="26">
        <v>34.700000000000003</v>
      </c>
      <c r="H101" s="26">
        <v>265.3</v>
      </c>
      <c r="I101" s="26">
        <f t="shared" si="22"/>
        <v>0.20726562500000001</v>
      </c>
      <c r="J101" s="25">
        <v>339.18</v>
      </c>
      <c r="K101" s="26">
        <f>(J101-J99)/S101/4</f>
        <v>0.87055943944485503</v>
      </c>
      <c r="L101" s="26">
        <f>K101*S101</f>
        <v>5.2049999999999983</v>
      </c>
      <c r="M101" s="26">
        <f>(E99*S99+G100*0.6+G101*0.6-E101*S101)/S101/4</f>
        <v>2.6252435657363273</v>
      </c>
      <c r="N101" s="25">
        <v>16.2</v>
      </c>
      <c r="O101" s="34">
        <f t="shared" si="19"/>
        <v>174.4</v>
      </c>
      <c r="P101" s="34">
        <f t="shared" si="20"/>
        <v>0.19164835164835164</v>
      </c>
      <c r="Q101" s="26">
        <v>7.0000000000000007E-2</v>
      </c>
      <c r="R101" s="34">
        <f t="shared" si="21"/>
        <v>0.42000000000000004</v>
      </c>
      <c r="S101" s="34">
        <f t="shared" si="18"/>
        <v>5.9789139766483519</v>
      </c>
      <c r="T101" s="25">
        <v>29.5</v>
      </c>
      <c r="U101" s="26">
        <f>T101*S101</f>
        <v>176.37796231112637</v>
      </c>
      <c r="V101" s="27">
        <v>0.52200000000000002</v>
      </c>
      <c r="W101" s="33">
        <v>0.23899999999999999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0.03</v>
      </c>
      <c r="AD101" s="24">
        <v>0.05</v>
      </c>
      <c r="AE101" s="24">
        <v>0.05</v>
      </c>
      <c r="AF101" s="24">
        <v>0.37</v>
      </c>
      <c r="AG101" s="24">
        <v>0</v>
      </c>
      <c r="AH101" s="24">
        <v>0</v>
      </c>
      <c r="AI101" s="24">
        <v>0</v>
      </c>
      <c r="AJ101" s="24">
        <v>0</v>
      </c>
      <c r="AK101" s="24">
        <v>0.61</v>
      </c>
      <c r="AL101" s="24">
        <v>0.12</v>
      </c>
      <c r="AM101" s="24">
        <v>0</v>
      </c>
      <c r="AN101" s="24">
        <v>0</v>
      </c>
      <c r="AO101" s="24">
        <v>0</v>
      </c>
      <c r="AP101" s="24">
        <v>0</v>
      </c>
      <c r="AQ101" s="32">
        <v>0.37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</row>
    <row r="102" spans="1:48" x14ac:dyDescent="0.15">
      <c r="A102" s="26">
        <v>22</v>
      </c>
      <c r="B102" s="26"/>
      <c r="C102" s="26"/>
      <c r="D102" s="35"/>
      <c r="E102" s="26"/>
      <c r="F102" s="26"/>
      <c r="G102" s="26">
        <v>57.1</v>
      </c>
      <c r="H102" s="26">
        <v>322.39999999999998</v>
      </c>
      <c r="I102" s="26">
        <f t="shared" si="22"/>
        <v>0.25187499999999996</v>
      </c>
      <c r="J102" s="25">
        <v>373.44</v>
      </c>
      <c r="K102" s="26">
        <f>(J102-J101)/S102/2</f>
        <v>2.8349547669466233</v>
      </c>
      <c r="L102" s="26">
        <f>K102*S102</f>
        <v>17.129999999999995</v>
      </c>
      <c r="M102" s="26"/>
      <c r="N102" s="25">
        <v>17.2</v>
      </c>
      <c r="O102" s="34">
        <f t="shared" si="19"/>
        <v>191.6</v>
      </c>
      <c r="P102" s="34">
        <f t="shared" si="20"/>
        <v>0.21054945054945054</v>
      </c>
      <c r="Q102" s="26"/>
      <c r="R102" s="34">
        <f t="shared" si="21"/>
        <v>0.42000000000000004</v>
      </c>
      <c r="S102" s="34">
        <f t="shared" si="18"/>
        <v>6.0424244505494507</v>
      </c>
      <c r="T102" s="25"/>
      <c r="U102" s="26"/>
      <c r="V102" s="25"/>
      <c r="W102" s="33"/>
      <c r="X102" s="25"/>
      <c r="Y102" s="2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</row>
    <row r="103" spans="1:48" x14ac:dyDescent="0.15">
      <c r="A103" s="26">
        <v>24</v>
      </c>
      <c r="B103" s="26">
        <v>7.5</v>
      </c>
      <c r="C103" s="26">
        <f>(LN(B103)-LN(B101))/(A103-A101)</f>
        <v>6.7571680969797931E-3</v>
      </c>
      <c r="D103" s="35">
        <f>(W103*1.025*S103/S103-W99*1.025*S99/S99)/4</f>
        <v>7.1750000000000008E-3</v>
      </c>
      <c r="E103" s="26">
        <v>10</v>
      </c>
      <c r="F103" s="26">
        <f>E103*S103</f>
        <v>60.252232142857139</v>
      </c>
      <c r="G103" s="26">
        <v>50</v>
      </c>
      <c r="H103" s="26">
        <v>372.4</v>
      </c>
      <c r="I103" s="26">
        <f t="shared" si="22"/>
        <v>0.29093750000000002</v>
      </c>
      <c r="J103" s="25">
        <v>403.44</v>
      </c>
      <c r="K103" s="26">
        <f>(J103-J102)/S103/2</f>
        <v>2.4895343237135554</v>
      </c>
      <c r="L103" s="26">
        <f>K103*S103</f>
        <v>15</v>
      </c>
      <c r="M103" s="26">
        <f>(E101*S101+G102*0.6+G103*0.6-E103*S103)/S103/4</f>
        <v>2.0268802061218154</v>
      </c>
      <c r="N103" s="25">
        <v>12.5</v>
      </c>
      <c r="O103" s="34">
        <f t="shared" si="19"/>
        <v>204.1</v>
      </c>
      <c r="P103" s="34">
        <f t="shared" si="20"/>
        <v>0.22428571428571428</v>
      </c>
      <c r="Q103" s="26">
        <v>7.0000000000000007E-2</v>
      </c>
      <c r="R103" s="34">
        <f t="shared" si="21"/>
        <v>0.49000000000000005</v>
      </c>
      <c r="S103" s="34">
        <f t="shared" si="18"/>
        <v>6.0252232142857141</v>
      </c>
      <c r="T103" s="25">
        <v>34</v>
      </c>
      <c r="U103" s="26">
        <f>T103*S103</f>
        <v>204.85758928571428</v>
      </c>
      <c r="V103" s="27">
        <v>0.50600000000000001</v>
      </c>
      <c r="W103" s="33">
        <v>0.24399999999999999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0.02</v>
      </c>
      <c r="AD103" s="24">
        <v>7.0000000000000007E-2</v>
      </c>
      <c r="AE103" s="24">
        <v>0</v>
      </c>
      <c r="AF103" s="24">
        <v>0.38</v>
      </c>
      <c r="AG103" s="24">
        <v>0</v>
      </c>
      <c r="AH103" s="24">
        <v>0</v>
      </c>
      <c r="AI103" s="24">
        <v>0</v>
      </c>
      <c r="AJ103" s="24">
        <v>0</v>
      </c>
      <c r="AK103" s="24">
        <v>0.71</v>
      </c>
      <c r="AL103" s="24">
        <v>0.15</v>
      </c>
      <c r="AM103" s="24">
        <v>0.01</v>
      </c>
      <c r="AN103" s="24">
        <v>0</v>
      </c>
      <c r="AO103" s="24">
        <v>0</v>
      </c>
      <c r="AP103" s="24">
        <v>0</v>
      </c>
      <c r="AQ103" s="32">
        <v>0.42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</row>
    <row r="104" spans="1:48" x14ac:dyDescent="0.15">
      <c r="A104" s="26">
        <v>26</v>
      </c>
      <c r="B104" s="26"/>
      <c r="C104" s="26"/>
      <c r="D104" s="35"/>
      <c r="E104" s="26"/>
      <c r="F104" s="26"/>
      <c r="G104" s="26">
        <v>63</v>
      </c>
      <c r="H104" s="26">
        <v>435.4</v>
      </c>
      <c r="I104" s="26">
        <f t="shared" si="22"/>
        <v>0.34015624999999999</v>
      </c>
      <c r="J104" s="25">
        <v>441.24</v>
      </c>
      <c r="K104" s="26">
        <f>(J104-J103)/S104/2</f>
        <v>3.1033686533083622</v>
      </c>
      <c r="L104" s="26">
        <f>K104*S104</f>
        <v>18.900000000000006</v>
      </c>
      <c r="M104" s="26"/>
      <c r="N104" s="25">
        <v>14.3</v>
      </c>
      <c r="O104" s="34">
        <f t="shared" si="19"/>
        <v>218.4</v>
      </c>
      <c r="P104" s="34">
        <f t="shared" si="20"/>
        <v>0.24</v>
      </c>
      <c r="Q104" s="26"/>
      <c r="R104" s="34">
        <f t="shared" si="21"/>
        <v>0.49000000000000005</v>
      </c>
      <c r="S104" s="34">
        <f t="shared" si="18"/>
        <v>6.0901562499999997</v>
      </c>
      <c r="T104" s="25"/>
      <c r="U104" s="26"/>
      <c r="V104" s="25"/>
      <c r="W104" s="33"/>
      <c r="X104" s="25"/>
      <c r="Y104" s="2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</row>
    <row r="105" spans="1:48" s="31" customFormat="1" x14ac:dyDescent="0.15">
      <c r="A105" s="26">
        <v>28</v>
      </c>
      <c r="B105" s="26">
        <v>8</v>
      </c>
      <c r="C105" s="26">
        <f>(LN(B105)-LN(B103))/(A105-A103)</f>
        <v>1.613463028439277E-2</v>
      </c>
      <c r="D105" s="35">
        <f>(W105*1.025*S105/S105-W101*1.025*S101/S101)/4</f>
        <v>5.8937500000000032E-3</v>
      </c>
      <c r="E105" s="26">
        <v>12</v>
      </c>
      <c r="F105" s="26">
        <f>E105*S105</f>
        <v>72.913021978021973</v>
      </c>
      <c r="G105" s="26">
        <v>52.6</v>
      </c>
      <c r="H105" s="26">
        <v>488</v>
      </c>
      <c r="I105" s="26">
        <f t="shared" si="22"/>
        <v>0.38124999999999998</v>
      </c>
      <c r="J105" s="25">
        <v>472.8</v>
      </c>
      <c r="K105" s="26">
        <f>(J105-J104)/S105/2</f>
        <v>2.5970669554346331</v>
      </c>
      <c r="L105" s="26">
        <f>K105*S105</f>
        <v>15.780000000000001</v>
      </c>
      <c r="M105" s="26">
        <f>(E103*S103+G104*0.6+G105*0.6-E105*S105)/S105/4</f>
        <v>2.3328841115072372</v>
      </c>
      <c r="N105" s="25">
        <v>13.5</v>
      </c>
      <c r="O105" s="34">
        <f t="shared" si="19"/>
        <v>231.9</v>
      </c>
      <c r="P105" s="34">
        <f t="shared" si="20"/>
        <v>0.25483516483516483</v>
      </c>
      <c r="Q105" s="26">
        <v>7.0000000000000007E-2</v>
      </c>
      <c r="R105" s="34">
        <f t="shared" si="21"/>
        <v>0.56000000000000005</v>
      </c>
      <c r="S105" s="34">
        <f t="shared" si="18"/>
        <v>6.0760851648351641</v>
      </c>
      <c r="T105" s="25">
        <v>39.799999999999997</v>
      </c>
      <c r="U105" s="26">
        <f>T105*S105</f>
        <v>241.82818956043951</v>
      </c>
      <c r="V105" s="27">
        <v>0.505</v>
      </c>
      <c r="W105" s="33">
        <v>0.26200000000000001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0.02</v>
      </c>
      <c r="AD105" s="24">
        <v>0.12</v>
      </c>
      <c r="AE105" s="24">
        <v>0.03</v>
      </c>
      <c r="AF105" s="24">
        <v>0.39</v>
      </c>
      <c r="AG105" s="24">
        <v>0</v>
      </c>
      <c r="AH105" s="24">
        <v>0</v>
      </c>
      <c r="AI105" s="24">
        <v>0</v>
      </c>
      <c r="AJ105" s="24">
        <v>0.03</v>
      </c>
      <c r="AK105" s="24">
        <v>0.82</v>
      </c>
      <c r="AL105" s="24">
        <v>0.17</v>
      </c>
      <c r="AM105" s="24">
        <v>0.02</v>
      </c>
      <c r="AN105" s="24">
        <v>0</v>
      </c>
      <c r="AO105" s="24">
        <v>0</v>
      </c>
      <c r="AP105" s="24">
        <v>0</v>
      </c>
      <c r="AQ105" s="32">
        <v>0.49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</row>
    <row r="106" spans="1:48" s="31" customFormat="1" x14ac:dyDescent="0.15">
      <c r="A106" s="26">
        <v>30</v>
      </c>
      <c r="B106" s="26"/>
      <c r="C106" s="26"/>
      <c r="D106" s="35"/>
      <c r="E106" s="26"/>
      <c r="F106" s="26"/>
      <c r="G106" s="26">
        <v>0</v>
      </c>
      <c r="H106" s="26">
        <v>488</v>
      </c>
      <c r="I106" s="26">
        <f t="shared" si="22"/>
        <v>0.38124999999999998</v>
      </c>
      <c r="J106" s="25">
        <v>472.8</v>
      </c>
      <c r="K106" s="26"/>
      <c r="L106" s="26"/>
      <c r="M106" s="26"/>
      <c r="N106" s="25">
        <v>14</v>
      </c>
      <c r="O106" s="34">
        <f t="shared" si="19"/>
        <v>245.9</v>
      </c>
      <c r="P106" s="34">
        <f t="shared" si="20"/>
        <v>0.27021978021978021</v>
      </c>
      <c r="Q106" s="26"/>
      <c r="R106" s="34">
        <f t="shared" si="21"/>
        <v>0.56000000000000005</v>
      </c>
      <c r="S106" s="34">
        <f t="shared" si="18"/>
        <v>6.0914697802197795</v>
      </c>
      <c r="T106" s="25"/>
      <c r="U106" s="26"/>
      <c r="V106" s="25"/>
      <c r="W106" s="33"/>
      <c r="X106" s="25"/>
      <c r="Y106" s="2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31" customFormat="1" x14ac:dyDescent="0.15">
      <c r="A107" s="26">
        <v>32</v>
      </c>
      <c r="B107" s="26">
        <v>9.4</v>
      </c>
      <c r="C107" s="26">
        <f>(LN(B107)-LN(B105))/(A107-A105)</f>
        <v>4.0317036899030656E-2</v>
      </c>
      <c r="D107" s="35">
        <f>(W107*1.025*S107/S107-W103*1.025*S103/S103)/4</f>
        <v>1.6143749999999998E-2</v>
      </c>
      <c r="E107" s="26">
        <v>8</v>
      </c>
      <c r="F107" s="26">
        <f>E107*S107</f>
        <v>48.569532967032963</v>
      </c>
      <c r="G107" s="26">
        <v>50</v>
      </c>
      <c r="H107" s="26">
        <v>538</v>
      </c>
      <c r="I107" s="26">
        <f t="shared" si="22"/>
        <v>0.42031249999999998</v>
      </c>
      <c r="J107" s="25">
        <v>502.8</v>
      </c>
      <c r="K107" s="26">
        <f>(J107-J105)/S107/4</f>
        <v>1.2353423295366166</v>
      </c>
      <c r="L107" s="26">
        <f t="shared" ref="L107:L121" si="23">K107*S107</f>
        <v>7.5</v>
      </c>
      <c r="M107" s="26">
        <f>(E105*S105+G106*0.6+G107*0.6-E107*S107)/S107/4</f>
        <v>2.2377604103327564</v>
      </c>
      <c r="N107" s="25">
        <v>9.6999999999999993</v>
      </c>
      <c r="O107" s="34">
        <f t="shared" si="19"/>
        <v>255.6</v>
      </c>
      <c r="P107" s="34">
        <f t="shared" si="20"/>
        <v>0.28087912087912087</v>
      </c>
      <c r="Q107" s="26">
        <v>7.0000000000000007E-2</v>
      </c>
      <c r="R107" s="34">
        <f t="shared" si="21"/>
        <v>0.63000000000000012</v>
      </c>
      <c r="S107" s="34">
        <f t="shared" si="18"/>
        <v>6.0711916208791203</v>
      </c>
      <c r="T107" s="25">
        <v>45.9</v>
      </c>
      <c r="U107" s="26">
        <f>T107*S107</f>
        <v>278.66769539835161</v>
      </c>
      <c r="V107" s="27">
        <v>0.54800000000000004</v>
      </c>
      <c r="W107" s="33">
        <v>0.307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0.02</v>
      </c>
      <c r="AD107" s="24">
        <v>0.17</v>
      </c>
      <c r="AE107" s="24">
        <v>0.03</v>
      </c>
      <c r="AF107" s="24">
        <v>0.41</v>
      </c>
      <c r="AG107" s="24">
        <v>0</v>
      </c>
      <c r="AH107" s="24">
        <v>0</v>
      </c>
      <c r="AI107" s="24">
        <v>0</v>
      </c>
      <c r="AJ107" s="24">
        <v>0.04</v>
      </c>
      <c r="AK107" s="24">
        <v>0.93</v>
      </c>
      <c r="AL107" s="24">
        <v>0.21</v>
      </c>
      <c r="AM107" s="24">
        <v>0.02</v>
      </c>
      <c r="AN107" s="24">
        <v>0</v>
      </c>
      <c r="AO107" s="24">
        <v>0</v>
      </c>
      <c r="AP107" s="24">
        <v>0</v>
      </c>
      <c r="AQ107" s="32">
        <v>0.55000000000000004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</row>
    <row r="108" spans="1:48" s="31" customFormat="1" x14ac:dyDescent="0.15">
      <c r="A108" s="26">
        <v>34</v>
      </c>
      <c r="B108" s="26"/>
      <c r="C108" s="26"/>
      <c r="D108" s="35"/>
      <c r="E108" s="26"/>
      <c r="F108" s="26"/>
      <c r="G108" s="26">
        <v>51</v>
      </c>
      <c r="H108" s="26">
        <v>589</v>
      </c>
      <c r="I108" s="26">
        <f t="shared" si="22"/>
        <v>0.46015624999999999</v>
      </c>
      <c r="J108" s="25">
        <v>533.4</v>
      </c>
      <c r="K108" s="26">
        <f t="shared" ref="K108:K121" si="24">(J108-J107)/S108/2</f>
        <v>2.5007444094917304</v>
      </c>
      <c r="L108" s="26">
        <f t="shared" si="23"/>
        <v>15.299999999999981</v>
      </c>
      <c r="M108" s="26"/>
      <c r="N108" s="25">
        <v>6.5</v>
      </c>
      <c r="O108" s="34">
        <f t="shared" si="19"/>
        <v>262.10000000000002</v>
      </c>
      <c r="P108" s="34">
        <f t="shared" si="20"/>
        <v>0.28802197802197804</v>
      </c>
      <c r="Q108" s="26"/>
      <c r="R108" s="34">
        <f t="shared" si="21"/>
        <v>0.63000000000000012</v>
      </c>
      <c r="S108" s="34">
        <f t="shared" si="18"/>
        <v>6.1181782280219776</v>
      </c>
      <c r="T108" s="25"/>
      <c r="U108" s="26"/>
      <c r="V108" s="25"/>
      <c r="W108" s="33"/>
      <c r="X108" s="25"/>
      <c r="Y108" s="2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31" customFormat="1" x14ac:dyDescent="0.15">
      <c r="A109" s="26">
        <v>36</v>
      </c>
      <c r="B109" s="26">
        <v>9.1999999999999993</v>
      </c>
      <c r="C109" s="26">
        <f>(LN(B109)-LN(B107))/(A109-A107)</f>
        <v>-5.3765513052409508E-3</v>
      </c>
      <c r="D109" s="35">
        <f>(W109*1.025*S109/S109-W105*1.025*S105/S105)/4</f>
        <v>9.7374999999999823E-3</v>
      </c>
      <c r="E109" s="26">
        <v>8.5</v>
      </c>
      <c r="F109" s="26">
        <f>E109*S109</f>
        <v>51.896805460164835</v>
      </c>
      <c r="G109" s="26">
        <v>52</v>
      </c>
      <c r="H109" s="26">
        <v>641</v>
      </c>
      <c r="I109" s="26">
        <f t="shared" si="22"/>
        <v>0.50078124999999996</v>
      </c>
      <c r="J109" s="25">
        <v>564.6</v>
      </c>
      <c r="K109" s="26">
        <f t="shared" si="24"/>
        <v>2.5550705640597058</v>
      </c>
      <c r="L109" s="26">
        <f t="shared" si="23"/>
        <v>15.600000000000023</v>
      </c>
      <c r="M109" s="26">
        <f>(E107*S107+G108*0.6+G109*0.6-E109*S109)/S109/4</f>
        <v>2.3942619367481219</v>
      </c>
      <c r="N109" s="25">
        <v>15.2</v>
      </c>
      <c r="O109" s="34">
        <f t="shared" si="19"/>
        <v>277.3</v>
      </c>
      <c r="P109" s="34">
        <f t="shared" si="20"/>
        <v>0.30472527472527472</v>
      </c>
      <c r="Q109" s="26">
        <v>7.0000000000000007E-2</v>
      </c>
      <c r="R109" s="34">
        <f t="shared" si="21"/>
        <v>0.70000000000000018</v>
      </c>
      <c r="S109" s="34">
        <f t="shared" si="18"/>
        <v>6.1055065247252749</v>
      </c>
      <c r="T109" s="25">
        <v>50.3</v>
      </c>
      <c r="U109" s="26">
        <f>T109*S109</f>
        <v>307.1069781936813</v>
      </c>
      <c r="V109" s="27">
        <v>0.53500000000000003</v>
      </c>
      <c r="W109" s="33">
        <v>0.3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0.02</v>
      </c>
      <c r="AD109" s="24">
        <v>0.21</v>
      </c>
      <c r="AE109" s="24">
        <v>0.03</v>
      </c>
      <c r="AF109" s="24">
        <v>0.42</v>
      </c>
      <c r="AG109" s="24">
        <v>0</v>
      </c>
      <c r="AH109" s="24">
        <v>0</v>
      </c>
      <c r="AI109" s="24">
        <v>0</v>
      </c>
      <c r="AJ109" s="24">
        <v>0.05</v>
      </c>
      <c r="AK109" s="24">
        <v>0.97</v>
      </c>
      <c r="AL109" s="24">
        <v>0.22</v>
      </c>
      <c r="AM109" s="24">
        <v>0.03</v>
      </c>
      <c r="AN109" s="24">
        <v>0</v>
      </c>
      <c r="AO109" s="24">
        <v>0</v>
      </c>
      <c r="AP109" s="24">
        <v>0</v>
      </c>
      <c r="AQ109" s="32">
        <v>0.57999999999999996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</row>
    <row r="110" spans="1:48" s="31" customFormat="1" x14ac:dyDescent="0.15">
      <c r="A110" s="26">
        <v>38</v>
      </c>
      <c r="B110" s="26"/>
      <c r="C110" s="26"/>
      <c r="D110" s="35"/>
      <c r="E110" s="26"/>
      <c r="F110" s="26"/>
      <c r="G110" s="26">
        <v>71.099999999999994</v>
      </c>
      <c r="H110" s="26">
        <v>712.1</v>
      </c>
      <c r="I110" s="26">
        <f t="shared" si="22"/>
        <v>0.55632812499999995</v>
      </c>
      <c r="J110" s="25">
        <v>607.26</v>
      </c>
      <c r="K110" s="26">
        <f t="shared" si="24"/>
        <v>3.4550450445814991</v>
      </c>
      <c r="L110" s="26">
        <f t="shared" si="23"/>
        <v>21.329999999999984</v>
      </c>
      <c r="M110" s="26"/>
      <c r="N110" s="25">
        <v>11.4</v>
      </c>
      <c r="O110" s="34">
        <f t="shared" si="19"/>
        <v>288.7</v>
      </c>
      <c r="P110" s="34">
        <f t="shared" si="20"/>
        <v>0.31725274725274721</v>
      </c>
      <c r="Q110" s="26"/>
      <c r="R110" s="34">
        <f t="shared" si="21"/>
        <v>0.70000000000000018</v>
      </c>
      <c r="S110" s="34">
        <f t="shared" si="18"/>
        <v>6.1735808722527477</v>
      </c>
      <c r="T110" s="25"/>
      <c r="U110" s="26"/>
      <c r="V110" s="25"/>
      <c r="W110" s="33"/>
      <c r="X110" s="25"/>
      <c r="Y110" s="2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31" customFormat="1" x14ac:dyDescent="0.15">
      <c r="A111" s="26">
        <v>40</v>
      </c>
      <c r="B111" s="26">
        <v>8.8000000000000007</v>
      </c>
      <c r="C111" s="26">
        <f>(LN(B111)-LN(B109))/(A111-A109)</f>
        <v>-1.1112940642708402E-2</v>
      </c>
      <c r="D111" s="35">
        <f>(W111*1.025*S111/S111-W107*1.025*S107/S107)/4</f>
        <v>-4.868750000000005E-3</v>
      </c>
      <c r="E111" s="26">
        <v>9</v>
      </c>
      <c r="F111" s="26">
        <f>E111*S111</f>
        <v>55.26738667582417</v>
      </c>
      <c r="G111" s="26">
        <v>29.1</v>
      </c>
      <c r="H111" s="26">
        <v>741.2</v>
      </c>
      <c r="I111" s="26">
        <f t="shared" si="22"/>
        <v>0.57906250000000004</v>
      </c>
      <c r="J111" s="25">
        <v>624.72</v>
      </c>
      <c r="K111" s="26">
        <f t="shared" si="24"/>
        <v>1.4216340725654275</v>
      </c>
      <c r="L111" s="26">
        <f t="shared" si="23"/>
        <v>8.7300000000000182</v>
      </c>
      <c r="M111" s="26">
        <f>(E109*S109+G110*0.6+G111*0.6-E111*S111)/S111/4</f>
        <v>2.3103352618013471</v>
      </c>
      <c r="N111" s="25">
        <v>13.2</v>
      </c>
      <c r="O111" s="34">
        <f t="shared" si="19"/>
        <v>301.89999999999998</v>
      </c>
      <c r="P111" s="34">
        <f t="shared" si="20"/>
        <v>0.3317582417582417</v>
      </c>
      <c r="Q111" s="26">
        <v>7.0000000000000007E-2</v>
      </c>
      <c r="R111" s="34">
        <f t="shared" si="21"/>
        <v>0.77000000000000024</v>
      </c>
      <c r="S111" s="34">
        <f t="shared" si="18"/>
        <v>6.1408207417582412</v>
      </c>
      <c r="T111" s="25">
        <v>54.9</v>
      </c>
      <c r="U111" s="26">
        <f>T111*S111</f>
        <v>337.13105872252743</v>
      </c>
      <c r="V111" s="27">
        <v>0.52700000000000002</v>
      </c>
      <c r="W111" s="33">
        <v>0.28799999999999998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0.03</v>
      </c>
      <c r="AD111" s="24">
        <v>0.27</v>
      </c>
      <c r="AE111" s="24">
        <v>0.03</v>
      </c>
      <c r="AF111" s="24">
        <v>0.45</v>
      </c>
      <c r="AG111" s="24">
        <v>0.04</v>
      </c>
      <c r="AH111" s="24">
        <v>0</v>
      </c>
      <c r="AI111" s="24">
        <v>0</v>
      </c>
      <c r="AJ111" s="24">
        <v>7.0000000000000007E-2</v>
      </c>
      <c r="AK111" s="24">
        <v>1</v>
      </c>
      <c r="AL111" s="24">
        <v>0.23</v>
      </c>
      <c r="AM111" s="24">
        <v>0.03</v>
      </c>
      <c r="AN111" s="24">
        <v>0</v>
      </c>
      <c r="AO111" s="24">
        <v>0</v>
      </c>
      <c r="AP111" s="24">
        <v>0</v>
      </c>
      <c r="AQ111" s="32">
        <v>0.6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</row>
    <row r="112" spans="1:48" s="31" customFormat="1" x14ac:dyDescent="0.15">
      <c r="A112" s="26">
        <v>42</v>
      </c>
      <c r="B112" s="26"/>
      <c r="C112" s="26"/>
      <c r="D112" s="35"/>
      <c r="E112" s="26"/>
      <c r="F112" s="26"/>
      <c r="G112" s="26">
        <v>80</v>
      </c>
      <c r="H112" s="26">
        <v>821.2</v>
      </c>
      <c r="I112" s="26">
        <f t="shared" si="22"/>
        <v>0.64156250000000004</v>
      </c>
      <c r="J112" s="25">
        <v>672.72</v>
      </c>
      <c r="K112" s="26">
        <f t="shared" si="24"/>
        <v>3.8620540260951692</v>
      </c>
      <c r="L112" s="26">
        <f t="shared" si="23"/>
        <v>24</v>
      </c>
      <c r="M112" s="26"/>
      <c r="N112" s="25">
        <v>10</v>
      </c>
      <c r="O112" s="34">
        <f t="shared" si="19"/>
        <v>311.89999999999998</v>
      </c>
      <c r="P112" s="34">
        <f t="shared" si="20"/>
        <v>0.34274725274725271</v>
      </c>
      <c r="Q112" s="26"/>
      <c r="R112" s="34">
        <f t="shared" si="21"/>
        <v>0.77000000000000024</v>
      </c>
      <c r="S112" s="34">
        <f t="shared" si="18"/>
        <v>6.2143097527472522</v>
      </c>
      <c r="T112" s="25"/>
      <c r="U112" s="26"/>
      <c r="V112" s="25"/>
      <c r="W112" s="33"/>
      <c r="X112" s="25"/>
      <c r="Y112" s="2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31" customFormat="1" x14ac:dyDescent="0.15">
      <c r="A113" s="26">
        <v>44</v>
      </c>
      <c r="B113" s="26">
        <v>8.9</v>
      </c>
      <c r="C113" s="26">
        <f>(LN(B113)-LN(B111))/(A113-A111)</f>
        <v>2.8248888134833061E-3</v>
      </c>
      <c r="D113" s="35">
        <f>(W113*1.025*S113/S113-W109*1.025*S109/S109)/4</f>
        <v>-2.5624999999999953E-3</v>
      </c>
      <c r="E113" s="26">
        <v>10.5</v>
      </c>
      <c r="F113" s="26">
        <f>E113*S113</f>
        <v>64.779365985576916</v>
      </c>
      <c r="G113" s="26">
        <v>20.100000000000001</v>
      </c>
      <c r="H113" s="26">
        <v>841.3</v>
      </c>
      <c r="I113" s="26">
        <f t="shared" si="22"/>
        <v>0.65726562499999996</v>
      </c>
      <c r="J113" s="25">
        <v>684.78</v>
      </c>
      <c r="K113" s="26">
        <f t="shared" si="24"/>
        <v>0.97739456131905877</v>
      </c>
      <c r="L113" s="26">
        <f t="shared" si="23"/>
        <v>6.0299999999999727</v>
      </c>
      <c r="M113" s="26">
        <f>(E111*S111+G112*0.6+G113*0.6-E113*S113)/S113/4</f>
        <v>2.0483151122757524</v>
      </c>
      <c r="N113" s="25">
        <v>8.6</v>
      </c>
      <c r="O113" s="34">
        <f t="shared" si="19"/>
        <v>320.5</v>
      </c>
      <c r="P113" s="34">
        <f t="shared" si="20"/>
        <v>0.35219780219780217</v>
      </c>
      <c r="Q113" s="26">
        <v>7.0000000000000007E-2</v>
      </c>
      <c r="R113" s="34">
        <f t="shared" si="21"/>
        <v>0.8400000000000003</v>
      </c>
      <c r="S113" s="34">
        <f t="shared" si="18"/>
        <v>6.1694634271978019</v>
      </c>
      <c r="T113" s="25">
        <v>58.7</v>
      </c>
      <c r="U113" s="26">
        <f>T113*S113</f>
        <v>362.14750317651101</v>
      </c>
      <c r="V113" s="27">
        <v>0.51400000000000001</v>
      </c>
      <c r="W113" s="33">
        <v>0.28999999999999998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0.03</v>
      </c>
      <c r="AD113" s="24">
        <v>0.31</v>
      </c>
      <c r="AE113" s="24">
        <v>0.03</v>
      </c>
      <c r="AF113" s="24">
        <v>0.45</v>
      </c>
      <c r="AG113" s="24">
        <v>0.05</v>
      </c>
      <c r="AH113" s="24">
        <v>0</v>
      </c>
      <c r="AI113" s="24">
        <v>0</v>
      </c>
      <c r="AJ113" s="24">
        <v>7.0000000000000007E-2</v>
      </c>
      <c r="AK113" s="24">
        <v>1</v>
      </c>
      <c r="AL113" s="24">
        <v>0.25</v>
      </c>
      <c r="AM113" s="24">
        <v>0.04</v>
      </c>
      <c r="AN113" s="24">
        <v>0</v>
      </c>
      <c r="AO113" s="24">
        <v>0</v>
      </c>
      <c r="AP113" s="24">
        <v>0</v>
      </c>
      <c r="AQ113" s="32">
        <v>0.64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</row>
    <row r="114" spans="1:48" s="31" customFormat="1" x14ac:dyDescent="0.15">
      <c r="A114" s="26">
        <v>46</v>
      </c>
      <c r="B114" s="26"/>
      <c r="C114" s="26"/>
      <c r="D114" s="35"/>
      <c r="E114" s="26"/>
      <c r="F114" s="26"/>
      <c r="G114" s="26">
        <v>40.9</v>
      </c>
      <c r="H114" s="26">
        <v>882.2</v>
      </c>
      <c r="I114" s="26">
        <f t="shared" si="22"/>
        <v>0.68921874999999999</v>
      </c>
      <c r="J114" s="25">
        <v>709.32</v>
      </c>
      <c r="K114" s="26">
        <f t="shared" si="24"/>
        <v>1.9738233995109453</v>
      </c>
      <c r="L114" s="26">
        <f t="shared" si="23"/>
        <v>12.270000000000039</v>
      </c>
      <c r="M114" s="26"/>
      <c r="N114" s="25">
        <v>13.6</v>
      </c>
      <c r="O114" s="34">
        <f t="shared" si="19"/>
        <v>334.1</v>
      </c>
      <c r="P114" s="34">
        <f t="shared" si="20"/>
        <v>0.36714285714285716</v>
      </c>
      <c r="Q114" s="26"/>
      <c r="R114" s="34">
        <f t="shared" si="21"/>
        <v>0.8400000000000003</v>
      </c>
      <c r="S114" s="34">
        <f t="shared" si="18"/>
        <v>6.2163616071428578</v>
      </c>
      <c r="T114" s="25"/>
      <c r="U114" s="26"/>
      <c r="V114" s="25"/>
      <c r="W114" s="33"/>
      <c r="X114" s="25"/>
      <c r="Y114" s="2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31" customFormat="1" x14ac:dyDescent="0.15">
      <c r="A115" s="26">
        <v>48</v>
      </c>
      <c r="B115" s="26">
        <v>8.75</v>
      </c>
      <c r="C115" s="26">
        <f>(LN(B115)-LN(B113))/(A115-A113)</f>
        <v>-4.2493940921427553E-3</v>
      </c>
      <c r="D115" s="35">
        <f>(W115*1.025*S115/S115-W111*1.025*S111/S111)/4</f>
        <v>-5.1249999999999907E-4</v>
      </c>
      <c r="E115" s="26">
        <v>8</v>
      </c>
      <c r="F115" s="26">
        <f>E115*S115</f>
        <v>49.440254120879118</v>
      </c>
      <c r="G115" s="26">
        <v>39.299999999999997</v>
      </c>
      <c r="H115" s="26">
        <v>921.5</v>
      </c>
      <c r="I115" s="26">
        <f t="shared" si="22"/>
        <v>0.71992187500000004</v>
      </c>
      <c r="J115" s="25">
        <v>732.9</v>
      </c>
      <c r="K115" s="26">
        <f t="shared" si="24"/>
        <v>1.907757184447145</v>
      </c>
      <c r="L115" s="26">
        <f t="shared" si="23"/>
        <v>11.789999999999964</v>
      </c>
      <c r="M115" s="26">
        <f>(E113*S113+G114*0.6+G115*0.6-E115*S115)/S115/4</f>
        <v>2.5671029808844925</v>
      </c>
      <c r="N115" s="25">
        <v>2.7</v>
      </c>
      <c r="O115" s="34">
        <f t="shared" si="19"/>
        <v>336.8</v>
      </c>
      <c r="P115" s="34">
        <f t="shared" si="20"/>
        <v>0.37010989010989009</v>
      </c>
      <c r="Q115" s="26">
        <v>7.0000000000000007E-2</v>
      </c>
      <c r="R115" s="34">
        <f t="shared" si="21"/>
        <v>0.91000000000000036</v>
      </c>
      <c r="S115" s="34">
        <f t="shared" si="18"/>
        <v>6.1800317651098897</v>
      </c>
      <c r="T115" s="25">
        <v>62.9</v>
      </c>
      <c r="U115" s="26">
        <f>T115*S115</f>
        <v>388.72399802541207</v>
      </c>
      <c r="V115" s="27">
        <v>0.51500000000000001</v>
      </c>
      <c r="W115" s="33">
        <v>0.28599999999999998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0.03</v>
      </c>
      <c r="AD115" s="24">
        <v>0.38</v>
      </c>
      <c r="AE115" s="24">
        <v>0.03</v>
      </c>
      <c r="AF115" s="24">
        <v>0.47</v>
      </c>
      <c r="AG115" s="24">
        <v>0.06</v>
      </c>
      <c r="AH115" s="24">
        <v>0</v>
      </c>
      <c r="AI115" s="24">
        <v>0</v>
      </c>
      <c r="AJ115" s="24">
        <v>0.09</v>
      </c>
      <c r="AK115" s="24">
        <v>1.03</v>
      </c>
      <c r="AL115" s="24">
        <v>0.26</v>
      </c>
      <c r="AM115" s="24">
        <v>0.04</v>
      </c>
      <c r="AN115" s="24">
        <v>0</v>
      </c>
      <c r="AO115" s="24">
        <v>0</v>
      </c>
      <c r="AP115" s="24">
        <v>0</v>
      </c>
      <c r="AQ115" s="32">
        <v>0.66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</row>
    <row r="116" spans="1:48" s="31" customFormat="1" x14ac:dyDescent="0.15">
      <c r="A116" s="26">
        <v>50</v>
      </c>
      <c r="B116" s="26"/>
      <c r="C116" s="26"/>
      <c r="D116" s="35"/>
      <c r="E116" s="26"/>
      <c r="F116" s="26"/>
      <c r="G116" s="26">
        <v>46.6</v>
      </c>
      <c r="H116" s="26">
        <v>968.1</v>
      </c>
      <c r="I116" s="26">
        <f t="shared" si="22"/>
        <v>0.75632812500000002</v>
      </c>
      <c r="J116" s="25">
        <v>760.86</v>
      </c>
      <c r="K116" s="26">
        <f t="shared" si="24"/>
        <v>2.2444326123880374</v>
      </c>
      <c r="L116" s="26">
        <f t="shared" si="23"/>
        <v>13.980000000000018</v>
      </c>
      <c r="M116" s="26"/>
      <c r="N116" s="25">
        <v>11.2</v>
      </c>
      <c r="O116" s="34">
        <f t="shared" si="19"/>
        <v>348</v>
      </c>
      <c r="P116" s="34">
        <f t="shared" si="20"/>
        <v>0.38241758241758245</v>
      </c>
      <c r="Q116" s="26"/>
      <c r="R116" s="34">
        <f t="shared" si="21"/>
        <v>0.91000000000000036</v>
      </c>
      <c r="S116" s="34">
        <f t="shared" si="18"/>
        <v>6.2287457074175823</v>
      </c>
      <c r="T116" s="25"/>
      <c r="U116" s="26"/>
      <c r="V116" s="25"/>
      <c r="W116" s="33"/>
      <c r="X116" s="25"/>
      <c r="Y116" s="2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31" customFormat="1" x14ac:dyDescent="0.15">
      <c r="A117" s="26">
        <v>52</v>
      </c>
      <c r="B117" s="26">
        <v>8.6</v>
      </c>
      <c r="C117" s="26">
        <f>(LN(B117)-LN(B115))/(A117-A115)</f>
        <v>-4.3228742775153206E-3</v>
      </c>
      <c r="D117" s="35">
        <f>(W117*1.025*S117/S117-W113*1.025*S113/S113)/4</f>
        <v>-2.0499999999999963E-3</v>
      </c>
      <c r="E117" s="26">
        <v>8</v>
      </c>
      <c r="F117" s="26">
        <f>E117*S117</f>
        <v>49.588695054945056</v>
      </c>
      <c r="G117" s="26">
        <v>38.9</v>
      </c>
      <c r="H117" s="26">
        <v>1007</v>
      </c>
      <c r="I117" s="26">
        <f t="shared" si="22"/>
        <v>0.78671875000000002</v>
      </c>
      <c r="J117" s="25">
        <v>784.2</v>
      </c>
      <c r="K117" s="26">
        <f t="shared" si="24"/>
        <v>1.8826871708673878</v>
      </c>
      <c r="L117" s="26">
        <f t="shared" si="23"/>
        <v>11.670000000000016</v>
      </c>
      <c r="M117" s="26">
        <f>(E115*S115+G116*0.6+G117*0.6-E117*S117)/S117/4</f>
        <v>2.0630330767630536</v>
      </c>
      <c r="N117" s="25">
        <v>8.6</v>
      </c>
      <c r="O117" s="34">
        <f t="shared" si="19"/>
        <v>356.6</v>
      </c>
      <c r="P117" s="34">
        <f t="shared" si="20"/>
        <v>0.39186813186813185</v>
      </c>
      <c r="Q117" s="26">
        <v>7.0000000000000007E-2</v>
      </c>
      <c r="R117" s="34">
        <f t="shared" si="21"/>
        <v>0.98000000000000043</v>
      </c>
      <c r="S117" s="34">
        <f t="shared" si="18"/>
        <v>6.198586881868132</v>
      </c>
      <c r="T117" s="25">
        <v>66.7</v>
      </c>
      <c r="U117" s="26">
        <f>T117*S117</f>
        <v>413.44574502060442</v>
      </c>
      <c r="V117" s="27">
        <v>0.51</v>
      </c>
      <c r="W117" s="33">
        <v>0.28199999999999997</v>
      </c>
      <c r="X117" s="24">
        <v>0</v>
      </c>
      <c r="Y117" s="24">
        <v>0</v>
      </c>
      <c r="Z117" s="24">
        <v>0.01</v>
      </c>
      <c r="AA117" s="24">
        <v>0.01</v>
      </c>
      <c r="AB117" s="24">
        <v>0</v>
      </c>
      <c r="AC117" s="24">
        <v>0.02</v>
      </c>
      <c r="AD117" s="24">
        <v>0.44</v>
      </c>
      <c r="AE117" s="24">
        <v>0.05</v>
      </c>
      <c r="AF117" s="24">
        <v>0.49</v>
      </c>
      <c r="AG117" s="24">
        <v>7.0000000000000007E-2</v>
      </c>
      <c r="AH117" s="24">
        <v>0</v>
      </c>
      <c r="AI117" s="24">
        <v>0</v>
      </c>
      <c r="AJ117" s="24">
        <v>0.1</v>
      </c>
      <c r="AK117" s="24">
        <v>1.03</v>
      </c>
      <c r="AL117" s="24">
        <v>0.27</v>
      </c>
      <c r="AM117" s="24">
        <v>0.05</v>
      </c>
      <c r="AN117" s="24">
        <v>0</v>
      </c>
      <c r="AO117" s="24">
        <v>0</v>
      </c>
      <c r="AP117" s="24">
        <v>0</v>
      </c>
      <c r="AQ117" s="32">
        <v>0.68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</row>
    <row r="118" spans="1:48" s="31" customFormat="1" x14ac:dyDescent="0.15">
      <c r="A118" s="26">
        <v>54</v>
      </c>
      <c r="B118" s="26"/>
      <c r="C118" s="26"/>
      <c r="D118" s="35"/>
      <c r="E118" s="26"/>
      <c r="F118" s="26"/>
      <c r="G118" s="26">
        <v>46.5</v>
      </c>
      <c r="H118" s="26">
        <v>1053.5</v>
      </c>
      <c r="I118" s="26">
        <f t="shared" si="22"/>
        <v>0.82304687499999996</v>
      </c>
      <c r="J118" s="25">
        <v>812.1</v>
      </c>
      <c r="K118" s="26">
        <f t="shared" si="24"/>
        <v>2.2300110629352128</v>
      </c>
      <c r="L118" s="26">
        <f t="shared" si="23"/>
        <v>13.949999999999987</v>
      </c>
      <c r="M118" s="26"/>
      <c r="N118" s="25">
        <v>18.8</v>
      </c>
      <c r="O118" s="34">
        <f t="shared" si="19"/>
        <v>375.40000000000003</v>
      </c>
      <c r="P118" s="34">
        <f t="shared" si="20"/>
        <v>0.41252747252747252</v>
      </c>
      <c r="Q118" s="26"/>
      <c r="R118" s="34">
        <f t="shared" si="21"/>
        <v>0.98000000000000043</v>
      </c>
      <c r="S118" s="34">
        <f t="shared" si="18"/>
        <v>6.2555743475274719</v>
      </c>
      <c r="T118" s="25"/>
      <c r="U118" s="26"/>
      <c r="V118" s="25"/>
      <c r="W118" s="33"/>
      <c r="X118" s="25"/>
      <c r="Y118" s="2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31" customFormat="1" x14ac:dyDescent="0.15">
      <c r="A119" s="26">
        <v>56</v>
      </c>
      <c r="B119" s="26">
        <v>8.5</v>
      </c>
      <c r="C119" s="26">
        <f>(LN(B119)-LN(B117))/(A119-A117)</f>
        <v>-2.9240099407977782E-3</v>
      </c>
      <c r="D119" s="35"/>
      <c r="E119" s="26">
        <v>9</v>
      </c>
      <c r="F119" s="26">
        <f>E119*S119</f>
        <v>56.139199862637362</v>
      </c>
      <c r="G119" s="26">
        <v>52.5</v>
      </c>
      <c r="H119" s="26">
        <v>1106</v>
      </c>
      <c r="I119" s="26">
        <f t="shared" si="22"/>
        <v>0.86406249999999996</v>
      </c>
      <c r="J119" s="25">
        <v>843.6</v>
      </c>
      <c r="K119" s="26">
        <f t="shared" si="24"/>
        <v>2.5249736431377192</v>
      </c>
      <c r="L119" s="26">
        <f t="shared" si="23"/>
        <v>15.75</v>
      </c>
      <c r="M119" s="26">
        <f>(E117*S117+G118*0.6+G119*0.6-E119*S119)/S119/4</f>
        <v>2.1181521018049292</v>
      </c>
      <c r="N119" s="25">
        <v>10.1</v>
      </c>
      <c r="O119" s="34">
        <f t="shared" si="19"/>
        <v>385.50000000000006</v>
      </c>
      <c r="P119" s="34">
        <f t="shared" si="20"/>
        <v>0.42362637362637368</v>
      </c>
      <c r="Q119" s="26">
        <v>7.0000000000000007E-2</v>
      </c>
      <c r="R119" s="34">
        <f t="shared" si="21"/>
        <v>1.0500000000000005</v>
      </c>
      <c r="S119" s="34">
        <f t="shared" si="18"/>
        <v>6.2376888736263734</v>
      </c>
      <c r="T119" s="25">
        <v>75.2</v>
      </c>
      <c r="U119" s="26"/>
      <c r="V119" s="25"/>
      <c r="W119" s="33"/>
      <c r="X119" s="25"/>
      <c r="Y119" s="26"/>
      <c r="Z119" s="23"/>
      <c r="AA119" s="33"/>
      <c r="AB119" s="25"/>
      <c r="AC119" s="23"/>
      <c r="AD119" s="23"/>
      <c r="AE119" s="25"/>
      <c r="AF119" s="25"/>
      <c r="AG119" s="24"/>
      <c r="AH119" s="24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31" customFormat="1" x14ac:dyDescent="0.15">
      <c r="A120" s="26">
        <v>58</v>
      </c>
      <c r="B120" s="26"/>
      <c r="C120" s="26"/>
      <c r="D120" s="35"/>
      <c r="E120" s="26"/>
      <c r="F120" s="26"/>
      <c r="G120" s="26">
        <v>56</v>
      </c>
      <c r="H120" s="26">
        <v>1162</v>
      </c>
      <c r="I120" s="26">
        <f t="shared" si="22"/>
        <v>0.90781250000000002</v>
      </c>
      <c r="J120" s="25">
        <v>877.2</v>
      </c>
      <c r="K120" s="26">
        <f t="shared" si="24"/>
        <v>2.6701088039209817</v>
      </c>
      <c r="L120" s="26">
        <f t="shared" si="23"/>
        <v>16.800000000000011</v>
      </c>
      <c r="M120" s="26"/>
      <c r="N120" s="25">
        <v>9.5</v>
      </c>
      <c r="O120" s="34">
        <f t="shared" si="19"/>
        <v>395.00000000000006</v>
      </c>
      <c r="P120" s="34">
        <f t="shared" si="20"/>
        <v>0.43406593406593413</v>
      </c>
      <c r="Q120" s="26"/>
      <c r="R120" s="34">
        <f t="shared" si="21"/>
        <v>1.0500000000000005</v>
      </c>
      <c r="S120" s="34">
        <f t="shared" si="18"/>
        <v>6.2918784340659339</v>
      </c>
      <c r="T120" s="25"/>
      <c r="U120" s="26"/>
      <c r="V120" s="25"/>
      <c r="W120" s="33"/>
      <c r="X120" s="25"/>
      <c r="Y120" s="26"/>
      <c r="Z120" s="23"/>
      <c r="AA120" s="33"/>
      <c r="AB120" s="25"/>
      <c r="AC120" s="23"/>
      <c r="AD120" s="23"/>
      <c r="AE120" s="25"/>
      <c r="AF120" s="25"/>
      <c r="AG120" s="24"/>
      <c r="AH120" s="24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31" customFormat="1" x14ac:dyDescent="0.15">
      <c r="A121" s="26">
        <v>60</v>
      </c>
      <c r="B121" s="26">
        <v>8.9</v>
      </c>
      <c r="C121" s="26">
        <f>(LN(B121)-LN(B119))/(A121-A119)</f>
        <v>1.1496278310455854E-2</v>
      </c>
      <c r="D121" s="35">
        <f>(W121*1.025*S121/S121-W117*1.025*S117/S117)/4</f>
        <v>3.0749999999999944E-3</v>
      </c>
      <c r="E121" s="26">
        <v>9.5</v>
      </c>
      <c r="F121" s="26">
        <f>E121*S121</f>
        <v>59.580537002060439</v>
      </c>
      <c r="G121" s="26">
        <v>57.5</v>
      </c>
      <c r="H121" s="26">
        <v>1219.5</v>
      </c>
      <c r="I121" s="26">
        <f t="shared" si="22"/>
        <v>0.95273437500000002</v>
      </c>
      <c r="J121" s="25">
        <v>911.7</v>
      </c>
      <c r="K121" s="26">
        <f t="shared" si="24"/>
        <v>2.7504787342607</v>
      </c>
      <c r="L121" s="26">
        <f t="shared" si="23"/>
        <v>17.25</v>
      </c>
      <c r="M121" s="26">
        <f>(E119*S119+G120*0.6+G121*0.6-E121*S121)/S121/4</f>
        <v>2.5774243070108547</v>
      </c>
      <c r="N121" s="25">
        <v>4.4000000000000004</v>
      </c>
      <c r="O121" s="34">
        <f t="shared" si="19"/>
        <v>399.40000000000003</v>
      </c>
      <c r="P121" s="34">
        <f t="shared" si="20"/>
        <v>0.43890109890109891</v>
      </c>
      <c r="Q121" s="26">
        <v>7.0000000000000007E-2</v>
      </c>
      <c r="R121" s="34">
        <f t="shared" si="21"/>
        <v>1.1200000000000006</v>
      </c>
      <c r="S121" s="34">
        <f t="shared" si="18"/>
        <v>6.2716354739010987</v>
      </c>
      <c r="T121" s="25">
        <v>83.7</v>
      </c>
      <c r="U121" s="26">
        <f>T121*S121</f>
        <v>524.93588916552198</v>
      </c>
      <c r="V121" s="27">
        <v>0.55100000000000005</v>
      </c>
      <c r="W121" s="33">
        <v>0.29399999999999998</v>
      </c>
      <c r="X121" s="24">
        <v>0</v>
      </c>
      <c r="Y121" s="24">
        <v>0</v>
      </c>
      <c r="Z121" s="24">
        <v>0</v>
      </c>
      <c r="AA121" s="24">
        <v>0.01</v>
      </c>
      <c r="AB121" s="24">
        <v>0</v>
      </c>
      <c r="AC121" s="24">
        <v>0.03</v>
      </c>
      <c r="AD121" s="24">
        <v>0.55000000000000004</v>
      </c>
      <c r="AE121" s="24">
        <v>0.04</v>
      </c>
      <c r="AF121" s="24">
        <v>0.56999999999999995</v>
      </c>
      <c r="AG121" s="24">
        <v>0.08</v>
      </c>
      <c r="AH121" s="24">
        <v>0</v>
      </c>
      <c r="AI121" s="24">
        <v>0</v>
      </c>
      <c r="AJ121" s="24">
        <v>0.09</v>
      </c>
      <c r="AK121" s="24">
        <v>1.0900000000000001</v>
      </c>
      <c r="AL121" s="24">
        <v>0.32</v>
      </c>
      <c r="AM121" s="24">
        <v>0.05</v>
      </c>
      <c r="AN121" s="24">
        <v>0</v>
      </c>
      <c r="AO121" s="24">
        <v>0</v>
      </c>
      <c r="AP121" s="24">
        <v>0</v>
      </c>
      <c r="AQ121" s="32">
        <v>0.67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</row>
    <row r="122" spans="1:48" s="22" customFormat="1" x14ac:dyDescent="0.15">
      <c r="A122" s="26" t="s">
        <v>7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>
        <v>8.5</v>
      </c>
      <c r="T122" s="26">
        <v>58.9</v>
      </c>
      <c r="U122" s="30"/>
      <c r="V122" s="29"/>
      <c r="W122" s="29"/>
      <c r="X122" s="26"/>
      <c r="Y122" s="26"/>
      <c r="Z122" s="28"/>
      <c r="AA122" s="23"/>
      <c r="AB122" s="23"/>
      <c r="AC122" s="25"/>
      <c r="AD122" s="25"/>
      <c r="AE122" s="25"/>
      <c r="AF122" s="25"/>
      <c r="AG122" s="24"/>
      <c r="AH122" s="24"/>
      <c r="AI122" s="24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22" customFormat="1" x14ac:dyDescent="0.2">
      <c r="A123" s="26" t="s">
        <v>6</v>
      </c>
      <c r="B123" s="26"/>
      <c r="C123" s="26"/>
      <c r="D123" s="26"/>
      <c r="E123" s="26"/>
      <c r="F123" s="26"/>
      <c r="G123" s="26"/>
      <c r="H123" s="26"/>
      <c r="I123" s="26"/>
      <c r="J123" s="26">
        <f>J121</f>
        <v>911.7</v>
      </c>
      <c r="K123" s="26"/>
      <c r="L123" s="26"/>
      <c r="M123" s="26"/>
      <c r="N123" s="26"/>
      <c r="O123" s="26"/>
      <c r="P123" s="26"/>
      <c r="Q123" s="26"/>
      <c r="R123" s="26"/>
      <c r="S123" s="26"/>
      <c r="T123" s="26">
        <f>T122*S122</f>
        <v>500.65</v>
      </c>
      <c r="U123" s="26"/>
      <c r="V123" s="27">
        <f>T122*S122/J123</f>
        <v>0.54913897115279142</v>
      </c>
      <c r="W123" s="28">
        <f>W121*0.01*S121*1000*1.025-W91*0.01*1000*S91*1.025</f>
        <v>16.893751000600957</v>
      </c>
      <c r="X123" s="26">
        <f t="shared" ref="X123:AV123" si="25">X121*$S121-X91*$S91</f>
        <v>0</v>
      </c>
      <c r="Y123" s="26">
        <f t="shared" si="25"/>
        <v>0</v>
      </c>
      <c r="Z123" s="26">
        <f t="shared" si="25"/>
        <v>-0.17789999999999997</v>
      </c>
      <c r="AA123" s="26">
        <f t="shared" si="25"/>
        <v>6.2716354739010993E-2</v>
      </c>
      <c r="AB123" s="26">
        <f t="shared" si="25"/>
        <v>0</v>
      </c>
      <c r="AC123" s="26">
        <f t="shared" si="25"/>
        <v>6.9549064217032955E-2</v>
      </c>
      <c r="AD123" s="26">
        <f t="shared" si="25"/>
        <v>3.4493995106456046</v>
      </c>
      <c r="AE123" s="26">
        <f t="shared" si="25"/>
        <v>0.25086541895604397</v>
      </c>
      <c r="AF123" s="26">
        <f t="shared" si="25"/>
        <v>1.0842322201236261</v>
      </c>
      <c r="AG123" s="26">
        <f t="shared" si="25"/>
        <v>0.50173083791208795</v>
      </c>
      <c r="AH123" s="26">
        <f t="shared" si="25"/>
        <v>0</v>
      </c>
      <c r="AI123" s="26">
        <f t="shared" si="25"/>
        <v>0</v>
      </c>
      <c r="AJ123" s="26">
        <f t="shared" si="25"/>
        <v>0.56444719265109888</v>
      </c>
      <c r="AK123" s="26">
        <f t="shared" si="25"/>
        <v>6.4802826665521973</v>
      </c>
      <c r="AL123" s="26">
        <f t="shared" si="25"/>
        <v>1.8290233516483518</v>
      </c>
      <c r="AM123" s="26">
        <f t="shared" si="25"/>
        <v>0.19498177369505498</v>
      </c>
      <c r="AN123" s="26">
        <f t="shared" si="25"/>
        <v>0</v>
      </c>
      <c r="AO123" s="26">
        <f t="shared" si="25"/>
        <v>0</v>
      </c>
      <c r="AP123" s="26">
        <f t="shared" si="25"/>
        <v>0</v>
      </c>
      <c r="AQ123" s="26">
        <f t="shared" si="25"/>
        <v>3.8461957675137364</v>
      </c>
      <c r="AR123" s="26">
        <f t="shared" si="25"/>
        <v>0</v>
      </c>
      <c r="AS123" s="26">
        <f t="shared" si="25"/>
        <v>0</v>
      </c>
      <c r="AT123" s="26">
        <f t="shared" si="25"/>
        <v>0</v>
      </c>
      <c r="AU123" s="26">
        <f t="shared" si="25"/>
        <v>0</v>
      </c>
      <c r="AV123" s="26">
        <f t="shared" si="25"/>
        <v>0</v>
      </c>
    </row>
    <row r="124" spans="1:48" s="22" customFormat="1" x14ac:dyDescent="0.15">
      <c r="A124" s="26" t="s">
        <v>5</v>
      </c>
      <c r="B124" s="26"/>
      <c r="C124" s="26"/>
      <c r="D124" s="26"/>
      <c r="E124" s="26"/>
      <c r="F124" s="26"/>
      <c r="G124" s="26"/>
      <c r="H124" s="26"/>
      <c r="I124" s="26"/>
      <c r="J124" s="26">
        <f>J123/180.16</f>
        <v>5.0605017761989348</v>
      </c>
      <c r="K124" s="26"/>
      <c r="L124" s="26"/>
      <c r="M124" s="26"/>
      <c r="N124" s="26"/>
      <c r="O124" s="26"/>
      <c r="P124" s="26"/>
      <c r="Q124" s="26"/>
      <c r="R124" s="26"/>
      <c r="S124" s="26"/>
      <c r="T124" s="26">
        <f>(T122*S122)/117.15</f>
        <v>4.2735808792146814</v>
      </c>
      <c r="U124" s="26"/>
      <c r="V124" s="27"/>
      <c r="W124" s="26"/>
      <c r="X124" s="26">
        <v>0</v>
      </c>
      <c r="Y124" s="26">
        <f>Y123/133.1</f>
        <v>0</v>
      </c>
      <c r="Z124" s="26">
        <f>Z123/147.13</f>
        <v>-1.2091347787670766E-3</v>
      </c>
      <c r="AA124" s="25">
        <f>AA123/105.09</f>
        <v>5.9678708477505936E-4</v>
      </c>
      <c r="AB124" s="25">
        <v>0</v>
      </c>
      <c r="AC124" s="25">
        <f>AC123/75.07</f>
        <v>9.2645616380755246E-4</v>
      </c>
      <c r="AD124" s="25">
        <f>AD123/119.12</f>
        <v>2.8957349820732073E-2</v>
      </c>
      <c r="AE124" s="25">
        <f>AE123/174.2</f>
        <v>1.4400999940071412E-3</v>
      </c>
      <c r="AF124" s="25">
        <f>AF123/89.09</f>
        <v>1.2170077675649635E-2</v>
      </c>
      <c r="AG124" s="24">
        <f>AG123/181.19</f>
        <v>2.7690868034223079E-3</v>
      </c>
      <c r="AH124" s="24">
        <f>AH123/240.3</f>
        <v>0</v>
      </c>
      <c r="AI124" s="24">
        <f>0</f>
        <v>0</v>
      </c>
      <c r="AJ124" s="23">
        <f>AJ123/165.19</f>
        <v>3.4169573984569215E-3</v>
      </c>
      <c r="AK124" s="23">
        <f>AK123/131.17</f>
        <v>4.9403694949700372E-2</v>
      </c>
      <c r="AL124" s="23">
        <f>AL123/131.17</f>
        <v>1.3943915160847389E-2</v>
      </c>
      <c r="AM124" s="23">
        <f>AM123/146.19</f>
        <v>1.3337558909299883E-3</v>
      </c>
      <c r="AN124" s="23">
        <v>0</v>
      </c>
      <c r="AO124" s="23">
        <v>0</v>
      </c>
      <c r="AP124" s="23">
        <v>0</v>
      </c>
      <c r="AQ124" s="23">
        <f>AQ123/60.05</f>
        <v>6.4049887885324508E-2</v>
      </c>
      <c r="AR124" s="23">
        <v>0</v>
      </c>
      <c r="AS124" s="23">
        <v>0</v>
      </c>
      <c r="AT124" s="23">
        <v>0</v>
      </c>
      <c r="AU124" s="23">
        <v>0</v>
      </c>
      <c r="AV124" s="23">
        <v>0</v>
      </c>
    </row>
    <row r="125" spans="1:48" s="11" customFormat="1" x14ac:dyDescent="0.15">
      <c r="A125" s="19" t="s">
        <v>4</v>
      </c>
      <c r="B125" s="21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7"/>
      <c r="N125" s="15"/>
      <c r="O125" s="15"/>
      <c r="P125" s="15"/>
      <c r="Q125" s="15"/>
      <c r="R125" s="15"/>
      <c r="S125" s="15"/>
      <c r="T125" s="16">
        <v>0</v>
      </c>
      <c r="U125" s="16"/>
      <c r="V125" s="15"/>
      <c r="W125" s="15"/>
      <c r="X125" s="15"/>
      <c r="Y125" s="15"/>
      <c r="Z125" s="15"/>
      <c r="AA125" s="14"/>
      <c r="AB125" s="14"/>
      <c r="AC125" s="14"/>
      <c r="AD125" s="14">
        <f>AD124*-2</f>
        <v>-5.7914699641464146E-2</v>
      </c>
      <c r="AE125" s="14"/>
      <c r="AF125" s="14">
        <v>0</v>
      </c>
      <c r="AG125" s="14"/>
      <c r="AH125" s="14"/>
      <c r="AI125" s="14"/>
      <c r="AJ125" s="12"/>
      <c r="AK125" s="12">
        <f>-3*AK124</f>
        <v>-0.14821108484910112</v>
      </c>
      <c r="AL125" s="12">
        <f>3*AL124</f>
        <v>4.1831745482542163E-2</v>
      </c>
      <c r="AM125" s="20"/>
      <c r="AN125" s="12"/>
      <c r="AO125" s="12"/>
      <c r="AP125" s="12"/>
      <c r="AQ125" s="12">
        <f>AQ124*2</f>
        <v>0.12809977577064902</v>
      </c>
      <c r="AR125" s="12"/>
      <c r="AS125" s="12"/>
      <c r="AT125" s="12"/>
      <c r="AU125" s="12"/>
      <c r="AV125" s="12"/>
    </row>
    <row r="126" spans="1:48" s="11" customFormat="1" x14ac:dyDescent="0.2">
      <c r="A126" s="19" t="s">
        <v>3</v>
      </c>
      <c r="B126" s="18">
        <f>T125+AD125+AF125+AK125+AL125+AQ125+AA125+AG125+AJ125+AM125</f>
        <v>-3.6194263237374069E-2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7"/>
      <c r="N126" s="15"/>
      <c r="O126" s="15"/>
      <c r="P126" s="15"/>
      <c r="Q126" s="15"/>
      <c r="R126" s="15"/>
      <c r="S126" s="15"/>
      <c r="T126" s="16"/>
      <c r="U126" s="16"/>
      <c r="V126" s="15"/>
      <c r="W126" s="15"/>
      <c r="X126" s="15"/>
      <c r="Y126" s="15"/>
      <c r="Z126" s="15"/>
      <c r="AA126" s="14"/>
      <c r="AB126" s="14"/>
      <c r="AC126" s="14"/>
      <c r="AD126" s="14"/>
      <c r="AE126" s="14"/>
      <c r="AF126" s="14"/>
      <c r="AG126" s="14"/>
      <c r="AH126" s="14"/>
      <c r="AI126" s="14"/>
      <c r="AJ126" s="12"/>
      <c r="AK126" s="13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</row>
    <row r="127" spans="1:48" s="4" customFormat="1" ht="17" customHeight="1" x14ac:dyDescent="0.2">
      <c r="A127" s="8" t="s">
        <v>2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>
        <f>T123/0.65</f>
        <v>770.23076923076917</v>
      </c>
      <c r="U127" s="6"/>
      <c r="V127" s="6"/>
      <c r="W127" s="10"/>
      <c r="X127" s="10"/>
      <c r="Y127" s="6"/>
      <c r="Z127" s="6"/>
      <c r="AA127" s="5"/>
      <c r="AB127" s="5"/>
      <c r="AC127" s="5"/>
      <c r="AD127" s="5">
        <f>AD124/2*180.16</f>
        <v>2.608478071851545</v>
      </c>
      <c r="AE127" s="5"/>
      <c r="AF127" s="5">
        <f>AF124/2*180.16</f>
        <v>1.0962805970225191</v>
      </c>
      <c r="AG127" s="5"/>
      <c r="AH127" s="5"/>
      <c r="AI127" s="5"/>
      <c r="AJ127" s="5"/>
      <c r="AK127" s="5">
        <f>AK124/1*180.16</f>
        <v>8.900569682138018</v>
      </c>
      <c r="AL127" s="5">
        <f>AL124/1.5*180.16</f>
        <v>1.6747571702521771</v>
      </c>
      <c r="AM127" s="5"/>
      <c r="AN127" s="5"/>
      <c r="AO127" s="5"/>
      <c r="AP127" s="5"/>
      <c r="AQ127" s="5">
        <f>AQ124/2*180.16</f>
        <v>5.7696139007100316</v>
      </c>
      <c r="AR127" s="5"/>
      <c r="AS127" s="5"/>
      <c r="AT127" s="5"/>
      <c r="AU127" s="5"/>
      <c r="AV127" s="5"/>
    </row>
    <row r="128" spans="1:48" s="4" customFormat="1" x14ac:dyDescent="0.2">
      <c r="A128" s="9" t="s">
        <v>1</v>
      </c>
      <c r="B128" s="7">
        <f>J123-T127-AD127-AF127-AK127-AL127-AQ127-AA127-AG127-AJ127-AM127</f>
        <v>121.41953134725659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</row>
    <row r="129" spans="1:48" s="4" customFormat="1" x14ac:dyDescent="0.2">
      <c r="A129" s="8" t="s">
        <v>0</v>
      </c>
      <c r="B129" s="7">
        <f>W123/B128</f>
        <v>0.13913536655223355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2026-03-12T06:26:32Z</dcterms:created>
  <dcterms:modified xsi:type="dcterms:W3CDTF">2026-04-30T20:24:00Z</dcterms:modified>
</cp:coreProperties>
</file>