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kcr644_ku_dk/Documents/Desktop/Karatau Culture_FinalFinal_revision_May_2026/Data/"/>
    </mc:Choice>
  </mc:AlternateContent>
  <xr:revisionPtr revIDLastSave="187" documentId="8_{9C2465BE-8305-4249-B528-080CD79E8A99}" xr6:coauthVersionLast="47" xr6:coauthVersionMax="47" xr10:uidLastSave="{34C07B3F-2FF5-471E-9165-F95C7E632971}"/>
  <bookViews>
    <workbookView xWindow="-110" yWindow="-110" windowWidth="19420" windowHeight="11500" firstSheet="1" activeTab="1" xr2:uid="{C59B5DF7-55C0-47CB-BFBF-963D6B247A00}"/>
  </bookViews>
  <sheets>
    <sheet name="Supplementary Data 4" sheetId="5" r:id="rId1"/>
    <sheet name="Supplementary Data 5 - Summary" sheetId="1" r:id="rId2"/>
    <sheet name="Supplementary Data 6 - BeAl" sheetId="2" r:id="rId3"/>
    <sheet name="Supplementary Data 7 - 10Be AMS" sheetId="3" r:id="rId4"/>
    <sheet name="Supplementary Data 8 - 26Al AM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23" i="1"/>
  <c r="H2" i="1"/>
  <c r="H3" i="1"/>
  <c r="H4" i="1"/>
  <c r="H5" i="1"/>
  <c r="H6" i="1"/>
  <c r="H7" i="1"/>
  <c r="H8" i="1"/>
  <c r="H9" i="1"/>
  <c r="H10" i="1"/>
  <c r="H11" i="1"/>
  <c r="H12" i="1"/>
  <c r="H13" i="1"/>
  <c r="Q30" i="4" l="1"/>
  <c r="P30" i="4"/>
  <c r="Q29" i="4"/>
  <c r="P29" i="4"/>
  <c r="Q28" i="4"/>
  <c r="P28" i="4"/>
  <c r="Q27" i="4"/>
  <c r="P27" i="4"/>
  <c r="Q26" i="4"/>
  <c r="P26" i="4"/>
  <c r="Q25" i="4"/>
  <c r="P25" i="4"/>
  <c r="Q24" i="4"/>
  <c r="P24" i="4"/>
  <c r="Q23" i="4"/>
  <c r="P23" i="4"/>
  <c r="Q22" i="4"/>
  <c r="P22" i="4"/>
  <c r="Q21" i="4"/>
  <c r="P21" i="4"/>
  <c r="Q20" i="4"/>
  <c r="P20" i="4"/>
  <c r="Q19" i="4"/>
  <c r="P19" i="4"/>
  <c r="Q18" i="4"/>
  <c r="P18" i="4"/>
  <c r="Q17" i="4"/>
  <c r="P17" i="4"/>
  <c r="Q16" i="4"/>
  <c r="P16" i="4"/>
  <c r="R28" i="3"/>
  <c r="Q28" i="3"/>
  <c r="R27" i="3"/>
  <c r="Q27" i="3"/>
  <c r="R26" i="3"/>
  <c r="Q26" i="3"/>
  <c r="R25" i="3"/>
  <c r="Q25" i="3"/>
  <c r="R24" i="3"/>
  <c r="Q24" i="3"/>
  <c r="R23" i="3"/>
  <c r="Q23" i="3"/>
  <c r="R22" i="3"/>
  <c r="Q22" i="3"/>
  <c r="R21" i="3"/>
  <c r="Q21" i="3"/>
  <c r="R20" i="3"/>
  <c r="Q20" i="3"/>
  <c r="R19" i="3"/>
  <c r="Q19" i="3"/>
  <c r="R18" i="3"/>
  <c r="Q18" i="3"/>
  <c r="R17" i="3"/>
  <c r="Q17" i="3"/>
  <c r="R16" i="3"/>
  <c r="Q16" i="3"/>
  <c r="O32" i="2"/>
  <c r="O31" i="2"/>
  <c r="O30" i="2"/>
  <c r="O29" i="2"/>
  <c r="O28" i="2"/>
  <c r="O27" i="2"/>
  <c r="O26" i="2"/>
  <c r="R25" i="2"/>
  <c r="O25" i="2"/>
  <c r="S25" i="2" s="1"/>
  <c r="J25" i="2"/>
  <c r="I25" i="2"/>
  <c r="R24" i="2"/>
  <c r="O24" i="2"/>
  <c r="S24" i="2" s="1"/>
  <c r="J24" i="2"/>
  <c r="I24" i="2"/>
  <c r="L24" i="2" s="1"/>
  <c r="R23" i="2"/>
  <c r="V23" i="2" s="1"/>
  <c r="O23" i="2"/>
  <c r="S23" i="2" s="1"/>
  <c r="J23" i="2"/>
  <c r="I23" i="2"/>
  <c r="L23" i="2" s="1"/>
  <c r="R22" i="2"/>
  <c r="O22" i="2"/>
  <c r="S22" i="2" s="1"/>
  <c r="J22" i="2"/>
  <c r="I22" i="2"/>
  <c r="L22" i="2" s="1"/>
  <c r="R21" i="2"/>
  <c r="V21" i="2" s="1"/>
  <c r="O21" i="2"/>
  <c r="S21" i="2" s="1"/>
  <c r="J21" i="2"/>
  <c r="I21" i="2"/>
  <c r="L21" i="2" s="1"/>
  <c r="R20" i="2"/>
  <c r="V20" i="2" s="1"/>
  <c r="O20" i="2"/>
  <c r="S20" i="2" s="1"/>
  <c r="J20" i="2"/>
  <c r="I20" i="2"/>
  <c r="L20" i="2" s="1"/>
  <c r="R19" i="2"/>
  <c r="V19" i="2" s="1"/>
  <c r="O19" i="2"/>
  <c r="S19" i="2" s="1"/>
  <c r="J19" i="2"/>
  <c r="I19" i="2"/>
  <c r="L19" i="2" s="1"/>
  <c r="R18" i="2"/>
  <c r="V18" i="2" s="1"/>
  <c r="O18" i="2"/>
  <c r="S18" i="2" s="1"/>
  <c r="J18" i="2"/>
  <c r="I18" i="2"/>
  <c r="L18" i="2" s="1"/>
  <c r="R17" i="2"/>
  <c r="R26" i="2" s="1"/>
  <c r="O17" i="2"/>
  <c r="S17" i="2" s="1"/>
  <c r="J17" i="2"/>
  <c r="J30" i="2" s="1"/>
  <c r="I17" i="2"/>
  <c r="I30" i="2" s="1"/>
  <c r="H29" i="1"/>
  <c r="H28" i="1"/>
  <c r="H27" i="1"/>
  <c r="H26" i="1"/>
  <c r="H25" i="1"/>
  <c r="H24" i="1"/>
  <c r="H22" i="1"/>
  <c r="H21" i="1"/>
  <c r="H20" i="1"/>
  <c r="H19" i="1"/>
  <c r="H18" i="1"/>
  <c r="H17" i="1"/>
  <c r="H16" i="1"/>
  <c r="H15" i="1"/>
  <c r="J27" i="2" l="1"/>
  <c r="S28" i="2"/>
  <c r="R27" i="2"/>
  <c r="V27" i="2" s="1"/>
  <c r="R28" i="2"/>
  <c r="V28" i="2" s="1"/>
  <c r="I27" i="2"/>
  <c r="K23" i="2"/>
  <c r="K20" i="2"/>
  <c r="K24" i="2"/>
  <c r="K18" i="2"/>
  <c r="K25" i="2"/>
  <c r="R30" i="2"/>
  <c r="T30" i="2" s="1"/>
  <c r="K22" i="2"/>
  <c r="K30" i="2"/>
  <c r="K21" i="2"/>
  <c r="T18" i="2"/>
  <c r="U18" i="2" s="1"/>
  <c r="T22" i="2"/>
  <c r="U22" i="2" s="1"/>
  <c r="R31" i="2"/>
  <c r="V31" i="2" s="1"/>
  <c r="V22" i="2"/>
  <c r="V24" i="2"/>
  <c r="T24" i="2"/>
  <c r="U24" i="2" s="1"/>
  <c r="I31" i="2"/>
  <c r="I28" i="2"/>
  <c r="T28" i="2" s="1"/>
  <c r="I32" i="2"/>
  <c r="I29" i="2"/>
  <c r="K19" i="2"/>
  <c r="T21" i="2"/>
  <c r="U21" i="2" s="1"/>
  <c r="J31" i="2"/>
  <c r="J28" i="2"/>
  <c r="J32" i="2"/>
  <c r="J29" i="2"/>
  <c r="J26" i="2"/>
  <c r="K17" i="2"/>
  <c r="S29" i="2"/>
  <c r="S26" i="2"/>
  <c r="S30" i="2"/>
  <c r="S31" i="2"/>
  <c r="S27" i="2"/>
  <c r="S32" i="2"/>
  <c r="I26" i="2"/>
  <c r="T20" i="2"/>
  <c r="U20" i="2" s="1"/>
  <c r="T27" i="2"/>
  <c r="T23" i="2"/>
  <c r="U23" i="2" s="1"/>
  <c r="T19" i="2"/>
  <c r="U19" i="2" s="1"/>
  <c r="R29" i="2"/>
  <c r="V26" i="2"/>
  <c r="R32" i="2"/>
  <c r="K27" i="2" l="1"/>
  <c r="V30" i="2"/>
  <c r="U28" i="2"/>
  <c r="T31" i="2"/>
  <c r="U31" i="2" s="1"/>
  <c r="U30" i="2"/>
  <c r="U27" i="2"/>
  <c r="K32" i="2"/>
  <c r="K28" i="2"/>
  <c r="T32" i="2"/>
  <c r="U32" i="2" s="1"/>
  <c r="V32" i="2"/>
  <c r="T29" i="2"/>
  <c r="U29" i="2" s="1"/>
  <c r="V29" i="2"/>
  <c r="K31" i="2"/>
  <c r="K26" i="2"/>
  <c r="K29" i="2"/>
  <c r="T26" i="2"/>
  <c r="U26" i="2" s="1"/>
  <c r="Q15" i="4" l="1"/>
  <c r="P15" i="4"/>
  <c r="Q14" i="4"/>
  <c r="P14" i="4"/>
  <c r="Q13" i="4"/>
  <c r="P13" i="4"/>
  <c r="Q12" i="4"/>
  <c r="P12" i="4"/>
  <c r="Q11" i="4"/>
  <c r="P11" i="4"/>
  <c r="Q10" i="4"/>
  <c r="P10" i="4"/>
  <c r="Q9" i="4"/>
  <c r="P9" i="4"/>
  <c r="Q8" i="4"/>
  <c r="P8" i="4"/>
  <c r="Q7" i="4"/>
  <c r="P7" i="4"/>
  <c r="Q6" i="4"/>
  <c r="P6" i="4"/>
  <c r="Q5" i="4"/>
  <c r="P5" i="4"/>
  <c r="Q4" i="4"/>
  <c r="P4" i="4"/>
  <c r="R15" i="3"/>
  <c r="Q15" i="3"/>
  <c r="R14" i="3"/>
  <c r="Q14" i="3"/>
  <c r="R13" i="3"/>
  <c r="Q13" i="3"/>
  <c r="R12" i="3"/>
  <c r="Q12" i="3"/>
  <c r="R11" i="3"/>
  <c r="Q11" i="3"/>
  <c r="R10" i="3"/>
  <c r="Q10" i="3"/>
  <c r="R9" i="3"/>
  <c r="Q9" i="3"/>
  <c r="R8" i="3"/>
  <c r="Q8" i="3"/>
  <c r="R7" i="3"/>
  <c r="Q7" i="3"/>
  <c r="R6" i="3"/>
  <c r="Q6" i="3"/>
  <c r="R5" i="3"/>
  <c r="Q5" i="3"/>
  <c r="R4" i="3"/>
  <c r="Q4" i="3"/>
  <c r="V13" i="2"/>
  <c r="U13" i="2"/>
  <c r="O13" i="2"/>
  <c r="I13" i="2"/>
  <c r="V12" i="2"/>
  <c r="U12" i="2"/>
  <c r="O12" i="2"/>
  <c r="I12" i="2"/>
  <c r="V11" i="2"/>
  <c r="U11" i="2"/>
  <c r="O11" i="2"/>
  <c r="I11" i="2"/>
  <c r="V10" i="2"/>
  <c r="U10" i="2"/>
  <c r="O10" i="2"/>
  <c r="I10" i="2"/>
  <c r="V9" i="2"/>
  <c r="U9" i="2"/>
  <c r="O9" i="2"/>
  <c r="I9" i="2"/>
  <c r="V8" i="2"/>
  <c r="U8" i="2"/>
  <c r="O8" i="2"/>
  <c r="I8" i="2"/>
  <c r="V7" i="2"/>
  <c r="U7" i="2"/>
  <c r="O7" i="2"/>
  <c r="I7" i="2"/>
  <c r="V6" i="2"/>
  <c r="U6" i="2"/>
  <c r="O6" i="2"/>
  <c r="I6" i="2"/>
  <c r="V5" i="2"/>
  <c r="U5" i="2"/>
  <c r="O5" i="2"/>
  <c r="I5" i="2"/>
  <c r="V4" i="2"/>
  <c r="U4" i="2"/>
  <c r="O4" i="2"/>
  <c r="I4" i="2"/>
  <c r="V3" i="2"/>
  <c r="U3" i="2"/>
  <c r="O3" i="2"/>
  <c r="I3" i="2"/>
  <c r="Y2" i="2"/>
  <c r="X2" i="2"/>
  <c r="V2" i="2"/>
  <c r="U2" i="2"/>
  <c r="O2" i="2"/>
  <c r="L27" i="2" l="1"/>
  <c r="L30" i="2"/>
  <c r="L29" i="2"/>
  <c r="L32" i="2"/>
  <c r="L28" i="2"/>
  <c r="L31" i="2"/>
  <c r="L26" i="2"/>
  <c r="W11" i="2"/>
  <c r="W4" i="2"/>
  <c r="W8" i="2"/>
  <c r="W5" i="2"/>
  <c r="W10" i="2"/>
  <c r="W3" i="2"/>
  <c r="W7" i="2"/>
  <c r="W2" i="2"/>
  <c r="W12" i="2"/>
  <c r="Z2" i="2"/>
  <c r="W9" i="2"/>
  <c r="W6" i="2"/>
  <c r="W13" i="2"/>
  <c r="Y13" i="2"/>
  <c r="X13" i="2"/>
  <c r="Y12" i="2"/>
  <c r="X12" i="2"/>
  <c r="Y11" i="2"/>
  <c r="X11" i="2"/>
  <c r="Y10" i="2"/>
  <c r="X10" i="2"/>
  <c r="Y9" i="2"/>
  <c r="X9" i="2"/>
  <c r="Y8" i="2"/>
  <c r="X8" i="2"/>
  <c r="Y7" i="2"/>
  <c r="X7" i="2"/>
  <c r="Y6" i="2"/>
  <c r="X6" i="2"/>
  <c r="Y5" i="2"/>
  <c r="X5" i="2"/>
  <c r="Y4" i="2"/>
  <c r="X4" i="2"/>
  <c r="Y3" i="2"/>
  <c r="X3" i="2"/>
  <c r="Z13" i="2" l="1"/>
  <c r="Z12" i="2"/>
  <c r="Z11" i="2"/>
  <c r="Z10" i="2"/>
  <c r="Z9" i="2"/>
  <c r="Z8" i="2"/>
  <c r="Z7" i="2"/>
  <c r="Z6" i="2"/>
  <c r="Z5" i="2"/>
  <c r="Z4" i="2"/>
  <c r="Z3" i="2"/>
</calcChain>
</file>

<file path=xl/sharedStrings.xml><?xml version="1.0" encoding="utf-8"?>
<sst xmlns="http://schemas.openxmlformats.org/spreadsheetml/2006/main" count="565" uniqueCount="191">
  <si>
    <t>Sample ID</t>
  </si>
  <si>
    <t>N10 (at/g)</t>
  </si>
  <si>
    <t>Unc (at/g)</t>
  </si>
  <si>
    <t>Unc (%)</t>
  </si>
  <si>
    <r>
      <t>N10</t>
    </r>
    <r>
      <rPr>
        <b/>
        <vertAlign val="subscript"/>
        <sz val="12"/>
        <color theme="1"/>
        <rFont val="Calibri (Body)"/>
      </rPr>
      <t>blank</t>
    </r>
    <r>
      <rPr>
        <b/>
        <sz val="12"/>
        <color theme="1"/>
        <rFont val="Aptos Narrow"/>
        <family val="2"/>
        <scheme val="minor"/>
      </rPr>
      <t>/N10</t>
    </r>
    <r>
      <rPr>
        <b/>
        <vertAlign val="subscript"/>
        <sz val="12"/>
        <color theme="1"/>
        <rFont val="Calibri (Body)"/>
      </rPr>
      <t>sample</t>
    </r>
    <r>
      <rPr>
        <b/>
        <sz val="12"/>
        <color theme="1"/>
        <rFont val="Aptos Narrow"/>
        <family val="2"/>
        <scheme val="minor"/>
      </rPr>
      <t xml:space="preserve"> (%)</t>
    </r>
  </si>
  <si>
    <t>N26 (at/g)</t>
  </si>
  <si>
    <r>
      <t>N26</t>
    </r>
    <r>
      <rPr>
        <b/>
        <vertAlign val="subscript"/>
        <sz val="12"/>
        <color theme="1"/>
        <rFont val="Calibri (Body)"/>
      </rPr>
      <t>blank</t>
    </r>
    <r>
      <rPr>
        <b/>
        <sz val="12"/>
        <color theme="1"/>
        <rFont val="Aptos Narrow"/>
        <family val="2"/>
        <scheme val="minor"/>
      </rPr>
      <t>/N26</t>
    </r>
    <r>
      <rPr>
        <b/>
        <vertAlign val="subscript"/>
        <sz val="12"/>
        <color theme="1"/>
        <rFont val="Calibri (Body)"/>
      </rPr>
      <t>sample</t>
    </r>
    <r>
      <rPr>
        <b/>
        <sz val="12"/>
        <color theme="1"/>
        <rFont val="Aptos Narrow"/>
        <family val="2"/>
        <scheme val="minor"/>
      </rPr>
      <t xml:space="preserve"> (%)</t>
    </r>
  </si>
  <si>
    <t>N26/N10</t>
  </si>
  <si>
    <t>Unc</t>
  </si>
  <si>
    <t>Notes</t>
  </si>
  <si>
    <t>AU2311</t>
  </si>
  <si>
    <t>KulPC11.1</t>
  </si>
  <si>
    <t>KulPC11.2</t>
  </si>
  <si>
    <t>KulPC4.1</t>
  </si>
  <si>
    <t>KulPC4.2</t>
  </si>
  <si>
    <t>OP6</t>
  </si>
  <si>
    <t>La alu4.1</t>
  </si>
  <si>
    <t>La alu4.2</t>
  </si>
  <si>
    <t>La alu S1</t>
  </si>
  <si>
    <t>La alu S3</t>
  </si>
  <si>
    <t>LA alu S6</t>
  </si>
  <si>
    <t>Ka4</t>
  </si>
  <si>
    <t>Type</t>
  </si>
  <si>
    <t>Batch ID</t>
  </si>
  <si>
    <t>Quartz (g)</t>
  </si>
  <si>
    <t>Be spike (ug)</t>
  </si>
  <si>
    <t>uncert</t>
  </si>
  <si>
    <t>Al spike (ug)</t>
  </si>
  <si>
    <t>Al (ug) ICP-OES</t>
  </si>
  <si>
    <t>Uncert (%)</t>
  </si>
  <si>
    <t>uncert (ug/g)</t>
  </si>
  <si>
    <t>Be (ug) ICP-OES</t>
  </si>
  <si>
    <t>Be yield (%)</t>
  </si>
  <si>
    <t>Al yield blanks (%)</t>
  </si>
  <si>
    <t>10Be/9Be</t>
  </si>
  <si>
    <t>Uncertainty</t>
  </si>
  <si>
    <t>26Al/27Al</t>
  </si>
  <si>
    <t>unc</t>
  </si>
  <si>
    <r>
      <t>N10</t>
    </r>
    <r>
      <rPr>
        <b/>
        <vertAlign val="subscript"/>
        <sz val="12"/>
        <color theme="1"/>
        <rFont val="Calibri (Body)"/>
      </rPr>
      <t>blank</t>
    </r>
    <r>
      <rPr>
        <b/>
        <sz val="12"/>
        <color theme="1"/>
        <rFont val="Aptos Narrow"/>
        <family val="2"/>
        <scheme val="minor"/>
      </rPr>
      <t>/N10</t>
    </r>
    <r>
      <rPr>
        <b/>
        <vertAlign val="subscript"/>
        <sz val="12"/>
        <color theme="1"/>
        <rFont val="Calibri (Body)"/>
      </rPr>
      <t xml:space="preserve">sample </t>
    </r>
    <r>
      <rPr>
        <b/>
        <sz val="12"/>
        <color theme="1"/>
        <rFont val="Calibri (Body)"/>
      </rPr>
      <t>(%)</t>
    </r>
  </si>
  <si>
    <r>
      <t>N26</t>
    </r>
    <r>
      <rPr>
        <b/>
        <vertAlign val="subscript"/>
        <sz val="12"/>
        <color theme="1"/>
        <rFont val="Calibri (Body)"/>
      </rPr>
      <t>blank</t>
    </r>
    <r>
      <rPr>
        <b/>
        <sz val="12"/>
        <color theme="1"/>
        <rFont val="Aptos Narrow"/>
        <family val="2"/>
        <scheme val="minor"/>
      </rPr>
      <t>/N26</t>
    </r>
    <r>
      <rPr>
        <b/>
        <vertAlign val="subscript"/>
        <sz val="12"/>
        <color theme="1"/>
        <rFont val="Calibri (Body)"/>
      </rPr>
      <t xml:space="preserve">sample </t>
    </r>
    <r>
      <rPr>
        <b/>
        <sz val="12"/>
        <color theme="1"/>
        <rFont val="Calibri (Body)"/>
      </rPr>
      <t>(%)</t>
    </r>
  </si>
  <si>
    <t>Processing blank</t>
  </si>
  <si>
    <t>Sample</t>
  </si>
  <si>
    <t>La alu S6</t>
  </si>
  <si>
    <t>All samples are normalised to ICN-01-5-4 (10Be/Be = 2.851E-12, 1sigma=1.1%, Nishiizumi et al., 2007)</t>
  </si>
  <si>
    <t>Name</t>
  </si>
  <si>
    <t>Column1</t>
  </si>
  <si>
    <t>Blank name</t>
  </si>
  <si>
    <t>Rn (Blank, 1E-12)</t>
  </si>
  <si>
    <t>SE</t>
  </si>
  <si>
    <t>BLK FLAG</t>
  </si>
  <si>
    <t>live time (min)</t>
  </si>
  <si>
    <t>Total charge (mC)</t>
  </si>
  <si>
    <t>10B sec-1 microA-1</t>
  </si>
  <si>
    <t>R10/9n (1E-12)</t>
  </si>
  <si>
    <t>SE2</t>
  </si>
  <si>
    <t>rel. err. (%)</t>
  </si>
  <si>
    <t>R10/9nb (1E-12)</t>
  </si>
  <si>
    <t>SE3</t>
  </si>
  <si>
    <t>rel. Err. (%)4</t>
  </si>
  <si>
    <t>Comment</t>
  </si>
  <si>
    <t>none</t>
  </si>
  <si>
    <t>AU2311_2</t>
  </si>
  <si>
    <t>All samples are normalised to ICN-01-5-2 (26Al/Al = 1.82E-12, 1sigma=1.1%, Nishiizumi, 2007)</t>
  </si>
  <si>
    <t>live time (hrs)</t>
  </si>
  <si>
    <t>26Mg sec-1 microA-1</t>
  </si>
  <si>
    <t>R26/27n (1E-12)</t>
  </si>
  <si>
    <t>R26/27nb (1E-12)</t>
  </si>
  <si>
    <t>R26/27n</t>
  </si>
  <si>
    <t>Au2311</t>
  </si>
  <si>
    <t>Au2311_3</t>
  </si>
  <si>
    <t>Cipher</t>
  </si>
  <si>
    <t>Site</t>
  </si>
  <si>
    <t>Layer</t>
  </si>
  <si>
    <t>Height above the petrocalcic horizon (m)</t>
  </si>
  <si>
    <t>Depth below surfaces (m)</t>
  </si>
  <si>
    <r>
      <t>10</t>
    </r>
    <r>
      <rPr>
        <sz val="9"/>
        <color theme="1"/>
        <rFont val="Times New Roman"/>
        <family val="1"/>
      </rPr>
      <t>Be (atom/g)</t>
    </r>
  </si>
  <si>
    <r>
      <t xml:space="preserve">Error </t>
    </r>
    <r>
      <rPr>
        <vertAlign val="super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Be (atom/g)</t>
    </r>
  </si>
  <si>
    <r>
      <t>26</t>
    </r>
    <r>
      <rPr>
        <sz val="9"/>
        <color theme="1"/>
        <rFont val="Times New Roman"/>
        <family val="1"/>
      </rPr>
      <t>Al (atom/g)</t>
    </r>
  </si>
  <si>
    <r>
      <t xml:space="preserve">Error </t>
    </r>
    <r>
      <rPr>
        <vertAlign val="superscript"/>
        <sz val="9"/>
        <color theme="1"/>
        <rFont val="Times New Roman"/>
        <family val="1"/>
      </rPr>
      <t>26</t>
    </r>
    <r>
      <rPr>
        <sz val="9"/>
        <color theme="1"/>
        <rFont val="Times New Roman"/>
        <family val="1"/>
      </rPr>
      <t>Al (atom/g)</t>
    </r>
  </si>
  <si>
    <r>
      <t>26</t>
    </r>
    <r>
      <rPr>
        <sz val="9"/>
        <color theme="1"/>
        <rFont val="Times New Roman"/>
        <family val="1"/>
      </rPr>
      <t>Al/</t>
    </r>
    <r>
      <rPr>
        <vertAlign val="super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Be</t>
    </r>
  </si>
  <si>
    <t>Expedition</t>
  </si>
  <si>
    <t>year</t>
  </si>
  <si>
    <t>Included in the model</t>
  </si>
  <si>
    <t>KH27</t>
  </si>
  <si>
    <t>Ш-2/27</t>
  </si>
  <si>
    <t>Kh-III</t>
  </si>
  <si>
    <t>PC4</t>
  </si>
  <si>
    <t>0.53</t>
  </si>
  <si>
    <t>59.47</t>
  </si>
  <si>
    <t>5.7</t>
  </si>
  <si>
    <t>Artifact</t>
  </si>
  <si>
    <t>Yes</t>
  </si>
  <si>
    <t>KH29</t>
  </si>
  <si>
    <t>Ш-2/29</t>
  </si>
  <si>
    <t>0.39</t>
  </si>
  <si>
    <t>59.61</t>
  </si>
  <si>
    <t>5.8</t>
  </si>
  <si>
    <t>KH41</t>
  </si>
  <si>
    <t>Ш-2/41</t>
  </si>
  <si>
    <t>0.10</t>
  </si>
  <si>
    <t>59.38</t>
  </si>
  <si>
    <t>5.4</t>
  </si>
  <si>
    <t>OM3220</t>
  </si>
  <si>
    <t>1112/3220</t>
  </si>
  <si>
    <t>OM</t>
  </si>
  <si>
    <t>0.6</t>
  </si>
  <si>
    <t>49.78</t>
  </si>
  <si>
    <t>5.9</t>
  </si>
  <si>
    <t>LA431</t>
  </si>
  <si>
    <t>1112/431</t>
  </si>
  <si>
    <t>La-I</t>
  </si>
  <si>
    <t>PC5</t>
  </si>
  <si>
    <t>1.80</t>
  </si>
  <si>
    <t>63.23</t>
  </si>
  <si>
    <t>5.6</t>
  </si>
  <si>
    <t>LA540</t>
  </si>
  <si>
    <t>1112/540</t>
  </si>
  <si>
    <t>0.71</t>
  </si>
  <si>
    <t>64.32</t>
  </si>
  <si>
    <t>5.0</t>
  </si>
  <si>
    <t>LA727</t>
  </si>
  <si>
    <t>1112/727</t>
  </si>
  <si>
    <t>0.81</t>
  </si>
  <si>
    <t>64.22</t>
  </si>
  <si>
    <t>LA758</t>
  </si>
  <si>
    <t>1112/758</t>
  </si>
  <si>
    <t>64.03</t>
  </si>
  <si>
    <t>LA810</t>
  </si>
  <si>
    <t>1112/810</t>
  </si>
  <si>
    <t>1.11</t>
  </si>
  <si>
    <t>63.92</t>
  </si>
  <si>
    <t>5.5</t>
  </si>
  <si>
    <t>LA87</t>
  </si>
  <si>
    <t>1112/87</t>
  </si>
  <si>
    <t>1.4</t>
  </si>
  <si>
    <t>63.63</t>
  </si>
  <si>
    <t>LA917</t>
  </si>
  <si>
    <t>1112/917</t>
  </si>
  <si>
    <t>1.44</t>
  </si>
  <si>
    <t>63.59</t>
  </si>
  <si>
    <t>LA260</t>
  </si>
  <si>
    <t>1112/260</t>
  </si>
  <si>
    <t>5.3</t>
  </si>
  <si>
    <t>OM147</t>
  </si>
  <si>
    <t>О-М/147</t>
  </si>
  <si>
    <t>PC6</t>
  </si>
  <si>
    <t>1.08</t>
  </si>
  <si>
    <t>71.17</t>
  </si>
  <si>
    <t>4.8</t>
  </si>
  <si>
    <t>OM46</t>
  </si>
  <si>
    <t>О-М/46</t>
  </si>
  <si>
    <t>0.82</t>
  </si>
  <si>
    <t>71.43</t>
  </si>
  <si>
    <t>73.5</t>
  </si>
  <si>
    <t>5.1</t>
  </si>
  <si>
    <t>Loess</t>
  </si>
  <si>
    <t>No</t>
  </si>
  <si>
    <t>Laalu1s</t>
  </si>
  <si>
    <t>La-IV</t>
  </si>
  <si>
    <t>Alluvial</t>
  </si>
  <si>
    <t>4.5</t>
  </si>
  <si>
    <t>Sand</t>
  </si>
  <si>
    <t>Laalu3s</t>
  </si>
  <si>
    <t>4.0</t>
  </si>
  <si>
    <t>Laalu4.1</t>
  </si>
  <si>
    <t>Gravel</t>
  </si>
  <si>
    <t>Laalu4.2</t>
  </si>
  <si>
    <t>Laalu6s</t>
  </si>
  <si>
    <t>ПК4-01</t>
  </si>
  <si>
    <t>Kul</t>
  </si>
  <si>
    <t>1.5</t>
  </si>
  <si>
    <t>5.2</t>
  </si>
  <si>
    <t>KA1573</t>
  </si>
  <si>
    <t>1112/1573</t>
  </si>
  <si>
    <t>Ka</t>
  </si>
  <si>
    <t>1112/2990</t>
  </si>
  <si>
    <t>LA293</t>
  </si>
  <si>
    <t>1112/293</t>
  </si>
  <si>
    <t>Surface</t>
  </si>
  <si>
    <t>6.7</t>
  </si>
  <si>
    <t>OM67</t>
  </si>
  <si>
    <t>О-М/67</t>
  </si>
  <si>
    <t>6.8</t>
  </si>
  <si>
    <t>AU2109</t>
  </si>
  <si>
    <t>AU2204</t>
  </si>
  <si>
    <t>AU2109_2</t>
  </si>
  <si>
    <t>AU2204_3</t>
  </si>
  <si>
    <t>AU2109_4</t>
  </si>
  <si>
    <t>AU2204_4</t>
  </si>
  <si>
    <t>Blank</t>
  </si>
  <si>
    <r>
      <rPr>
        <b/>
        <sz val="9"/>
        <color theme="1"/>
        <rFont val="Times New Roman"/>
        <family val="1"/>
      </rPr>
      <t>Supplementary Data 4</t>
    </r>
    <r>
      <rPr>
        <sz val="9"/>
        <color theme="1"/>
        <rFont val="Times New Roman"/>
        <family val="1"/>
      </rPr>
      <t>: Cosmogenic nuclide data. Abbreviates: Kh: Khonako, OM: Obi-Mazar, La: Lakhuti, Kul: Kuldara, Ka: Karatau, PC: Pedocomplex. * Hieght above the petrocalcic horizon, ** Depth below surfaces, ***Included in the age-depth models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</si>
</sst>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%"/>
    <numFmt numFmtId="166" formatCode="0.000E+00"/>
    <numFmt numFmtId="167" formatCode="0.00000"/>
    <numFmt numFmtId="168" formatCode="0.0000"/>
    <numFmt numFmtId="169" formatCode="0.000000"/>
    <numFmt numFmtId="170" formatCode="0.000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bscript"/>
      <sz val="12"/>
      <color theme="1"/>
      <name val="Calibri (Body)"/>
    </font>
    <font>
      <b/>
      <sz val="12"/>
      <color theme="1"/>
      <name val="Calibri (Body)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theme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0" fillId="2" borderId="1" xfId="0" applyFill="1" applyBorder="1" applyProtection="1">
      <protection locked="0"/>
    </xf>
    <xf numFmtId="1" fontId="3" fillId="2" borderId="0" xfId="0" applyNumberFormat="1" applyFont="1" applyFill="1"/>
    <xf numFmtId="0" fontId="0" fillId="0" borderId="1" xfId="0" applyBorder="1" applyProtection="1">
      <protection locked="0"/>
    </xf>
    <xf numFmtId="1" fontId="3" fillId="0" borderId="0" xfId="0" applyNumberFormat="1" applyFont="1"/>
    <xf numFmtId="9" fontId="0" fillId="0" borderId="0" xfId="1" applyFont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2" borderId="3" xfId="0" applyFill="1" applyBorder="1" applyProtection="1">
      <protection locked="0"/>
    </xf>
    <xf numFmtId="0" fontId="0" fillId="2" borderId="0" xfId="0" applyFill="1"/>
    <xf numFmtId="2" fontId="0" fillId="2" borderId="0" xfId="0" applyNumberFormat="1" applyFill="1"/>
    <xf numFmtId="164" fontId="0" fillId="2" borderId="0" xfId="0" applyNumberFormat="1" applyFill="1"/>
    <xf numFmtId="11" fontId="0" fillId="0" borderId="0" xfId="0" applyNumberFormat="1"/>
    <xf numFmtId="1" fontId="3" fillId="3" borderId="0" xfId="0" applyNumberFormat="1" applyFont="1" applyFill="1"/>
    <xf numFmtId="165" fontId="3" fillId="3" borderId="0" xfId="0" applyNumberFormat="1" applyFont="1" applyFill="1"/>
    <xf numFmtId="9" fontId="3" fillId="3" borderId="0" xfId="1" applyFont="1" applyFill="1"/>
    <xf numFmtId="0" fontId="0" fillId="0" borderId="3" xfId="0" applyBorder="1" applyProtection="1">
      <protection locked="0"/>
    </xf>
    <xf numFmtId="2" fontId="0" fillId="0" borderId="0" xfId="0" applyNumberFormat="1"/>
    <xf numFmtId="164" fontId="0" fillId="0" borderId="0" xfId="0" applyNumberFormat="1"/>
    <xf numFmtId="165" fontId="3" fillId="0" borderId="0" xfId="1" applyNumberFormat="1" applyFont="1" applyFill="1"/>
    <xf numFmtId="165" fontId="3" fillId="0" borderId="0" xfId="1" applyNumberFormat="1" applyFont="1"/>
    <xf numFmtId="0" fontId="0" fillId="0" borderId="4" xfId="0" applyBorder="1" applyProtection="1">
      <protection locked="0"/>
    </xf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166" fontId="0" fillId="0" borderId="0" xfId="0" applyNumberFormat="1"/>
    <xf numFmtId="0" fontId="1" fillId="2" borderId="0" xfId="0" applyFont="1" applyFill="1"/>
    <xf numFmtId="167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8" fontId="1" fillId="2" borderId="0" xfId="0" applyNumberFormat="1" applyFont="1" applyFill="1" applyAlignment="1">
      <alignment horizontal="center"/>
    </xf>
    <xf numFmtId="168" fontId="1" fillId="2" borderId="0" xfId="0" applyNumberFormat="1" applyFont="1" applyFill="1" applyAlignment="1">
      <alignment horizontal="left"/>
    </xf>
    <xf numFmtId="11" fontId="0" fillId="2" borderId="0" xfId="0" applyNumberFormat="1" applyFill="1"/>
    <xf numFmtId="0" fontId="1" fillId="0" borderId="0" xfId="0" applyFont="1"/>
    <xf numFmtId="16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left"/>
    </xf>
    <xf numFmtId="0" fontId="0" fillId="0" borderId="6" xfId="0" applyBorder="1"/>
    <xf numFmtId="0" fontId="0" fillId="0" borderId="7" xfId="0" applyBorder="1"/>
    <xf numFmtId="169" fontId="0" fillId="0" borderId="7" xfId="0" applyNumberFormat="1" applyBorder="1"/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70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4" fontId="0" fillId="0" borderId="7" xfId="0" applyNumberFormat="1" applyBorder="1"/>
    <xf numFmtId="0" fontId="0" fillId="0" borderId="8" xfId="0" applyBorder="1"/>
    <xf numFmtId="169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169" fontId="3" fillId="0" borderId="10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2" fontId="3" fillId="0" borderId="10" xfId="0" applyNumberFormat="1" applyFont="1" applyBorder="1" applyAlignment="1">
      <alignment horizontal="center" wrapText="1"/>
    </xf>
    <xf numFmtId="170" fontId="3" fillId="0" borderId="10" xfId="0" applyNumberFormat="1" applyFon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1" fontId="0" fillId="0" borderId="0" xfId="0" applyNumberFormat="1"/>
    <xf numFmtId="165" fontId="0" fillId="0" borderId="0" xfId="1" applyNumberFormat="1" applyFont="1"/>
    <xf numFmtId="0" fontId="10" fillId="0" borderId="0" xfId="0" applyFont="1"/>
    <xf numFmtId="165" fontId="0" fillId="0" borderId="0" xfId="0" applyNumberFormat="1"/>
    <xf numFmtId="1" fontId="9" fillId="0" borderId="0" xfId="0" applyNumberFormat="1" applyFont="1"/>
    <xf numFmtId="0" fontId="0" fillId="3" borderId="0" xfId="0" applyFill="1"/>
    <xf numFmtId="2" fontId="0" fillId="3" borderId="0" xfId="0" applyNumberFormat="1" applyFill="1"/>
    <xf numFmtId="166" fontId="0" fillId="3" borderId="0" xfId="0" applyNumberFormat="1" applyFill="1"/>
    <xf numFmtId="9" fontId="0" fillId="3" borderId="0" xfId="1" applyFont="1" applyFill="1"/>
    <xf numFmtId="164" fontId="0" fillId="3" borderId="0" xfId="0" applyNumberFormat="1" applyFill="1"/>
    <xf numFmtId="1" fontId="0" fillId="3" borderId="0" xfId="0" applyNumberFormat="1" applyFill="1"/>
    <xf numFmtId="0" fontId="3" fillId="3" borderId="0" xfId="0" applyFont="1" applyFill="1"/>
    <xf numFmtId="164" fontId="3" fillId="0" borderId="0" xfId="0" applyNumberFormat="1" applyFont="1"/>
    <xf numFmtId="168" fontId="0" fillId="0" borderId="0" xfId="0" applyNumberFormat="1"/>
    <xf numFmtId="167" fontId="0" fillId="0" borderId="0" xfId="0" applyNumberFormat="1"/>
    <xf numFmtId="0" fontId="0" fillId="0" borderId="0" xfId="0" applyAlignment="1">
      <alignment vertical="center"/>
    </xf>
    <xf numFmtId="0" fontId="9" fillId="0" borderId="0" xfId="0" applyFont="1"/>
    <xf numFmtId="9" fontId="0" fillId="0" borderId="0" xfId="1" applyFont="1" applyFill="1"/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20">
    <dxf>
      <font>
        <color rgb="FFFF0000"/>
      </font>
      <fill>
        <patternFill>
          <bgColor theme="5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11E00-B6BA-4FB9-8AE5-1F96A9EF13AE}">
  <dimension ref="A1:N31"/>
  <sheetViews>
    <sheetView topLeftCell="A39" workbookViewId="0"/>
  </sheetViews>
  <sheetFormatPr defaultRowHeight="14.5"/>
  <sheetData>
    <row r="1" spans="1:14" ht="15" thickBot="1">
      <c r="A1" s="70" t="s">
        <v>190</v>
      </c>
    </row>
    <row r="2" spans="1:14" ht="25" customHeight="1">
      <c r="A2" s="94" t="s">
        <v>0</v>
      </c>
      <c r="B2" s="94" t="s">
        <v>70</v>
      </c>
      <c r="C2" s="94" t="s">
        <v>71</v>
      </c>
      <c r="D2" s="94" t="s">
        <v>72</v>
      </c>
      <c r="E2" s="94" t="s">
        <v>73</v>
      </c>
      <c r="F2" s="94" t="s">
        <v>74</v>
      </c>
      <c r="G2" s="96" t="s">
        <v>75</v>
      </c>
      <c r="H2" s="94" t="s">
        <v>76</v>
      </c>
      <c r="I2" s="96" t="s">
        <v>77</v>
      </c>
      <c r="J2" s="94" t="s">
        <v>78</v>
      </c>
      <c r="K2" s="96" t="s">
        <v>79</v>
      </c>
      <c r="L2" s="94" t="s">
        <v>22</v>
      </c>
      <c r="M2" s="72" t="s">
        <v>80</v>
      </c>
      <c r="N2" s="94" t="s">
        <v>82</v>
      </c>
    </row>
    <row r="3" spans="1:14" ht="15" thickBot="1">
      <c r="A3" s="95"/>
      <c r="B3" s="95"/>
      <c r="C3" s="95"/>
      <c r="D3" s="95"/>
      <c r="E3" s="95"/>
      <c r="F3" s="95"/>
      <c r="G3" s="97"/>
      <c r="H3" s="95"/>
      <c r="I3" s="97"/>
      <c r="J3" s="95"/>
      <c r="K3" s="97"/>
      <c r="L3" s="95"/>
      <c r="M3" s="73" t="s">
        <v>81</v>
      </c>
      <c r="N3" s="95"/>
    </row>
    <row r="4" spans="1:14">
      <c r="A4" s="71" t="s">
        <v>83</v>
      </c>
      <c r="B4" s="71" t="s">
        <v>84</v>
      </c>
      <c r="C4" s="71" t="s">
        <v>85</v>
      </c>
      <c r="D4" s="71" t="s">
        <v>86</v>
      </c>
      <c r="E4" s="71" t="s">
        <v>87</v>
      </c>
      <c r="F4" s="71" t="s">
        <v>88</v>
      </c>
      <c r="G4" s="74">
        <v>159941</v>
      </c>
      <c r="H4" s="74">
        <v>3327</v>
      </c>
      <c r="I4" s="74">
        <v>918555</v>
      </c>
      <c r="J4" s="74">
        <v>44270</v>
      </c>
      <c r="K4" s="71" t="s">
        <v>89</v>
      </c>
      <c r="L4" s="71" t="s">
        <v>90</v>
      </c>
      <c r="M4" s="71">
        <v>2000</v>
      </c>
      <c r="N4" s="71" t="s">
        <v>91</v>
      </c>
    </row>
    <row r="5" spans="1:14">
      <c r="A5" s="71" t="s">
        <v>92</v>
      </c>
      <c r="B5" s="71" t="s">
        <v>93</v>
      </c>
      <c r="C5" s="71" t="s">
        <v>85</v>
      </c>
      <c r="D5" s="71" t="s">
        <v>86</v>
      </c>
      <c r="E5" s="71" t="s">
        <v>94</v>
      </c>
      <c r="F5" s="71" t="s">
        <v>95</v>
      </c>
      <c r="G5" s="74">
        <v>185434</v>
      </c>
      <c r="H5" s="74">
        <v>5281</v>
      </c>
      <c r="I5" s="74">
        <v>1072101</v>
      </c>
      <c r="J5" s="74">
        <v>54482</v>
      </c>
      <c r="K5" s="71" t="s">
        <v>96</v>
      </c>
      <c r="L5" s="71" t="s">
        <v>90</v>
      </c>
      <c r="M5" s="71">
        <v>2000</v>
      </c>
      <c r="N5" s="71" t="s">
        <v>91</v>
      </c>
    </row>
    <row r="6" spans="1:14">
      <c r="A6" s="71" t="s">
        <v>97</v>
      </c>
      <c r="B6" s="71" t="s">
        <v>98</v>
      </c>
      <c r="C6" s="71" t="s">
        <v>85</v>
      </c>
      <c r="D6" s="71" t="s">
        <v>86</v>
      </c>
      <c r="E6" s="71" t="s">
        <v>99</v>
      </c>
      <c r="F6" s="71" t="s">
        <v>100</v>
      </c>
      <c r="G6" s="74">
        <v>196246</v>
      </c>
      <c r="H6" s="74">
        <v>3846</v>
      </c>
      <c r="I6" s="74">
        <v>1063941</v>
      </c>
      <c r="J6" s="74">
        <v>49411</v>
      </c>
      <c r="K6" s="71" t="s">
        <v>101</v>
      </c>
      <c r="L6" s="71" t="s">
        <v>90</v>
      </c>
      <c r="M6" s="71">
        <v>2000</v>
      </c>
      <c r="N6" s="71" t="s">
        <v>91</v>
      </c>
    </row>
    <row r="7" spans="1:14">
      <c r="A7" s="71" t="s">
        <v>102</v>
      </c>
      <c r="B7" s="71" t="s">
        <v>103</v>
      </c>
      <c r="C7" s="71" t="s">
        <v>104</v>
      </c>
      <c r="D7" s="71" t="s">
        <v>86</v>
      </c>
      <c r="E7" s="71" t="s">
        <v>105</v>
      </c>
      <c r="F7" s="71" t="s">
        <v>106</v>
      </c>
      <c r="G7" s="74">
        <v>159963</v>
      </c>
      <c r="H7" s="74">
        <v>6343</v>
      </c>
      <c r="I7" s="74">
        <v>940145</v>
      </c>
      <c r="J7" s="74">
        <v>62530</v>
      </c>
      <c r="K7" s="71" t="s">
        <v>107</v>
      </c>
      <c r="L7" s="71" t="s">
        <v>90</v>
      </c>
      <c r="M7" s="71">
        <v>1995</v>
      </c>
      <c r="N7" s="71" t="s">
        <v>91</v>
      </c>
    </row>
    <row r="8" spans="1:14">
      <c r="A8" s="71" t="s">
        <v>108</v>
      </c>
      <c r="B8" s="71" t="s">
        <v>109</v>
      </c>
      <c r="C8" s="71" t="s">
        <v>110</v>
      </c>
      <c r="D8" s="71" t="s">
        <v>111</v>
      </c>
      <c r="E8" s="71" t="s">
        <v>112</v>
      </c>
      <c r="F8" s="71" t="s">
        <v>113</v>
      </c>
      <c r="G8" s="74">
        <v>178096</v>
      </c>
      <c r="H8" s="74">
        <v>4422</v>
      </c>
      <c r="I8" s="74">
        <v>992023</v>
      </c>
      <c r="J8" s="74">
        <v>59060</v>
      </c>
      <c r="K8" s="74" t="s">
        <v>114</v>
      </c>
      <c r="L8" s="71" t="s">
        <v>90</v>
      </c>
      <c r="M8" s="71">
        <v>1976</v>
      </c>
      <c r="N8" s="71" t="s">
        <v>91</v>
      </c>
    </row>
    <row r="9" spans="1:14">
      <c r="A9" s="71" t="s">
        <v>115</v>
      </c>
      <c r="B9" s="71" t="s">
        <v>116</v>
      </c>
      <c r="C9" s="71" t="s">
        <v>110</v>
      </c>
      <c r="D9" s="71" t="s">
        <v>111</v>
      </c>
      <c r="E9" s="71" t="s">
        <v>117</v>
      </c>
      <c r="F9" s="71" t="s">
        <v>118</v>
      </c>
      <c r="G9" s="74">
        <v>111111</v>
      </c>
      <c r="H9" s="74">
        <v>3350</v>
      </c>
      <c r="I9" s="74">
        <v>552209</v>
      </c>
      <c r="J9" s="74">
        <v>42750</v>
      </c>
      <c r="K9" s="74" t="s">
        <v>119</v>
      </c>
      <c r="L9" s="71" t="s">
        <v>90</v>
      </c>
      <c r="M9" s="71">
        <v>1979</v>
      </c>
      <c r="N9" s="71" t="s">
        <v>91</v>
      </c>
    </row>
    <row r="10" spans="1:14">
      <c r="A10" s="71" t="s">
        <v>120</v>
      </c>
      <c r="B10" s="71" t="s">
        <v>121</v>
      </c>
      <c r="C10" s="71" t="s">
        <v>110</v>
      </c>
      <c r="D10" s="71" t="s">
        <v>111</v>
      </c>
      <c r="E10" s="71" t="s">
        <v>122</v>
      </c>
      <c r="F10" s="71" t="s">
        <v>123</v>
      </c>
      <c r="G10" s="74">
        <v>97807</v>
      </c>
      <c r="H10" s="74">
        <v>2407</v>
      </c>
      <c r="I10" s="74">
        <v>531854</v>
      </c>
      <c r="J10" s="74">
        <v>22174</v>
      </c>
      <c r="K10" s="74" t="s">
        <v>101</v>
      </c>
      <c r="L10" s="71" t="s">
        <v>90</v>
      </c>
      <c r="M10" s="71">
        <v>1979</v>
      </c>
      <c r="N10" s="71" t="s">
        <v>91</v>
      </c>
    </row>
    <row r="11" spans="1:14">
      <c r="A11" s="71" t="s">
        <v>124</v>
      </c>
      <c r="B11" s="71" t="s">
        <v>125</v>
      </c>
      <c r="C11" s="71" t="s">
        <v>110</v>
      </c>
      <c r="D11" s="71" t="s">
        <v>111</v>
      </c>
      <c r="E11" s="71">
        <v>1</v>
      </c>
      <c r="F11" s="71" t="s">
        <v>126</v>
      </c>
      <c r="G11" s="74">
        <v>133612</v>
      </c>
      <c r="H11" s="74">
        <v>4796</v>
      </c>
      <c r="I11" s="74">
        <v>777281</v>
      </c>
      <c r="J11" s="74">
        <v>46797</v>
      </c>
      <c r="K11" s="74" t="s">
        <v>96</v>
      </c>
      <c r="L11" s="71" t="s">
        <v>90</v>
      </c>
      <c r="M11" s="71">
        <v>1979</v>
      </c>
      <c r="N11" s="71" t="s">
        <v>91</v>
      </c>
    </row>
    <row r="12" spans="1:14">
      <c r="A12" s="71" t="s">
        <v>127</v>
      </c>
      <c r="B12" s="71" t="s">
        <v>128</v>
      </c>
      <c r="C12" s="71" t="s">
        <v>110</v>
      </c>
      <c r="D12" s="71" t="s">
        <v>111</v>
      </c>
      <c r="E12" s="71" t="s">
        <v>129</v>
      </c>
      <c r="F12" s="71" t="s">
        <v>130</v>
      </c>
      <c r="G12" s="74">
        <v>172893</v>
      </c>
      <c r="H12" s="74">
        <v>3814</v>
      </c>
      <c r="I12" s="74">
        <v>949885</v>
      </c>
      <c r="J12" s="74">
        <v>44151</v>
      </c>
      <c r="K12" s="74" t="s">
        <v>131</v>
      </c>
      <c r="L12" s="71" t="s">
        <v>90</v>
      </c>
      <c r="M12" s="71">
        <v>1979</v>
      </c>
      <c r="N12" s="71" t="s">
        <v>91</v>
      </c>
    </row>
    <row r="13" spans="1:14">
      <c r="A13" s="71" t="s">
        <v>132</v>
      </c>
      <c r="B13" s="71" t="s">
        <v>133</v>
      </c>
      <c r="C13" s="71" t="s">
        <v>110</v>
      </c>
      <c r="D13" s="71" t="s">
        <v>111</v>
      </c>
      <c r="E13" s="71" t="s">
        <v>134</v>
      </c>
      <c r="F13" s="71" t="s">
        <v>135</v>
      </c>
      <c r="G13" s="74">
        <v>125083</v>
      </c>
      <c r="H13" s="74">
        <v>5072</v>
      </c>
      <c r="I13" s="74">
        <v>669266</v>
      </c>
      <c r="J13" s="74">
        <v>37509</v>
      </c>
      <c r="K13" s="74" t="s">
        <v>101</v>
      </c>
      <c r="L13" s="71" t="s">
        <v>90</v>
      </c>
      <c r="M13" s="71">
        <v>1976</v>
      </c>
      <c r="N13" s="71" t="s">
        <v>91</v>
      </c>
    </row>
    <row r="14" spans="1:14">
      <c r="A14" s="71" t="s">
        <v>136</v>
      </c>
      <c r="B14" s="71" t="s">
        <v>137</v>
      </c>
      <c r="C14" s="71" t="s">
        <v>110</v>
      </c>
      <c r="D14" s="71" t="s">
        <v>111</v>
      </c>
      <c r="E14" s="71" t="s">
        <v>138</v>
      </c>
      <c r="F14" s="71" t="s">
        <v>139</v>
      </c>
      <c r="G14" s="74">
        <v>150742</v>
      </c>
      <c r="H14" s="74">
        <v>5872</v>
      </c>
      <c r="I14" s="74">
        <v>869743</v>
      </c>
      <c r="J14" s="74">
        <v>56916</v>
      </c>
      <c r="K14" s="74" t="s">
        <v>96</v>
      </c>
      <c r="L14" s="71" t="s">
        <v>90</v>
      </c>
      <c r="M14" s="71">
        <v>1979</v>
      </c>
      <c r="N14" s="71" t="s">
        <v>91</v>
      </c>
    </row>
    <row r="15" spans="1:14">
      <c r="A15" s="71" t="s">
        <v>140</v>
      </c>
      <c r="B15" s="71" t="s">
        <v>141</v>
      </c>
      <c r="C15" s="71" t="s">
        <v>110</v>
      </c>
      <c r="D15" s="71" t="s">
        <v>111</v>
      </c>
      <c r="E15" s="71">
        <v>1</v>
      </c>
      <c r="F15" s="71" t="s">
        <v>126</v>
      </c>
      <c r="G15" s="74">
        <v>145059</v>
      </c>
      <c r="H15" s="74">
        <v>5280</v>
      </c>
      <c r="I15" s="74">
        <v>775647</v>
      </c>
      <c r="J15" s="74">
        <v>70468</v>
      </c>
      <c r="K15" s="74" t="s">
        <v>142</v>
      </c>
      <c r="L15" s="71" t="s">
        <v>90</v>
      </c>
      <c r="M15" s="71">
        <v>1976</v>
      </c>
      <c r="N15" s="71" t="s">
        <v>91</v>
      </c>
    </row>
    <row r="16" spans="1:14">
      <c r="A16" s="71" t="s">
        <v>143</v>
      </c>
      <c r="B16" s="71" t="s">
        <v>144</v>
      </c>
      <c r="C16" s="71" t="s">
        <v>104</v>
      </c>
      <c r="D16" s="71" t="s">
        <v>145</v>
      </c>
      <c r="E16" s="71" t="s">
        <v>146</v>
      </c>
      <c r="F16" s="71" t="s">
        <v>147</v>
      </c>
      <c r="G16" s="74">
        <v>277294</v>
      </c>
      <c r="H16" s="74">
        <v>4344</v>
      </c>
      <c r="I16" s="74">
        <v>1336378</v>
      </c>
      <c r="J16" s="74">
        <v>54747</v>
      </c>
      <c r="K16" s="74" t="s">
        <v>148</v>
      </c>
      <c r="L16" s="71" t="s">
        <v>90</v>
      </c>
      <c r="M16" s="71">
        <v>1997</v>
      </c>
      <c r="N16" s="71" t="s">
        <v>91</v>
      </c>
    </row>
    <row r="17" spans="1:14">
      <c r="A17" s="71" t="s">
        <v>149</v>
      </c>
      <c r="B17" s="71" t="s">
        <v>150</v>
      </c>
      <c r="C17" s="71" t="s">
        <v>104</v>
      </c>
      <c r="D17" s="71" t="s">
        <v>145</v>
      </c>
      <c r="E17" s="71" t="s">
        <v>151</v>
      </c>
      <c r="F17" s="71" t="s">
        <v>152</v>
      </c>
      <c r="G17" s="74">
        <v>140144</v>
      </c>
      <c r="H17" s="74">
        <v>10456</v>
      </c>
      <c r="I17" s="74">
        <v>752532</v>
      </c>
      <c r="J17" s="74">
        <v>66226</v>
      </c>
      <c r="K17" s="74" t="s">
        <v>101</v>
      </c>
      <c r="L17" s="71" t="s">
        <v>90</v>
      </c>
      <c r="M17" s="71">
        <v>1997</v>
      </c>
      <c r="N17" s="71" t="s">
        <v>91</v>
      </c>
    </row>
    <row r="18" spans="1:14">
      <c r="A18" s="71" t="s">
        <v>15</v>
      </c>
      <c r="B18" s="71"/>
      <c r="C18" s="71" t="s">
        <v>104</v>
      </c>
      <c r="D18" s="71" t="s">
        <v>145</v>
      </c>
      <c r="E18" s="71"/>
      <c r="F18" s="71" t="s">
        <v>153</v>
      </c>
      <c r="G18" s="74">
        <v>122433</v>
      </c>
      <c r="H18" s="74">
        <v>10473</v>
      </c>
      <c r="I18" s="74">
        <v>624853</v>
      </c>
      <c r="J18" s="74">
        <v>443589</v>
      </c>
      <c r="K18" s="71" t="s">
        <v>154</v>
      </c>
      <c r="L18" s="71" t="s">
        <v>155</v>
      </c>
      <c r="M18" s="71">
        <v>2021</v>
      </c>
      <c r="N18" s="71" t="s">
        <v>156</v>
      </c>
    </row>
    <row r="19" spans="1:14">
      <c r="A19" s="71" t="s">
        <v>157</v>
      </c>
      <c r="B19" s="71"/>
      <c r="C19" s="71" t="s">
        <v>158</v>
      </c>
      <c r="D19" s="71" t="s">
        <v>159</v>
      </c>
      <c r="E19" s="71"/>
      <c r="F19" s="71"/>
      <c r="G19" s="74">
        <v>26700</v>
      </c>
      <c r="H19" s="74">
        <v>2538</v>
      </c>
      <c r="I19" s="74">
        <v>120943</v>
      </c>
      <c r="J19" s="74">
        <v>32382</v>
      </c>
      <c r="K19" s="71" t="s">
        <v>160</v>
      </c>
      <c r="L19" s="71" t="s">
        <v>161</v>
      </c>
      <c r="M19" s="71">
        <v>2022</v>
      </c>
      <c r="N19" s="71" t="s">
        <v>156</v>
      </c>
    </row>
    <row r="20" spans="1:14">
      <c r="A20" s="71" t="s">
        <v>162</v>
      </c>
      <c r="B20" s="71"/>
      <c r="C20" s="71" t="s">
        <v>158</v>
      </c>
      <c r="D20" s="71" t="s">
        <v>159</v>
      </c>
      <c r="E20" s="71"/>
      <c r="F20" s="71"/>
      <c r="G20" s="74">
        <v>31265</v>
      </c>
      <c r="H20" s="74">
        <v>3313</v>
      </c>
      <c r="I20" s="74">
        <v>123828</v>
      </c>
      <c r="J20" s="74">
        <v>22486</v>
      </c>
      <c r="K20" s="71" t="s">
        <v>163</v>
      </c>
      <c r="L20" s="71" t="s">
        <v>161</v>
      </c>
      <c r="M20" s="71">
        <v>2022</v>
      </c>
      <c r="N20" s="71" t="s">
        <v>156</v>
      </c>
    </row>
    <row r="21" spans="1:14">
      <c r="A21" s="71" t="s">
        <v>164</v>
      </c>
      <c r="B21" s="71"/>
      <c r="C21" s="71" t="s">
        <v>158</v>
      </c>
      <c r="D21" s="71" t="s">
        <v>159</v>
      </c>
      <c r="E21" s="71"/>
      <c r="F21" s="71"/>
      <c r="G21" s="74">
        <v>32907</v>
      </c>
      <c r="H21" s="74">
        <v>2863</v>
      </c>
      <c r="I21" s="74">
        <v>173591</v>
      </c>
      <c r="J21" s="74">
        <v>21298</v>
      </c>
      <c r="K21" s="71" t="s">
        <v>142</v>
      </c>
      <c r="L21" s="71" t="s">
        <v>165</v>
      </c>
      <c r="M21" s="71">
        <v>2022</v>
      </c>
      <c r="N21" s="71" t="s">
        <v>156</v>
      </c>
    </row>
    <row r="22" spans="1:14">
      <c r="A22" s="71" t="s">
        <v>166</v>
      </c>
      <c r="B22" s="71"/>
      <c r="C22" s="71" t="s">
        <v>158</v>
      </c>
      <c r="D22" s="71" t="s">
        <v>159</v>
      </c>
      <c r="E22" s="71"/>
      <c r="F22" s="71"/>
      <c r="G22" s="74">
        <v>36078</v>
      </c>
      <c r="H22" s="74">
        <v>3077</v>
      </c>
      <c r="I22" s="74">
        <v>173659</v>
      </c>
      <c r="J22" s="74">
        <v>28770</v>
      </c>
      <c r="K22" s="71" t="s">
        <v>148</v>
      </c>
      <c r="L22" s="71" t="s">
        <v>165</v>
      </c>
      <c r="M22" s="71">
        <v>2022</v>
      </c>
      <c r="N22" s="71" t="s">
        <v>156</v>
      </c>
    </row>
    <row r="23" spans="1:14">
      <c r="A23" s="71" t="s">
        <v>167</v>
      </c>
      <c r="B23" s="71"/>
      <c r="C23" s="71" t="s">
        <v>158</v>
      </c>
      <c r="D23" s="71" t="s">
        <v>159</v>
      </c>
      <c r="E23" s="71"/>
      <c r="F23" s="71"/>
      <c r="G23" s="74">
        <v>24884</v>
      </c>
      <c r="H23" s="74">
        <v>2355</v>
      </c>
      <c r="I23" s="74">
        <v>139277</v>
      </c>
      <c r="J23" s="74">
        <v>20640</v>
      </c>
      <c r="K23" s="71" t="s">
        <v>114</v>
      </c>
      <c r="L23" s="71" t="s">
        <v>161</v>
      </c>
      <c r="M23" s="71">
        <v>2022</v>
      </c>
      <c r="N23" s="71" t="s">
        <v>156</v>
      </c>
    </row>
    <row r="24" spans="1:14">
      <c r="A24" s="71" t="s">
        <v>13</v>
      </c>
      <c r="B24" s="71" t="s">
        <v>168</v>
      </c>
      <c r="C24" s="71" t="s">
        <v>169</v>
      </c>
      <c r="D24" s="71" t="s">
        <v>86</v>
      </c>
      <c r="E24" s="74" t="s">
        <v>170</v>
      </c>
      <c r="F24" s="74">
        <v>29</v>
      </c>
      <c r="G24" s="74">
        <v>141933</v>
      </c>
      <c r="H24" s="74">
        <v>8016</v>
      </c>
      <c r="I24" s="74">
        <v>744332</v>
      </c>
      <c r="J24" s="74">
        <v>49511</v>
      </c>
      <c r="K24" s="71" t="s">
        <v>171</v>
      </c>
      <c r="L24" s="71" t="s">
        <v>90</v>
      </c>
      <c r="M24" s="71">
        <v>2021</v>
      </c>
      <c r="N24" s="71" t="s">
        <v>91</v>
      </c>
    </row>
    <row r="25" spans="1:14">
      <c r="A25" s="71" t="s">
        <v>14</v>
      </c>
      <c r="B25" s="71" t="s">
        <v>168</v>
      </c>
      <c r="C25" s="71" t="s">
        <v>169</v>
      </c>
      <c r="D25" s="71" t="s">
        <v>86</v>
      </c>
      <c r="E25" s="74" t="s">
        <v>170</v>
      </c>
      <c r="F25" s="74">
        <v>29</v>
      </c>
      <c r="G25" s="74">
        <v>145689</v>
      </c>
      <c r="H25" s="74">
        <v>9139</v>
      </c>
      <c r="I25" s="74">
        <v>803096</v>
      </c>
      <c r="J25" s="74">
        <v>57439</v>
      </c>
      <c r="K25" s="71" t="s">
        <v>131</v>
      </c>
      <c r="L25" s="71" t="s">
        <v>90</v>
      </c>
      <c r="M25" s="71">
        <v>2021</v>
      </c>
      <c r="N25" s="71" t="s">
        <v>91</v>
      </c>
    </row>
    <row r="26" spans="1:14">
      <c r="A26" s="71" t="s">
        <v>172</v>
      </c>
      <c r="B26" s="71" t="s">
        <v>173</v>
      </c>
      <c r="C26" s="71" t="s">
        <v>174</v>
      </c>
      <c r="D26" s="71" t="s">
        <v>145</v>
      </c>
      <c r="E26" s="71"/>
      <c r="F26" s="71"/>
      <c r="G26" s="74">
        <v>170389</v>
      </c>
      <c r="H26" s="74">
        <v>3641</v>
      </c>
      <c r="I26" s="74">
        <v>1013056</v>
      </c>
      <c r="J26" s="74">
        <v>40396</v>
      </c>
      <c r="K26" s="74" t="s">
        <v>107</v>
      </c>
      <c r="L26" s="71" t="s">
        <v>90</v>
      </c>
      <c r="M26" s="71">
        <v>1982</v>
      </c>
      <c r="N26" s="71" t="s">
        <v>156</v>
      </c>
    </row>
    <row r="27" spans="1:14" ht="15" thickBot="1">
      <c r="A27" s="73" t="s">
        <v>21</v>
      </c>
      <c r="B27" s="73" t="s">
        <v>175</v>
      </c>
      <c r="C27" s="73" t="s">
        <v>174</v>
      </c>
      <c r="D27" s="73" t="s">
        <v>145</v>
      </c>
      <c r="E27" s="73"/>
      <c r="F27" s="73"/>
      <c r="G27" s="75">
        <v>246287</v>
      </c>
      <c r="H27" s="75">
        <v>13695</v>
      </c>
      <c r="I27" s="75">
        <v>1188794</v>
      </c>
      <c r="J27" s="75">
        <v>77846</v>
      </c>
      <c r="K27" s="73" t="s">
        <v>148</v>
      </c>
      <c r="L27" s="73" t="s">
        <v>90</v>
      </c>
      <c r="M27" s="73">
        <v>1986</v>
      </c>
      <c r="N27" s="73" t="s">
        <v>156</v>
      </c>
    </row>
    <row r="28" spans="1:14">
      <c r="A28" s="71" t="s">
        <v>176</v>
      </c>
      <c r="B28" s="71" t="s">
        <v>177</v>
      </c>
      <c r="C28" s="71" t="s">
        <v>110</v>
      </c>
      <c r="D28" s="71" t="s">
        <v>178</v>
      </c>
      <c r="E28" s="71"/>
      <c r="F28" s="71"/>
      <c r="G28" s="74">
        <v>117248</v>
      </c>
      <c r="H28" s="74">
        <v>7287</v>
      </c>
      <c r="I28" s="74">
        <v>781466</v>
      </c>
      <c r="J28" s="74">
        <v>59504</v>
      </c>
      <c r="K28" s="74" t="s">
        <v>179</v>
      </c>
      <c r="L28" s="71" t="s">
        <v>90</v>
      </c>
      <c r="M28" s="71">
        <v>1976</v>
      </c>
      <c r="N28" s="71" t="s">
        <v>156</v>
      </c>
    </row>
    <row r="29" spans="1:14">
      <c r="A29" s="71" t="s">
        <v>180</v>
      </c>
      <c r="B29" s="71" t="s">
        <v>181</v>
      </c>
      <c r="C29" s="71" t="s">
        <v>104</v>
      </c>
      <c r="D29" s="71" t="s">
        <v>178</v>
      </c>
      <c r="E29" s="71"/>
      <c r="F29" s="71"/>
      <c r="G29" s="74">
        <v>66818</v>
      </c>
      <c r="H29" s="74">
        <v>3965</v>
      </c>
      <c r="I29" s="74">
        <v>456055</v>
      </c>
      <c r="J29" s="74">
        <v>47714</v>
      </c>
      <c r="K29" s="74" t="s">
        <v>182</v>
      </c>
      <c r="L29" s="71" t="s">
        <v>90</v>
      </c>
      <c r="M29" s="71">
        <v>1997</v>
      </c>
      <c r="N29" s="71" t="s">
        <v>156</v>
      </c>
    </row>
    <row r="30" spans="1:14">
      <c r="A30" s="71" t="s">
        <v>11</v>
      </c>
      <c r="B30" s="71"/>
      <c r="C30" s="71" t="s">
        <v>169</v>
      </c>
      <c r="D30" s="71" t="s">
        <v>178</v>
      </c>
      <c r="E30" s="71"/>
      <c r="F30" s="71"/>
      <c r="G30" s="74">
        <v>67206</v>
      </c>
      <c r="H30" s="74">
        <v>4226</v>
      </c>
      <c r="I30" s="74">
        <v>460065</v>
      </c>
      <c r="J30" s="74">
        <v>35395</v>
      </c>
      <c r="K30" s="71" t="s">
        <v>182</v>
      </c>
      <c r="L30" s="71" t="s">
        <v>90</v>
      </c>
      <c r="M30" s="71">
        <v>1981</v>
      </c>
      <c r="N30" s="71" t="s">
        <v>156</v>
      </c>
    </row>
    <row r="31" spans="1:14" ht="15" thickBot="1">
      <c r="A31" s="73" t="s">
        <v>12</v>
      </c>
      <c r="B31" s="73"/>
      <c r="C31" s="73" t="s">
        <v>169</v>
      </c>
      <c r="D31" s="73" t="s">
        <v>178</v>
      </c>
      <c r="E31" s="73"/>
      <c r="F31" s="73"/>
      <c r="G31" s="75">
        <v>66360</v>
      </c>
      <c r="H31" s="75">
        <v>3140</v>
      </c>
      <c r="I31" s="75">
        <v>449162</v>
      </c>
      <c r="J31" s="75">
        <v>35363</v>
      </c>
      <c r="K31" s="73" t="s">
        <v>182</v>
      </c>
      <c r="L31" s="73" t="s">
        <v>90</v>
      </c>
      <c r="M31" s="73">
        <v>1981</v>
      </c>
      <c r="N31" s="73" t="s">
        <v>156</v>
      </c>
    </row>
  </sheetData>
  <mergeCells count="13">
    <mergeCell ref="N2:N3"/>
    <mergeCell ref="G2:G3"/>
    <mergeCell ref="H2:H3"/>
    <mergeCell ref="I2:I3"/>
    <mergeCell ref="J2:J3"/>
    <mergeCell ref="K2:K3"/>
    <mergeCell ref="L2:L3"/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A22A-B236-430F-BFAF-04FB42D77AC9}">
  <dimension ref="A1:L29"/>
  <sheetViews>
    <sheetView tabSelected="1" workbookViewId="0">
      <selection activeCell="I2" sqref="I2"/>
    </sheetView>
  </sheetViews>
  <sheetFormatPr defaultRowHeight="14.5"/>
  <cols>
    <col min="1" max="1" width="15.26953125" customWidth="1"/>
    <col min="2" max="2" width="9" bestFit="1" customWidth="1"/>
  </cols>
  <sheetData>
    <row r="1" spans="1:12" ht="52.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2</v>
      </c>
      <c r="H1" s="3" t="s">
        <v>3</v>
      </c>
      <c r="I1" s="4" t="s">
        <v>6</v>
      </c>
      <c r="J1" s="2" t="s">
        <v>7</v>
      </c>
      <c r="K1" s="2" t="s">
        <v>8</v>
      </c>
      <c r="L1" s="2" t="s">
        <v>9</v>
      </c>
    </row>
    <row r="2" spans="1:12" ht="16">
      <c r="A2" s="5" t="s">
        <v>10</v>
      </c>
      <c r="B2" s="80">
        <v>43381.841708801898</v>
      </c>
      <c r="C2" s="80">
        <v>14491.938900604489</v>
      </c>
      <c r="D2" s="93">
        <v>0.33405540958543861</v>
      </c>
      <c r="F2">
        <v>37786.041378021087</v>
      </c>
      <c r="G2">
        <v>17309.776309021818</v>
      </c>
      <c r="H2" s="76">
        <f t="shared" ref="H2:H10" si="0">G2/F2*100</f>
        <v>45.809975529985927</v>
      </c>
      <c r="L2" t="s">
        <v>189</v>
      </c>
    </row>
    <row r="3" spans="1:12" ht="16">
      <c r="A3" s="7" t="s">
        <v>11</v>
      </c>
      <c r="B3" s="80">
        <v>67171.617913483758</v>
      </c>
      <c r="C3" s="80">
        <v>4200.1357188446955</v>
      </c>
      <c r="D3" s="9">
        <v>6.252842866245116E-2</v>
      </c>
      <c r="F3">
        <v>483057.6752586682</v>
      </c>
      <c r="G3">
        <v>35133.613520174833</v>
      </c>
      <c r="H3" s="76">
        <f t="shared" si="0"/>
        <v>7.2731715734278417</v>
      </c>
    </row>
    <row r="4" spans="1:12" ht="16">
      <c r="A4" s="7" t="s">
        <v>12</v>
      </c>
      <c r="B4" s="80">
        <v>66367.942554123365</v>
      </c>
      <c r="C4" s="80">
        <v>3152.2761956668037</v>
      </c>
      <c r="D4" s="9">
        <v>4.7496970289475339E-2</v>
      </c>
      <c r="F4">
        <v>469517.05737752659</v>
      </c>
      <c r="G4">
        <v>35041.532720696217</v>
      </c>
      <c r="H4" s="76">
        <f t="shared" si="0"/>
        <v>7.463314094789153</v>
      </c>
    </row>
    <row r="5" spans="1:12" ht="16">
      <c r="A5" s="7" t="s">
        <v>13</v>
      </c>
      <c r="B5" s="80">
        <v>141914.82374999358</v>
      </c>
      <c r="C5" s="80">
        <v>8056.4228729050474</v>
      </c>
      <c r="D5" s="9">
        <v>5.6769424504220699E-2</v>
      </c>
      <c r="F5">
        <v>780203.15876307467</v>
      </c>
      <c r="G5">
        <v>48082.276115982866</v>
      </c>
      <c r="H5" s="76">
        <f t="shared" si="0"/>
        <v>6.1627892140570113</v>
      </c>
    </row>
    <row r="6" spans="1:12" ht="16">
      <c r="A6" s="7" t="s">
        <v>14</v>
      </c>
      <c r="B6" s="80">
        <v>68626.286164961144</v>
      </c>
      <c r="C6" s="80">
        <v>5834.037474950962</v>
      </c>
      <c r="D6" s="9">
        <v>8.5011703255037499E-2</v>
      </c>
      <c r="F6">
        <v>835177.99680549151</v>
      </c>
      <c r="G6">
        <v>55967.021118371566</v>
      </c>
      <c r="H6" s="76">
        <f t="shared" si="0"/>
        <v>6.7012087641726978</v>
      </c>
    </row>
    <row r="7" spans="1:12" ht="16">
      <c r="A7" s="7" t="s">
        <v>15</v>
      </c>
      <c r="B7" s="80">
        <v>122383.14607168935</v>
      </c>
      <c r="C7" s="80">
        <v>10431.039411822869</v>
      </c>
      <c r="D7" s="9">
        <v>8.5232646378551144E-2</v>
      </c>
      <c r="F7">
        <v>649157.08985219966</v>
      </c>
      <c r="G7">
        <v>460472.15649973729</v>
      </c>
      <c r="H7" s="76">
        <f t="shared" si="0"/>
        <v>70.933856180262595</v>
      </c>
    </row>
    <row r="8" spans="1:12" ht="16">
      <c r="A8" s="7" t="s">
        <v>16</v>
      </c>
      <c r="B8" s="80">
        <v>32920.225512351841</v>
      </c>
      <c r="C8" s="80">
        <v>2851.043695867399</v>
      </c>
      <c r="D8" s="9">
        <v>8.6604622279931598E-2</v>
      </c>
      <c r="F8">
        <v>180247.81214131389</v>
      </c>
      <c r="G8">
        <v>21641.788452907374</v>
      </c>
      <c r="H8" s="76">
        <f t="shared" si="0"/>
        <v>12.006685793190245</v>
      </c>
    </row>
    <row r="9" spans="1:12" ht="16">
      <c r="A9" s="7" t="s">
        <v>17</v>
      </c>
      <c r="B9" s="80">
        <v>76561.314913724054</v>
      </c>
      <c r="C9" s="80">
        <v>4802.0877238262465</v>
      </c>
      <c r="D9" s="9">
        <v>6.2722116636027697E-2</v>
      </c>
      <c r="F9">
        <v>179342.21254366523</v>
      </c>
      <c r="G9">
        <v>29364.73854887292</v>
      </c>
      <c r="H9" s="76">
        <f t="shared" si="0"/>
        <v>16.373578831432873</v>
      </c>
    </row>
    <row r="10" spans="1:12" ht="16">
      <c r="A10" s="7" t="s">
        <v>18</v>
      </c>
      <c r="B10" s="80">
        <v>26685.660267711613</v>
      </c>
      <c r="C10" s="80">
        <v>2511.475639075351</v>
      </c>
      <c r="D10" s="9">
        <v>9.4113303320214933E-2</v>
      </c>
      <c r="F10">
        <v>126382.1379956076</v>
      </c>
      <c r="G10">
        <v>33679.465625663637</v>
      </c>
      <c r="H10" s="76">
        <f t="shared" si="0"/>
        <v>26.648912702231829</v>
      </c>
    </row>
    <row r="11" spans="1:12" ht="16">
      <c r="A11" s="10" t="s">
        <v>19</v>
      </c>
      <c r="B11" s="80">
        <v>31226.559537181129</v>
      </c>
      <c r="C11" s="80">
        <v>3313.1157940226835</v>
      </c>
      <c r="D11" s="9">
        <v>0.10609928993547278</v>
      </c>
      <c r="F11">
        <v>129844.813337559</v>
      </c>
      <c r="G11">
        <v>23342.555047886894</v>
      </c>
      <c r="H11" s="76">
        <f>G11/F11*100</f>
        <v>17.977271827718674</v>
      </c>
    </row>
    <row r="12" spans="1:12" ht="16">
      <c r="A12" s="7" t="s">
        <v>42</v>
      </c>
      <c r="B12" s="80">
        <v>24881.570305455654</v>
      </c>
      <c r="C12" s="80">
        <v>2317.0407591663325</v>
      </c>
      <c r="D12" s="9">
        <v>9.3122770416877054E-2</v>
      </c>
      <c r="F12">
        <v>146806.49273331239</v>
      </c>
      <c r="G12">
        <v>21424.018722345463</v>
      </c>
      <c r="H12" s="76">
        <f>G12/F12*100</f>
        <v>14.593372761288004</v>
      </c>
    </row>
    <row r="13" spans="1:12" ht="16">
      <c r="A13" s="11" t="s">
        <v>21</v>
      </c>
      <c r="B13" s="80">
        <v>246230.75590268875</v>
      </c>
      <c r="C13" s="80">
        <v>13721.84041136825</v>
      </c>
      <c r="D13" s="9">
        <v>5.5727564824563057E-2</v>
      </c>
      <c r="F13">
        <v>1236972.1413275083</v>
      </c>
      <c r="G13">
        <v>74933.13028198031</v>
      </c>
      <c r="H13" s="76">
        <f>G13/F13*100</f>
        <v>6.0577864107402366</v>
      </c>
    </row>
    <row r="14" spans="1:12">
      <c r="A14" s="81" t="s">
        <v>183</v>
      </c>
      <c r="B14">
        <v>7480.3514308839103</v>
      </c>
      <c r="C14">
        <v>3403.9590439994467</v>
      </c>
      <c r="D14">
        <f>0.455053358849642*100</f>
        <v>45.505335884964197</v>
      </c>
      <c r="F14">
        <v>0</v>
      </c>
      <c r="G14">
        <v>0</v>
      </c>
      <c r="L14" t="s">
        <v>189</v>
      </c>
    </row>
    <row r="15" spans="1:12">
      <c r="A15" t="s">
        <v>172</v>
      </c>
      <c r="B15" s="76">
        <v>170388.73183153974</v>
      </c>
      <c r="C15" s="76">
        <v>3640.583653652242</v>
      </c>
      <c r="D15" s="9">
        <v>2.1366340452909888E-2</v>
      </c>
      <c r="E15" s="77">
        <v>3.7809628058289866E-3</v>
      </c>
      <c r="F15" s="76">
        <v>1013056.458198676</v>
      </c>
      <c r="G15" s="76">
        <v>40396.456667684914</v>
      </c>
      <c r="H15" s="76">
        <f>G15/F15*100</f>
        <v>3.9875819694703081</v>
      </c>
      <c r="I15" s="77">
        <v>0</v>
      </c>
      <c r="J15" s="24">
        <v>5.9455601747201605</v>
      </c>
      <c r="K15" s="24">
        <v>0.2689734559183608</v>
      </c>
    </row>
    <row r="16" spans="1:12">
      <c r="A16" t="s">
        <v>83</v>
      </c>
      <c r="B16" s="76">
        <v>159941.43280165171</v>
      </c>
      <c r="C16" s="76">
        <v>3326.5561043669773</v>
      </c>
      <c r="D16" s="9">
        <v>2.0798588871542383E-2</v>
      </c>
      <c r="E16" s="77">
        <v>4.4917354619872056E-3</v>
      </c>
      <c r="F16" s="76">
        <v>918554.77663208521</v>
      </c>
      <c r="G16" s="76">
        <v>44270.40613209275</v>
      </c>
      <c r="H16" s="76">
        <f t="shared" ref="H16:H22" si="1">G16/F16*100</f>
        <v>4.8195717074611286</v>
      </c>
      <c r="I16" s="77">
        <v>0</v>
      </c>
      <c r="J16" s="24">
        <v>5.7430695757941175</v>
      </c>
      <c r="K16" s="24">
        <v>0.30146511951797916</v>
      </c>
    </row>
    <row r="17" spans="1:12" ht="16">
      <c r="A17" s="78" t="s">
        <v>92</v>
      </c>
      <c r="B17" s="76">
        <v>185433.9563200791</v>
      </c>
      <c r="C17" s="76">
        <v>5281.1052530051638</v>
      </c>
      <c r="D17" s="9">
        <v>2.8479709745767405E-2</v>
      </c>
      <c r="E17" s="79">
        <v>1.2567630735679377E-3</v>
      </c>
      <c r="F17" s="76">
        <v>1072100.7891915243</v>
      </c>
      <c r="G17" s="76">
        <v>54481.747249231295</v>
      </c>
      <c r="H17" s="76">
        <f t="shared" si="1"/>
        <v>5.0817747546213647</v>
      </c>
      <c r="I17" s="77">
        <v>0</v>
      </c>
      <c r="J17" s="24">
        <v>5.7815774978179411</v>
      </c>
      <c r="K17" s="24">
        <v>0.33680045308497814</v>
      </c>
    </row>
    <row r="18" spans="1:12" ht="16">
      <c r="A18" s="78" t="s">
        <v>97</v>
      </c>
      <c r="B18" s="76">
        <v>196246.12601827845</v>
      </c>
      <c r="C18" s="76">
        <v>3845.8652659865297</v>
      </c>
      <c r="D18" s="9">
        <v>1.9597152535017807E-2</v>
      </c>
      <c r="E18" s="79">
        <v>1.2276622085002104E-3</v>
      </c>
      <c r="F18" s="76">
        <v>1063940.814660256</v>
      </c>
      <c r="G18" s="76">
        <v>49410.728065213632</v>
      </c>
      <c r="H18" s="76">
        <f t="shared" si="1"/>
        <v>4.6441237505294657</v>
      </c>
      <c r="I18" s="77">
        <v>0</v>
      </c>
      <c r="J18" s="24">
        <v>5.4214614894418869</v>
      </c>
      <c r="K18" s="24">
        <v>0.27327806479551636</v>
      </c>
    </row>
    <row r="19" spans="1:12" ht="16">
      <c r="A19" s="78" t="s">
        <v>176</v>
      </c>
      <c r="B19" s="76">
        <v>117247.67375759206</v>
      </c>
      <c r="C19" s="76">
        <v>7287.4956097373361</v>
      </c>
      <c r="D19" s="9">
        <v>6.2154713830861436E-2</v>
      </c>
      <c r="E19" s="79">
        <v>1.0871159239967031E-2</v>
      </c>
      <c r="F19" s="76">
        <v>781465.58506313444</v>
      </c>
      <c r="G19" s="76">
        <v>59504.027434544943</v>
      </c>
      <c r="H19" s="76">
        <f t="shared" si="1"/>
        <v>7.6144143225114158</v>
      </c>
      <c r="I19" s="77">
        <v>0</v>
      </c>
      <c r="J19" s="24">
        <v>6.6650839203752881</v>
      </c>
      <c r="K19" s="24">
        <v>0.65511838468245265</v>
      </c>
    </row>
    <row r="20" spans="1:12">
      <c r="A20" t="s">
        <v>108</v>
      </c>
      <c r="B20" s="76">
        <v>178095.51870990024</v>
      </c>
      <c r="C20" s="76">
        <v>4421.7430369937301</v>
      </c>
      <c r="D20" s="9">
        <v>2.4827929804322066E-2</v>
      </c>
      <c r="E20" s="77">
        <v>4.3968386980847316E-3</v>
      </c>
      <c r="F20" s="76">
        <v>992022.97659880179</v>
      </c>
      <c r="G20" s="76">
        <v>59060.137419280909</v>
      </c>
      <c r="H20" s="76">
        <f t="shared" si="1"/>
        <v>5.9535049905569144</v>
      </c>
      <c r="I20" s="77">
        <v>0</v>
      </c>
      <c r="J20" s="24">
        <v>5.5701737123139399</v>
      </c>
      <c r="K20" s="24">
        <v>0.35930203641069219</v>
      </c>
    </row>
    <row r="21" spans="1:12">
      <c r="A21" t="s">
        <v>115</v>
      </c>
      <c r="B21" s="76">
        <v>111111.44590747877</v>
      </c>
      <c r="C21" s="76">
        <v>3350.2946098697616</v>
      </c>
      <c r="D21" s="9">
        <v>3.0152560634117871E-2</v>
      </c>
      <c r="E21" s="77">
        <v>8.3843835967188206E-3</v>
      </c>
      <c r="F21" s="76">
        <v>552208.61722119281</v>
      </c>
      <c r="G21" s="76">
        <v>42749.723700356168</v>
      </c>
      <c r="H21" s="76">
        <f t="shared" si="1"/>
        <v>7.741589386178001</v>
      </c>
      <c r="I21" s="77">
        <v>0</v>
      </c>
      <c r="J21" s="24">
        <v>4.9698625799632792</v>
      </c>
      <c r="K21" s="24">
        <v>0.41289950719553309</v>
      </c>
    </row>
    <row r="22" spans="1:12" ht="16">
      <c r="A22" s="78" t="s">
        <v>120</v>
      </c>
      <c r="B22" s="76">
        <v>97807.173749268957</v>
      </c>
      <c r="C22" s="76">
        <v>2406.9026212556578</v>
      </c>
      <c r="D22" s="9">
        <v>2.4608651175483411E-2</v>
      </c>
      <c r="E22" s="79">
        <v>1.9049951180993045E-3</v>
      </c>
      <c r="F22" s="76">
        <v>531854.46916060289</v>
      </c>
      <c r="G22" s="76">
        <v>22174.230523862385</v>
      </c>
      <c r="H22" s="76">
        <f t="shared" si="1"/>
        <v>4.1692289544654519</v>
      </c>
      <c r="I22" s="77">
        <v>0</v>
      </c>
      <c r="J22" s="24">
        <v>5.4377858880170145</v>
      </c>
      <c r="K22" s="24">
        <v>0.26326032292957452</v>
      </c>
    </row>
    <row r="23" spans="1:12">
      <c r="A23" s="81" t="s">
        <v>184</v>
      </c>
      <c r="B23">
        <v>15155.324021804186</v>
      </c>
      <c r="C23">
        <v>6487.84945501524</v>
      </c>
      <c r="D23">
        <f>0.428090448325689*100</f>
        <v>42.809044832568901</v>
      </c>
      <c r="F23">
        <v>0</v>
      </c>
      <c r="G23">
        <v>0</v>
      </c>
      <c r="L23" t="s">
        <v>189</v>
      </c>
    </row>
    <row r="24" spans="1:12">
      <c r="A24" t="s">
        <v>124</v>
      </c>
      <c r="B24" s="76">
        <v>133611.96701907556</v>
      </c>
      <c r="C24" s="76">
        <v>4795.8456259552395</v>
      </c>
      <c r="D24" s="9">
        <v>3.5893832962361406E-2</v>
      </c>
      <c r="E24" s="77">
        <v>8.8519817272259202E-3</v>
      </c>
      <c r="F24" s="76">
        <v>777280.61561707081</v>
      </c>
      <c r="G24" s="76">
        <v>46797.187145170064</v>
      </c>
      <c r="H24" s="76">
        <f t="shared" ref="H24:H29" si="2">G24/F24*100</f>
        <v>6.0206296419753782</v>
      </c>
      <c r="I24" s="77">
        <v>0</v>
      </c>
      <c r="J24" s="24">
        <v>5.8174475906495688</v>
      </c>
      <c r="K24" s="24">
        <v>0.40776802772621568</v>
      </c>
    </row>
    <row r="25" spans="1:12">
      <c r="A25" t="s">
        <v>127</v>
      </c>
      <c r="B25" s="76">
        <v>172892.66626777229</v>
      </c>
      <c r="C25" s="76">
        <v>3814.2116274534851</v>
      </c>
      <c r="D25" s="9">
        <v>2.2061153372151247E-2</v>
      </c>
      <c r="E25" s="77">
        <v>5.191319254321018E-3</v>
      </c>
      <c r="F25" s="76">
        <v>949885.01701328449</v>
      </c>
      <c r="G25" s="76">
        <v>44150.884552323427</v>
      </c>
      <c r="H25" s="76">
        <f t="shared" si="2"/>
        <v>4.6480241041328014</v>
      </c>
      <c r="I25" s="77">
        <v>0</v>
      </c>
      <c r="J25" s="24">
        <v>5.4940735053627074</v>
      </c>
      <c r="K25" s="24">
        <v>0.28267033788687601</v>
      </c>
    </row>
    <row r="26" spans="1:12" ht="16">
      <c r="A26" s="78" t="s">
        <v>132</v>
      </c>
      <c r="B26" s="76">
        <v>125082.78264075374</v>
      </c>
      <c r="C26" s="76">
        <v>5071.9900100339728</v>
      </c>
      <c r="D26" s="9">
        <v>4.0549066010156433E-2</v>
      </c>
      <c r="E26" s="79">
        <v>2.3542993621865345E-3</v>
      </c>
      <c r="F26" s="76">
        <v>669265.82819428016</v>
      </c>
      <c r="G26" s="76">
        <v>37508.729268340714</v>
      </c>
      <c r="H26" s="76">
        <f t="shared" si="2"/>
        <v>5.6044590487372625</v>
      </c>
      <c r="I26" s="77">
        <v>0</v>
      </c>
      <c r="J26" s="24">
        <v>5.3505831423374799</v>
      </c>
      <c r="K26" s="24">
        <v>0.37012822293967562</v>
      </c>
    </row>
    <row r="27" spans="1:12">
      <c r="A27" t="s">
        <v>136</v>
      </c>
      <c r="B27" s="76">
        <v>150741.8543455764</v>
      </c>
      <c r="C27" s="76">
        <v>5872.0777307462513</v>
      </c>
      <c r="D27" s="9">
        <v>3.8954527634272602E-2</v>
      </c>
      <c r="E27" s="77">
        <v>5.5288005638137279E-3</v>
      </c>
      <c r="F27" s="76">
        <v>869743.15815457341</v>
      </c>
      <c r="G27" s="76">
        <v>56916.446564138088</v>
      </c>
      <c r="H27" s="76">
        <f t="shared" si="2"/>
        <v>6.5440522331792481</v>
      </c>
      <c r="I27" s="77">
        <v>0</v>
      </c>
      <c r="J27" s="24">
        <v>5.769752282340133</v>
      </c>
      <c r="K27" s="24">
        <v>0.43940810557488102</v>
      </c>
    </row>
    <row r="28" spans="1:12" ht="16">
      <c r="A28" s="78" t="s">
        <v>143</v>
      </c>
      <c r="B28" s="76">
        <v>277294.38830410095</v>
      </c>
      <c r="C28" s="76">
        <v>4343.5056064166929</v>
      </c>
      <c r="D28" s="9">
        <v>1.5663878497437504E-2</v>
      </c>
      <c r="E28" s="79">
        <v>6.6695698801721298E-4</v>
      </c>
      <c r="F28" s="76">
        <v>1336378.2478634627</v>
      </c>
      <c r="G28" s="76">
        <v>54746.895397560023</v>
      </c>
      <c r="H28" s="76">
        <f t="shared" si="2"/>
        <v>4.0966616663423494</v>
      </c>
      <c r="I28" s="77">
        <v>0</v>
      </c>
      <c r="J28" s="24">
        <v>4.8193483324224156</v>
      </c>
      <c r="K28" s="24">
        <v>0.2113722869087592</v>
      </c>
    </row>
    <row r="29" spans="1:12" ht="16">
      <c r="A29" s="78" t="s">
        <v>149</v>
      </c>
      <c r="B29" s="76">
        <v>140144.41394594635</v>
      </c>
      <c r="C29" s="76">
        <v>10455.919993375606</v>
      </c>
      <c r="D29" s="9">
        <v>7.4608182366858025E-2</v>
      </c>
      <c r="E29" s="79">
        <v>1.2526348308477903E-2</v>
      </c>
      <c r="F29" s="76">
        <v>752531.62802816299</v>
      </c>
      <c r="G29" s="76">
        <v>66226.229739789764</v>
      </c>
      <c r="H29" s="76">
        <f t="shared" si="2"/>
        <v>8.800457983848526</v>
      </c>
      <c r="I29" s="77">
        <v>0</v>
      </c>
      <c r="J29" s="24">
        <v>5.3696869310710751</v>
      </c>
      <c r="K29" s="24">
        <v>0.61952288998651528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AB541-F17D-4BB7-9A02-0324C556CF0F}">
  <dimension ref="A1:AE32"/>
  <sheetViews>
    <sheetView workbookViewId="0">
      <selection activeCell="AA3" sqref="AA3:AB13"/>
    </sheetView>
  </sheetViews>
  <sheetFormatPr defaultRowHeight="14.5"/>
  <sheetData>
    <row r="1" spans="1:31" ht="52.5">
      <c r="A1" s="2" t="s">
        <v>0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26</v>
      </c>
      <c r="I1" s="2" t="s">
        <v>28</v>
      </c>
      <c r="J1" s="12" t="s">
        <v>29</v>
      </c>
      <c r="K1" s="2" t="s">
        <v>30</v>
      </c>
      <c r="L1" s="2" t="s">
        <v>31</v>
      </c>
      <c r="M1" s="12" t="s">
        <v>29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35</v>
      </c>
      <c r="U1" s="2" t="s">
        <v>1</v>
      </c>
      <c r="V1" s="2" t="s">
        <v>2</v>
      </c>
      <c r="W1" s="2" t="s">
        <v>3</v>
      </c>
      <c r="X1" s="2" t="s">
        <v>5</v>
      </c>
      <c r="Y1" s="2" t="s">
        <v>2</v>
      </c>
      <c r="Z1" s="2" t="s">
        <v>3</v>
      </c>
      <c r="AA1" s="2" t="s">
        <v>7</v>
      </c>
      <c r="AB1" s="2" t="s">
        <v>37</v>
      </c>
      <c r="AC1" s="2" t="s">
        <v>38</v>
      </c>
      <c r="AD1" s="2" t="s">
        <v>39</v>
      </c>
      <c r="AE1" s="13" t="s">
        <v>9</v>
      </c>
    </row>
    <row r="2" spans="1:31" ht="16">
      <c r="A2" s="5" t="s">
        <v>10</v>
      </c>
      <c r="B2" s="14" t="s">
        <v>40</v>
      </c>
      <c r="C2" s="14" t="s">
        <v>10</v>
      </c>
      <c r="D2" s="15">
        <v>0</v>
      </c>
      <c r="E2" s="16">
        <v>238.71713599999998</v>
      </c>
      <c r="F2" s="16">
        <v>1.6296001347520805</v>
      </c>
      <c r="G2" t="s">
        <v>10</v>
      </c>
      <c r="H2" s="17">
        <v>1010.7796473940857</v>
      </c>
      <c r="I2" s="17">
        <v>1010.7796473940857</v>
      </c>
      <c r="J2" s="17">
        <v>2.5599288612629683</v>
      </c>
      <c r="K2" s="17">
        <v>25.875239917413264</v>
      </c>
      <c r="L2" s="17">
        <v>250.61782544302073</v>
      </c>
      <c r="M2" s="17">
        <v>1.6314608466133413</v>
      </c>
      <c r="N2" s="17">
        <v>4.0887316967366516</v>
      </c>
      <c r="O2" s="6">
        <f>L2/E2*100</f>
        <v>104.98526818913443</v>
      </c>
      <c r="P2" s="15"/>
      <c r="Q2" s="15">
        <v>2.7196138746286111E-15</v>
      </c>
      <c r="R2" s="15">
        <v>9.0831201296809822E-16</v>
      </c>
      <c r="S2" s="18">
        <v>1.6749160118048668E-15</v>
      </c>
      <c r="T2" s="18">
        <v>7.660796730370832E-16</v>
      </c>
      <c r="U2" s="19">
        <f>(Q2*E2*10^-6*6.0221*10^23)/(9.0122)</f>
        <v>43381.84170880192</v>
      </c>
      <c r="V2" s="19">
        <f>SQRT((((E2*10^-6*6.0221E+23)/9.0122)*R2)^2+(((Q2*6.0221E+23)/9.0122)*F2*10^-6)^2)</f>
        <v>14491.938900604489</v>
      </c>
      <c r="W2" s="20">
        <f>V2/U2</f>
        <v>0.33405540958543861</v>
      </c>
      <c r="X2" s="19">
        <f>(S2*(I2*10^-6*6.0221*10^23)/(26.9815))</f>
        <v>37786.041378021087</v>
      </c>
      <c r="Y2" s="19">
        <f>SQRT((((I2*10^-6*6.0221E+23)/26.9815)*T2)^2+(((S2*6.0221E+23)/26.9815)*K2*10^-6)^2)</f>
        <v>17309.776309021818</v>
      </c>
      <c r="Z2" s="21">
        <f>Y2/X2</f>
        <v>0.4580997552998593</v>
      </c>
      <c r="AA2" s="15"/>
      <c r="AB2" s="15"/>
      <c r="AC2" s="15"/>
      <c r="AD2" s="15"/>
      <c r="AE2" s="15"/>
    </row>
    <row r="3" spans="1:31" ht="16">
      <c r="A3" s="7" t="s">
        <v>11</v>
      </c>
      <c r="B3" s="22" t="s">
        <v>41</v>
      </c>
      <c r="C3" s="22" t="s">
        <v>10</v>
      </c>
      <c r="D3">
        <v>21.452600000000004</v>
      </c>
      <c r="E3" s="23">
        <v>237.65380799999997</v>
      </c>
      <c r="F3" s="23">
        <v>1.6229585411389902</v>
      </c>
      <c r="G3" t="s">
        <v>11</v>
      </c>
      <c r="H3" s="24">
        <v>111.37717649750134</v>
      </c>
      <c r="I3" s="24">
        <f>H3*D3</f>
        <v>2389.3300165302976</v>
      </c>
      <c r="J3" s="24">
        <v>2.8728895473609595</v>
      </c>
      <c r="K3" s="24">
        <v>3.199743261742483</v>
      </c>
      <c r="L3" s="24">
        <v>11.669852561539374</v>
      </c>
      <c r="M3" s="24">
        <v>1.5</v>
      </c>
      <c r="N3" s="24">
        <v>0.17504778842309063</v>
      </c>
      <c r="O3" s="8">
        <f>L3/E3*100*D3</f>
        <v>105.34174948363531</v>
      </c>
      <c r="Q3">
        <v>9.3472837255101453E-14</v>
      </c>
      <c r="R3">
        <v>5.5635279154127599E-15</v>
      </c>
      <c r="S3" s="18">
        <v>1.9503007971187474E-13</v>
      </c>
      <c r="T3" s="18">
        <v>1.4127196029526102E-14</v>
      </c>
      <c r="U3" s="8">
        <f t="shared" ref="U3:U13" si="0">1/D3*((Q3*E3*10^-6*6.0221E+23/9.0122)-$U$117)</f>
        <v>69193.836279033945</v>
      </c>
      <c r="V3" s="8">
        <f t="shared" ref="V3:V13" si="1">SQRT(((E3*10^-6*6.0221E+23)/(D3*9.0122)*R3)^2+((-1/D3)*$V$117)^2+((Q3*6.0221E+23)/(D3*9.0122)*F3*10^-6)^2)</f>
        <v>4145.4547692305568</v>
      </c>
      <c r="W3" s="25">
        <f>V3/U3</f>
        <v>5.9910752057646052E-2</v>
      </c>
      <c r="X3" s="8">
        <f t="shared" ref="X3:X13" si="2">(1/D3)*(((S3*(I3*10^-6*6.0221*10^23)/26.9815)-$X$117))</f>
        <v>484819.04876947909</v>
      </c>
      <c r="Y3" s="8">
        <f t="shared" ref="Y3:Y13" si="3">SQRT(((I3*10^-6*6.0221E+23)/(D3*26.9815)*T3)^2+((-1/D3)*$Y$117)^2+((S3*6.0221E+23)/(D3*26.9815)*K3*10^-6)^2)</f>
        <v>35124.346768958196</v>
      </c>
      <c r="Z3" s="26">
        <f>Y3/X3</f>
        <v>7.2448363689725931E-2</v>
      </c>
    </row>
    <row r="4" spans="1:31" ht="16">
      <c r="A4" s="7" t="s">
        <v>12</v>
      </c>
      <c r="B4" s="22" t="s">
        <v>41</v>
      </c>
      <c r="C4" s="22" t="s">
        <v>10</v>
      </c>
      <c r="D4">
        <v>28.004999999999995</v>
      </c>
      <c r="E4" s="23">
        <v>237.72976</v>
      </c>
      <c r="F4" s="23">
        <v>1.6234328567575562</v>
      </c>
      <c r="G4" t="s">
        <v>12</v>
      </c>
      <c r="H4" s="24">
        <v>110.54637913937425</v>
      </c>
      <c r="I4" s="24">
        <f t="shared" ref="I4:I13" si="4">H4*D4</f>
        <v>3095.8513477981755</v>
      </c>
      <c r="J4" s="24">
        <v>2.6009321192891726</v>
      </c>
      <c r="K4" s="24">
        <v>2.8752362817471702</v>
      </c>
      <c r="L4" s="24">
        <v>8.9918589244549025</v>
      </c>
      <c r="M4" s="24">
        <v>1.5</v>
      </c>
      <c r="N4" s="24">
        <v>0.13487788386682353</v>
      </c>
      <c r="O4" s="8">
        <f t="shared" ref="O4:O13" si="5">L4/E4*100*D4</f>
        <v>105.92574071473405</v>
      </c>
      <c r="Q4">
        <v>1.1973289651618968E-13</v>
      </c>
      <c r="R4">
        <v>5.4205283727961254E-15</v>
      </c>
      <c r="S4" s="18">
        <v>1.9084080089026654E-13</v>
      </c>
      <c r="T4" s="18">
        <v>1.4198919400156823E-14</v>
      </c>
      <c r="U4" s="8">
        <f t="shared" si="0"/>
        <v>67917.017423211102</v>
      </c>
      <c r="V4" s="8">
        <f t="shared" si="1"/>
        <v>3109.5116873818092</v>
      </c>
      <c r="W4" s="25">
        <f t="shared" ref="W4:W13" si="6">V4/U4</f>
        <v>4.5783984711895084E-2</v>
      </c>
      <c r="X4" s="8">
        <f t="shared" si="2"/>
        <v>470866.31791593117</v>
      </c>
      <c r="Y4" s="8">
        <f t="shared" si="3"/>
        <v>35036.081014380572</v>
      </c>
      <c r="Z4" s="26">
        <f t="shared" ref="Z4:Z13" si="7">Y4/X4</f>
        <v>7.4407702741303192E-2</v>
      </c>
    </row>
    <row r="5" spans="1:31" ht="16">
      <c r="A5" s="7" t="s">
        <v>13</v>
      </c>
      <c r="B5" s="22" t="s">
        <v>41</v>
      </c>
      <c r="C5" s="22" t="s">
        <v>10</v>
      </c>
      <c r="D5">
        <v>18.17110000000001</v>
      </c>
      <c r="E5" s="23">
        <v>236.53351599999999</v>
      </c>
      <c r="F5" s="23">
        <v>1.6159638981808968</v>
      </c>
      <c r="G5" t="s">
        <v>13</v>
      </c>
      <c r="H5" s="24">
        <v>148.43692692870243</v>
      </c>
      <c r="I5" s="24">
        <f t="shared" si="4"/>
        <v>2697.2622429141461</v>
      </c>
      <c r="J5" s="24">
        <v>2.7918544595533978</v>
      </c>
      <c r="K5" s="24">
        <v>4.144142964082997</v>
      </c>
      <c r="L5" s="24">
        <v>13.862246520467544</v>
      </c>
      <c r="M5" s="24">
        <v>1.5</v>
      </c>
      <c r="N5" s="24">
        <v>0.20793369780701315</v>
      </c>
      <c r="O5" s="8">
        <f t="shared" si="5"/>
        <v>106.49326658132792</v>
      </c>
      <c r="Q5">
        <v>1.6589925622916724E-13</v>
      </c>
      <c r="R5">
        <v>9.1467406714523662E-15</v>
      </c>
      <c r="S5" s="18">
        <v>2.3612384814443129E-13</v>
      </c>
      <c r="T5" s="18">
        <v>1.4505749047287637E-14</v>
      </c>
      <c r="U5" s="8">
        <f t="shared" si="0"/>
        <v>144302.23242138949</v>
      </c>
      <c r="V5" s="8">
        <f t="shared" si="1"/>
        <v>8016.8510363948171</v>
      </c>
      <c r="W5" s="25">
        <f t="shared" si="6"/>
        <v>5.5555973749485135E-2</v>
      </c>
      <c r="X5" s="8">
        <f t="shared" si="2"/>
        <v>782282.61687942548</v>
      </c>
      <c r="Y5" s="8">
        <f t="shared" si="3"/>
        <v>48072.838808982415</v>
      </c>
      <c r="Z5" s="26">
        <f t="shared" si="7"/>
        <v>6.1452009506165417E-2</v>
      </c>
    </row>
    <row r="6" spans="1:31" ht="16">
      <c r="A6" s="7" t="s">
        <v>14</v>
      </c>
      <c r="B6" s="22" t="s">
        <v>41</v>
      </c>
      <c r="C6" s="22" t="s">
        <v>10</v>
      </c>
      <c r="D6">
        <v>16.467500000000001</v>
      </c>
      <c r="E6" s="23">
        <v>237.01770999999999</v>
      </c>
      <c r="F6" s="23">
        <v>1.6189866580364396</v>
      </c>
      <c r="G6" t="s">
        <v>14</v>
      </c>
      <c r="H6" s="24">
        <v>147.02552388442041</v>
      </c>
      <c r="I6" s="24">
        <f t="shared" si="4"/>
        <v>2421.1428145666932</v>
      </c>
      <c r="J6" s="24">
        <v>3.3735751699309211</v>
      </c>
      <c r="K6" s="24">
        <v>4.9600165672256624</v>
      </c>
      <c r="L6" s="24">
        <v>15.010438096212383</v>
      </c>
      <c r="M6" s="24">
        <v>1.5</v>
      </c>
      <c r="N6" s="24">
        <v>0.22515657144318574</v>
      </c>
      <c r="O6" s="8">
        <f t="shared" si="5"/>
        <v>104.28941759220332</v>
      </c>
      <c r="Q6">
        <v>7.40934266592199E-14</v>
      </c>
      <c r="R6">
        <v>5.9751461934748865E-15</v>
      </c>
      <c r="S6" s="18">
        <v>2.5520900120359283E-13</v>
      </c>
      <c r="T6" s="18">
        <v>1.7044204822455951E-14</v>
      </c>
      <c r="U6" s="8">
        <f t="shared" si="0"/>
        <v>71260.677645683885</v>
      </c>
      <c r="V6" s="8">
        <f t="shared" si="1"/>
        <v>5767.2814793352236</v>
      </c>
      <c r="W6" s="25">
        <f t="shared" si="6"/>
        <v>8.0932172831849794E-2</v>
      </c>
      <c r="X6" s="8">
        <f t="shared" si="2"/>
        <v>837472.57955199352</v>
      </c>
      <c r="Y6" s="8">
        <f t="shared" si="3"/>
        <v>55957.149151631842</v>
      </c>
      <c r="Z6" s="26">
        <f t="shared" si="7"/>
        <v>6.6816694083961709E-2</v>
      </c>
    </row>
    <row r="7" spans="1:31" ht="16">
      <c r="A7" s="7" t="s">
        <v>15</v>
      </c>
      <c r="B7" s="22" t="s">
        <v>41</v>
      </c>
      <c r="C7" s="22" t="s">
        <v>10</v>
      </c>
      <c r="D7">
        <v>4.752600000000001</v>
      </c>
      <c r="E7" s="23">
        <v>236.77086599999998</v>
      </c>
      <c r="F7" s="23">
        <v>1.6174455766807114</v>
      </c>
      <c r="G7" t="s">
        <v>15</v>
      </c>
      <c r="H7" s="24">
        <v>1148.0065330068503</v>
      </c>
      <c r="I7" s="24">
        <f t="shared" si="4"/>
        <v>5456.0158487683584</v>
      </c>
      <c r="J7" s="24">
        <v>2.5</v>
      </c>
      <c r="K7" s="24">
        <v>28.700163325171257</v>
      </c>
      <c r="L7" s="24">
        <v>54.972255738657388</v>
      </c>
      <c r="M7" s="24">
        <v>2.1539840638495598</v>
      </c>
      <c r="N7" s="24">
        <v>1.1840936281493051</v>
      </c>
      <c r="O7" s="8">
        <f t="shared" si="5"/>
        <v>110.34345020452946</v>
      </c>
      <c r="Q7">
        <v>3.9504675377703275E-14</v>
      </c>
      <c r="R7">
        <v>2.9843355497458814E-15</v>
      </c>
      <c r="S7" s="18">
        <v>2.5645449757810174E-14</v>
      </c>
      <c r="T7" s="18">
        <v>1.7970134164100198E-14</v>
      </c>
      <c r="U7" s="8">
        <f t="shared" si="0"/>
        <v>131511.16898731489</v>
      </c>
      <c r="V7" s="8">
        <f t="shared" si="1"/>
        <v>9975.3979131325195</v>
      </c>
      <c r="W7" s="25">
        <f t="shared" si="6"/>
        <v>7.5852096745446101E-2</v>
      </c>
      <c r="X7" s="8">
        <f t="shared" si="2"/>
        <v>657107.6940221322</v>
      </c>
      <c r="Y7" s="8">
        <f t="shared" si="3"/>
        <v>460457.75214506529</v>
      </c>
      <c r="Z7" s="26">
        <f t="shared" si="7"/>
        <v>0.70073407499860518</v>
      </c>
    </row>
    <row r="8" spans="1:31" ht="16">
      <c r="A8" s="7" t="s">
        <v>16</v>
      </c>
      <c r="B8" s="22" t="s">
        <v>41</v>
      </c>
      <c r="C8" s="22" t="s">
        <v>10</v>
      </c>
      <c r="D8">
        <v>30.980400000000003</v>
      </c>
      <c r="E8" s="23">
        <v>237.33101200000002</v>
      </c>
      <c r="F8" s="23">
        <v>1.6209428445741079</v>
      </c>
      <c r="G8" t="s">
        <v>16</v>
      </c>
      <c r="H8" s="24">
        <v>101.20553348081285</v>
      </c>
      <c r="I8" s="24">
        <f t="shared" si="4"/>
        <v>3135.3879094489748</v>
      </c>
      <c r="J8" s="24">
        <v>2.5</v>
      </c>
      <c r="K8" s="24">
        <v>2.530138337020321</v>
      </c>
      <c r="L8" s="24">
        <v>8.1826358327452819</v>
      </c>
      <c r="M8" s="24">
        <v>1.9357922473139955</v>
      </c>
      <c r="N8" s="24">
        <v>0.15839883007622016</v>
      </c>
      <c r="O8" s="8">
        <f t="shared" si="5"/>
        <v>106.8134033628871</v>
      </c>
      <c r="Q8">
        <v>6.7045450285323922E-14</v>
      </c>
      <c r="R8">
        <v>5.4749463743755411E-15</v>
      </c>
      <c r="S8" s="18">
        <v>8.0336460914380585E-14</v>
      </c>
      <c r="T8" s="18">
        <v>9.5775026970984184E-15</v>
      </c>
      <c r="U8" s="8">
        <f t="shared" si="0"/>
        <v>34320.525111737326</v>
      </c>
      <c r="V8" s="8">
        <f t="shared" si="1"/>
        <v>2812.4071931516601</v>
      </c>
      <c r="W8" s="25">
        <f t="shared" si="6"/>
        <v>8.1945342735733395E-2</v>
      </c>
      <c r="X8" s="8">
        <f t="shared" si="2"/>
        <v>181467.4878516992</v>
      </c>
      <c r="Y8" s="8">
        <f t="shared" si="3"/>
        <v>21634.574752318629</v>
      </c>
      <c r="Z8" s="26">
        <f t="shared" si="7"/>
        <v>0.11922011490013609</v>
      </c>
    </row>
    <row r="9" spans="1:31" ht="16">
      <c r="A9" s="7" t="s">
        <v>17</v>
      </c>
      <c r="B9" s="22" t="s">
        <v>41</v>
      </c>
      <c r="C9" s="22" t="s">
        <v>10</v>
      </c>
      <c r="D9">
        <v>31.433400000000006</v>
      </c>
      <c r="E9" s="23">
        <v>237.72976</v>
      </c>
      <c r="F9" s="23">
        <v>1.6234328567575562</v>
      </c>
      <c r="G9" t="s">
        <v>17</v>
      </c>
      <c r="H9" s="24">
        <v>101.23716346080101</v>
      </c>
      <c r="I9" s="24">
        <f t="shared" si="4"/>
        <v>3182.228253928743</v>
      </c>
      <c r="J9" s="24">
        <v>2.637648050329561</v>
      </c>
      <c r="K9" s="24">
        <v>2.6702800682327688</v>
      </c>
      <c r="L9" s="24">
        <v>7.9912280370972946</v>
      </c>
      <c r="M9" s="24">
        <v>1.9114621781391672</v>
      </c>
      <c r="N9" s="24">
        <v>0.15274930149796778</v>
      </c>
      <c r="O9" s="8">
        <f t="shared" si="5"/>
        <v>105.66260925064417</v>
      </c>
      <c r="Q9">
        <v>1.54226519707235E-13</v>
      </c>
      <c r="R9">
        <v>9.3994103606003312E-15</v>
      </c>
      <c r="S9" s="18">
        <v>7.9902794238649805E-14</v>
      </c>
      <c r="T9" s="18">
        <v>1.2993379867388865E-14</v>
      </c>
      <c r="U9" s="8">
        <f t="shared" si="0"/>
        <v>77941.434204313104</v>
      </c>
      <c r="V9" s="8">
        <f t="shared" si="1"/>
        <v>4779.9050224529828</v>
      </c>
      <c r="W9" s="25">
        <f t="shared" si="6"/>
        <v>6.1326880512913039E-2</v>
      </c>
      <c r="X9" s="8">
        <f t="shared" si="2"/>
        <v>180544.31099238605</v>
      </c>
      <c r="Y9" s="8">
        <f t="shared" si="3"/>
        <v>29359.574596273858</v>
      </c>
      <c r="Z9" s="26">
        <f t="shared" si="7"/>
        <v>0.16261700208051427</v>
      </c>
    </row>
    <row r="10" spans="1:31" ht="16">
      <c r="A10" s="7" t="s">
        <v>18</v>
      </c>
      <c r="B10" s="22" t="s">
        <v>41</v>
      </c>
      <c r="C10" s="22" t="s">
        <v>10</v>
      </c>
      <c r="D10">
        <v>28.245999999999995</v>
      </c>
      <c r="E10" s="23">
        <v>238.138002</v>
      </c>
      <c r="F10" s="23">
        <v>1.6259825249110149</v>
      </c>
      <c r="G10" t="s">
        <v>18</v>
      </c>
      <c r="H10" s="24">
        <v>121.65231241107767</v>
      </c>
      <c r="I10" s="24">
        <f t="shared" si="4"/>
        <v>3436.1912163632992</v>
      </c>
      <c r="J10" s="24">
        <v>2.7129202605909684</v>
      </c>
      <c r="K10" s="24">
        <v>3.3003302308775471</v>
      </c>
      <c r="L10" s="24">
        <v>8.9141328985767299</v>
      </c>
      <c r="M10" s="24">
        <v>1.5</v>
      </c>
      <c r="N10" s="24">
        <v>0.13371199347865093</v>
      </c>
      <c r="O10" s="8">
        <f t="shared" si="5"/>
        <v>105.7322207033543</v>
      </c>
      <c r="Q10">
        <v>5.0094665371876734E-14</v>
      </c>
      <c r="R10">
        <v>4.3505606684610674E-15</v>
      </c>
      <c r="S10" s="18">
        <v>4.7038805212835279E-14</v>
      </c>
      <c r="T10" s="18">
        <v>1.2401898225601872E-14</v>
      </c>
      <c r="U10" s="8">
        <f t="shared" si="0"/>
        <v>28221.518148785108</v>
      </c>
      <c r="V10" s="8">
        <f t="shared" si="1"/>
        <v>2458.5112661672956</v>
      </c>
      <c r="W10" s="25">
        <f t="shared" si="6"/>
        <v>8.7114777213823658E-2</v>
      </c>
      <c r="X10" s="8">
        <f t="shared" si="2"/>
        <v>127719.88639814322</v>
      </c>
      <c r="Y10" s="8">
        <f t="shared" si="3"/>
        <v>33673.889792567978</v>
      </c>
      <c r="Z10" s="26">
        <f t="shared" si="7"/>
        <v>0.26365424165502171</v>
      </c>
    </row>
    <row r="11" spans="1:31" ht="16">
      <c r="A11" s="10" t="s">
        <v>19</v>
      </c>
      <c r="B11" s="22" t="s">
        <v>41</v>
      </c>
      <c r="C11" s="22" t="s">
        <v>10</v>
      </c>
      <c r="D11">
        <v>26.271799999999999</v>
      </c>
      <c r="E11" s="23">
        <v>237.368988</v>
      </c>
      <c r="F11" s="23">
        <v>1.6211799731602903</v>
      </c>
      <c r="G11" t="s">
        <v>19</v>
      </c>
      <c r="H11" s="24">
        <v>121.44913955334323</v>
      </c>
      <c r="I11" s="24">
        <f t="shared" si="4"/>
        <v>3190.6875045175225</v>
      </c>
      <c r="J11" s="24">
        <v>2.5773298616446612</v>
      </c>
      <c r="K11" s="24">
        <v>3.1301449404188126</v>
      </c>
      <c r="L11" s="24">
        <v>9.6144715102871263</v>
      </c>
      <c r="M11" s="24">
        <v>1.5</v>
      </c>
      <c r="N11" s="24">
        <v>0.14421707265430692</v>
      </c>
      <c r="O11" s="8">
        <f t="shared" si="5"/>
        <v>106.41216224250884</v>
      </c>
      <c r="Q11">
        <v>5.4456766680399981E-14</v>
      </c>
      <c r="R11">
        <v>5.3982445832430552E-15</v>
      </c>
      <c r="S11" s="18">
        <v>4.8432006899295367E-14</v>
      </c>
      <c r="T11" s="18">
        <v>8.6078043228913977E-15</v>
      </c>
      <c r="U11" s="8">
        <f t="shared" si="0"/>
        <v>32877.829785462629</v>
      </c>
      <c r="V11" s="8">
        <f t="shared" si="1"/>
        <v>3266.8725593274198</v>
      </c>
      <c r="W11" s="25">
        <f t="shared" si="6"/>
        <v>9.9363996366083479E-2</v>
      </c>
      <c r="X11" s="8">
        <f t="shared" si="2"/>
        <v>131283.08712839257</v>
      </c>
      <c r="Y11" s="8">
        <f t="shared" si="3"/>
        <v>23333.254438733002</v>
      </c>
      <c r="Z11" s="26">
        <f t="shared" si="7"/>
        <v>0.17773237169471409</v>
      </c>
    </row>
    <row r="12" spans="1:31" ht="16">
      <c r="A12" s="7" t="s">
        <v>20</v>
      </c>
      <c r="B12" s="22" t="s">
        <v>41</v>
      </c>
      <c r="C12" s="22" t="s">
        <v>10</v>
      </c>
      <c r="D12">
        <v>17.328599999999994</v>
      </c>
      <c r="E12" s="23">
        <v>237.37848199999996</v>
      </c>
      <c r="F12" s="23">
        <v>1.6212392558151307</v>
      </c>
      <c r="G12" t="s">
        <v>42</v>
      </c>
      <c r="H12" s="24">
        <v>120.46536618760554</v>
      </c>
      <c r="I12" s="24">
        <f t="shared" si="4"/>
        <v>2087.4961445185409</v>
      </c>
      <c r="J12" s="24">
        <v>2.640437940658523</v>
      </c>
      <c r="K12" s="24">
        <v>3.1808132341707602</v>
      </c>
      <c r="L12" s="24">
        <v>15.99930424493949</v>
      </c>
      <c r="M12" s="24">
        <v>1.5</v>
      </c>
      <c r="N12" s="24">
        <v>0.23998956367409235</v>
      </c>
      <c r="O12" s="8">
        <f t="shared" si="5"/>
        <v>116.79472427448518</v>
      </c>
      <c r="Q12">
        <v>2.9917036053383237E-14</v>
      </c>
      <c r="R12">
        <v>2.3517808932116831E-15</v>
      </c>
      <c r="S12" s="18">
        <v>5.5412079573043719E-14</v>
      </c>
      <c r="T12" s="18">
        <v>7.9590244408044587E-15</v>
      </c>
      <c r="U12" s="8">
        <f t="shared" si="0"/>
        <v>27385.05250879591</v>
      </c>
      <c r="V12" s="8">
        <f t="shared" si="1"/>
        <v>2160.8510416974691</v>
      </c>
      <c r="W12" s="25">
        <f t="shared" si="6"/>
        <v>7.8906222327067552E-2</v>
      </c>
      <c r="X12" s="8">
        <f t="shared" si="2"/>
        <v>148987.05211941522</v>
      </c>
      <c r="Y12" s="8">
        <f t="shared" si="3"/>
        <v>21400.718436375595</v>
      </c>
      <c r="Z12" s="26">
        <f t="shared" si="7"/>
        <v>0.14364146502625355</v>
      </c>
    </row>
    <row r="13" spans="1:31" ht="16">
      <c r="A13" s="11" t="s">
        <v>21</v>
      </c>
      <c r="B13" s="27" t="s">
        <v>41</v>
      </c>
      <c r="C13" s="27" t="s">
        <v>10</v>
      </c>
      <c r="D13">
        <v>6.995599999999996</v>
      </c>
      <c r="E13" s="23">
        <v>238.30889400000001</v>
      </c>
      <c r="F13" s="23">
        <v>1.6270499385833244</v>
      </c>
      <c r="G13" t="s">
        <v>21</v>
      </c>
      <c r="H13" s="24">
        <v>165.28398061197933</v>
      </c>
      <c r="I13" s="24">
        <f t="shared" si="4"/>
        <v>1156.260614769162</v>
      </c>
      <c r="J13" s="24">
        <v>2.5</v>
      </c>
      <c r="K13" s="24">
        <v>4.1320995152994833</v>
      </c>
      <c r="L13" s="24">
        <v>36.173077558755445</v>
      </c>
      <c r="M13" s="24">
        <v>1.8793616465372345</v>
      </c>
      <c r="N13" s="24">
        <v>0.67982294601141713</v>
      </c>
      <c r="O13" s="8">
        <f t="shared" si="5"/>
        <v>106.18671301878874</v>
      </c>
      <c r="Q13">
        <v>1.1089503115686881E-13</v>
      </c>
      <c r="R13">
        <v>5.9107061432615021E-15</v>
      </c>
      <c r="S13" s="18">
        <v>3.3677477725834592E-13</v>
      </c>
      <c r="T13" s="18">
        <v>2.0265616957794773E-14</v>
      </c>
      <c r="U13" s="8">
        <f t="shared" si="0"/>
        <v>252432.05982355357</v>
      </c>
      <c r="V13" s="8">
        <f t="shared" si="1"/>
        <v>13564.566495817955</v>
      </c>
      <c r="W13" s="25">
        <f t="shared" si="6"/>
        <v>5.3735514044053655E-2</v>
      </c>
      <c r="X13" s="8">
        <f t="shared" si="2"/>
        <v>1242373.5424050458</v>
      </c>
      <c r="Y13" s="8">
        <f t="shared" si="3"/>
        <v>74892.26565499659</v>
      </c>
      <c r="Z13" s="26">
        <f t="shared" si="7"/>
        <v>6.0281600580463571E-2</v>
      </c>
    </row>
    <row r="16" spans="1:31" ht="52.5">
      <c r="A16" s="2" t="s">
        <v>0</v>
      </c>
      <c r="B16" s="2" t="s">
        <v>22</v>
      </c>
      <c r="C16" s="2" t="s">
        <v>23</v>
      </c>
      <c r="D16" s="2" t="s">
        <v>24</v>
      </c>
      <c r="E16" s="2" t="s">
        <v>25</v>
      </c>
      <c r="F16" s="2" t="s">
        <v>26</v>
      </c>
      <c r="G16" s="2" t="s">
        <v>34</v>
      </c>
      <c r="H16" s="2" t="s">
        <v>35</v>
      </c>
      <c r="I16" s="2" t="s">
        <v>1</v>
      </c>
      <c r="J16" s="2" t="s">
        <v>2</v>
      </c>
      <c r="K16" s="2" t="s">
        <v>3</v>
      </c>
      <c r="L16" s="2" t="s">
        <v>38</v>
      </c>
      <c r="M16" s="2" t="s">
        <v>28</v>
      </c>
      <c r="N16" s="12" t="s">
        <v>29</v>
      </c>
      <c r="O16" s="2" t="s">
        <v>30</v>
      </c>
      <c r="P16" s="2" t="s">
        <v>36</v>
      </c>
      <c r="Q16" s="2" t="s">
        <v>35</v>
      </c>
      <c r="R16" s="2" t="s">
        <v>5</v>
      </c>
      <c r="S16" s="2" t="s">
        <v>2</v>
      </c>
      <c r="T16" s="2" t="s">
        <v>7</v>
      </c>
      <c r="U16" s="2" t="s">
        <v>37</v>
      </c>
      <c r="V16" s="4" t="s">
        <v>6</v>
      </c>
      <c r="W16" s="2" t="s">
        <v>9</v>
      </c>
    </row>
    <row r="17" spans="1:23" ht="16">
      <c r="A17" s="81" t="s">
        <v>183</v>
      </c>
      <c r="B17" s="81" t="s">
        <v>40</v>
      </c>
      <c r="C17" s="81" t="s">
        <v>183</v>
      </c>
      <c r="D17" s="81">
        <v>0</v>
      </c>
      <c r="E17" s="82">
        <v>242.24890400000004</v>
      </c>
      <c r="F17" s="82">
        <v>1.6516775648001039</v>
      </c>
      <c r="G17" s="83">
        <v>4.6210752326534751E-16</v>
      </c>
      <c r="H17" s="83">
        <v>2.1025997572094518E-16</v>
      </c>
      <c r="I17" s="19">
        <f>(G17*E17*10^-6*6.0221*10^23)/(9.0122)</f>
        <v>7480.3514308839103</v>
      </c>
      <c r="J17" s="19">
        <f>SQRT((((E17*10^-6*6.0221E+23)/9.0122)*H17)^2+(((G17*6.0221E+23)/9.0122)*F17*10^-6)^2)</f>
        <v>3403.9590439994467</v>
      </c>
      <c r="K17" s="84">
        <f>J17/I17</f>
        <v>0.45505335884964171</v>
      </c>
      <c r="L17" s="81"/>
      <c r="M17" s="85">
        <v>1030.8008390363593</v>
      </c>
      <c r="N17" s="85">
        <v>3</v>
      </c>
      <c r="O17" s="85">
        <f t="shared" ref="O17:O32" si="8">M17*N17/100</f>
        <v>30.924025171090779</v>
      </c>
      <c r="P17" s="86">
        <v>0</v>
      </c>
      <c r="Q17" s="86">
        <v>0</v>
      </c>
      <c r="R17" s="19">
        <f>(P17*(M17*10^-6*6.0221*10^23)/(26.9815))</f>
        <v>0</v>
      </c>
      <c r="S17" s="19">
        <f>SQRT((((M17*10^-6*6.0221E+23)/26.9815)*Q17)^2+(((P17*6.0221E+23)/26.9815)*O17*10^-6)^2)</f>
        <v>0</v>
      </c>
      <c r="T17" s="87"/>
      <c r="U17" s="87"/>
      <c r="V17" s="81"/>
      <c r="W17" s="81"/>
    </row>
    <row r="18" spans="1:23" ht="16">
      <c r="A18" t="s">
        <v>92</v>
      </c>
      <c r="B18" t="s">
        <v>41</v>
      </c>
      <c r="C18" t="s">
        <v>183</v>
      </c>
      <c r="D18">
        <v>32.098100000000002</v>
      </c>
      <c r="E18" s="23">
        <v>242.73309799999859</v>
      </c>
      <c r="F18" s="23">
        <v>1.6547064071054933</v>
      </c>
      <c r="G18" s="31">
        <v>3.6742433088024945E-13</v>
      </c>
      <c r="H18" s="31">
        <v>1.014424944948229E-14</v>
      </c>
      <c r="I18" s="8">
        <f t="shared" ref="I18:I24" si="9">1/D18*((G18*E18*10^-6*6.0221E+23/9.0122)-$I$2)</f>
        <v>185635.51254251873</v>
      </c>
      <c r="J18" s="8">
        <f t="shared" ref="J18:J24" si="10">SQRT(((E18*10^-6*6.0221E+23)/(D18*9.0122)*H18)^2+((-1/D18)*$J$2)^2+((G18*6.0221E+23)/(D18*9.0122)*F18*10^-6)^2)</f>
        <v>5280.0403777783567</v>
      </c>
      <c r="K18" s="9">
        <f>J18/I18</f>
        <v>2.8443051146094658E-2</v>
      </c>
      <c r="L18" s="79">
        <f t="shared" ref="L18:L24" si="11">I$2/(I18*D18)</f>
        <v>1.6963524929979198E-4</v>
      </c>
      <c r="M18" s="24">
        <v>2812.9837150219628</v>
      </c>
      <c r="N18" s="24">
        <v>3</v>
      </c>
      <c r="O18" s="24">
        <f t="shared" si="8"/>
        <v>84.389511450658887</v>
      </c>
      <c r="P18" s="31">
        <v>5.4810763358354792E-13</v>
      </c>
      <c r="Q18" s="31">
        <v>2.2482059376699568E-14</v>
      </c>
      <c r="R18" s="8">
        <f>(1/D18)*(((P18*(M18*10^-6*6.0221*10^23)/26.9815)-$R$2))</f>
        <v>1072100.7891915243</v>
      </c>
      <c r="S18" s="8">
        <f t="shared" ref="S18:S24" si="12">SQRT(((M18*10^-6*6.0221E+23)/(D18*26.9815)*Q18)^2+((-1/D18)*$S$2)^2+((P18*6.0221E+23)/(D18*26.9815)*O18*10^-6)^2)</f>
        <v>54481.747249231295</v>
      </c>
      <c r="T18" s="88">
        <f t="shared" ref="T18:T24" si="13">R18/I18</f>
        <v>5.7753000732872479</v>
      </c>
      <c r="U18" s="88">
        <f t="shared" ref="U18:U24" si="14">T18*SQRT((S18/R18)^2+(J18/I18)^2)</f>
        <v>0.33633131362580188</v>
      </c>
      <c r="V18" s="79">
        <f t="shared" ref="V18:V24" si="15">R$2/(R18*D18)</f>
        <v>2.6394905811357833E-23</v>
      </c>
    </row>
    <row r="19" spans="1:23" ht="16">
      <c r="A19" t="s">
        <v>97</v>
      </c>
      <c r="B19" t="s">
        <v>41</v>
      </c>
      <c r="C19" t="s">
        <v>183</v>
      </c>
      <c r="D19">
        <v>31.048599999999993</v>
      </c>
      <c r="E19" s="23">
        <v>243.29324400000098</v>
      </c>
      <c r="F19" s="23">
        <v>1.658210982156378</v>
      </c>
      <c r="G19" s="31">
        <v>3.7525696657952328E-13</v>
      </c>
      <c r="H19" s="31">
        <v>6.8820758815827216E-15</v>
      </c>
      <c r="I19" s="8">
        <f t="shared" si="9"/>
        <v>196454.49521313715</v>
      </c>
      <c r="J19" s="8">
        <f t="shared" si="10"/>
        <v>3844.3023034850235</v>
      </c>
      <c r="K19" s="9">
        <f t="shared" ref="K19:K24" si="16">J19/I19</f>
        <v>1.9568410991635841E-2</v>
      </c>
      <c r="L19" s="79">
        <f t="shared" si="11"/>
        <v>1.6571144164042294E-4</v>
      </c>
      <c r="M19" s="24">
        <v>2830.4125606360799</v>
      </c>
      <c r="N19" s="24">
        <v>3</v>
      </c>
      <c r="O19" s="24">
        <f t="shared" si="8"/>
        <v>84.912376819082397</v>
      </c>
      <c r="P19" s="31">
        <v>5.2291111840887906E-13</v>
      </c>
      <c r="Q19" s="31">
        <v>1.8537833717941614E-14</v>
      </c>
      <c r="R19" s="8">
        <f t="shared" ref="R19:R24" si="17">(1/D19)*(((P19*(M19*10^-6*6.0221*10^23)/26.9815)-$AE$2))</f>
        <v>1063940.814660256</v>
      </c>
      <c r="S19" s="8">
        <f t="shared" si="12"/>
        <v>49410.728065213632</v>
      </c>
      <c r="T19" s="88">
        <f t="shared" si="13"/>
        <v>5.4157112236396872</v>
      </c>
      <c r="U19" s="88">
        <f t="shared" si="14"/>
        <v>0.2729277344705241</v>
      </c>
      <c r="V19" s="79">
        <f t="shared" si="15"/>
        <v>2.7496382851342739E-23</v>
      </c>
    </row>
    <row r="20" spans="1:23" ht="16">
      <c r="A20" t="s">
        <v>149</v>
      </c>
      <c r="B20" t="s">
        <v>41</v>
      </c>
      <c r="C20" t="s">
        <v>183</v>
      </c>
      <c r="D20">
        <v>4.261099999999999</v>
      </c>
      <c r="E20" s="23">
        <v>242.95146000000042</v>
      </c>
      <c r="F20" s="23">
        <v>1.6560725184604714</v>
      </c>
      <c r="G20" s="31">
        <v>3.7244932923592456E-14</v>
      </c>
      <c r="H20" s="31">
        <v>2.7245751735997678E-15</v>
      </c>
      <c r="I20" s="8">
        <f t="shared" si="9"/>
        <v>141662.70072248051</v>
      </c>
      <c r="J20" s="8">
        <f t="shared" si="10"/>
        <v>10425.358972446114</v>
      </c>
      <c r="K20" s="9">
        <f t="shared" si="16"/>
        <v>7.3592829441177732E-2</v>
      </c>
      <c r="L20" s="79">
        <f t="shared" si="11"/>
        <v>1.6744772253420792E-3</v>
      </c>
      <c r="M20" s="24">
        <v>1348.2196185898124</v>
      </c>
      <c r="N20" s="24">
        <v>3</v>
      </c>
      <c r="O20" s="24">
        <f t="shared" si="8"/>
        <v>40.446588557694369</v>
      </c>
      <c r="P20" s="31">
        <v>1.0656239397435624E-13</v>
      </c>
      <c r="Q20" s="31">
        <v>8.8162631099955505E-15</v>
      </c>
      <c r="R20" s="8">
        <f t="shared" si="17"/>
        <v>752531.62802816299</v>
      </c>
      <c r="S20" s="8">
        <f t="shared" si="12"/>
        <v>66226.229739789764</v>
      </c>
      <c r="T20" s="88">
        <f t="shared" si="13"/>
        <v>5.3121366752874808</v>
      </c>
      <c r="U20" s="88">
        <f t="shared" si="14"/>
        <v>0.60940906531277728</v>
      </c>
      <c r="V20" s="79">
        <f t="shared" si="15"/>
        <v>2.8326216755183455E-22</v>
      </c>
    </row>
    <row r="21" spans="1:23" ht="16">
      <c r="A21" t="s">
        <v>143</v>
      </c>
      <c r="B21" t="s">
        <v>41</v>
      </c>
      <c r="C21" t="s">
        <v>183</v>
      </c>
      <c r="D21">
        <v>40.446700000000007</v>
      </c>
      <c r="E21" s="23">
        <v>243.39767799999871</v>
      </c>
      <c r="F21" s="23">
        <v>1.6588644507722665</v>
      </c>
      <c r="G21" s="31">
        <v>6.9004936585194568E-13</v>
      </c>
      <c r="H21" s="31">
        <v>9.7218086035343583E-15</v>
      </c>
      <c r="I21" s="8">
        <f t="shared" si="9"/>
        <v>277454.34132334572</v>
      </c>
      <c r="J21" s="8">
        <f t="shared" si="10"/>
        <v>4342.6902028558898</v>
      </c>
      <c r="K21" s="9">
        <f t="shared" si="16"/>
        <v>1.5651909363331648E-2</v>
      </c>
      <c r="L21" s="79">
        <f t="shared" si="11"/>
        <v>9.0070354110717714E-5</v>
      </c>
      <c r="M21" s="24">
        <v>2236.3985585915184</v>
      </c>
      <c r="N21" s="24">
        <v>3</v>
      </c>
      <c r="O21" s="24">
        <f t="shared" si="8"/>
        <v>67.09195675774555</v>
      </c>
      <c r="P21" s="31">
        <v>1.0828826993612617E-12</v>
      </c>
      <c r="Q21" s="31">
        <v>3.0209587636104362E-14</v>
      </c>
      <c r="R21" s="8">
        <f t="shared" si="17"/>
        <v>1336378.2478634627</v>
      </c>
      <c r="S21" s="8">
        <f t="shared" si="12"/>
        <v>54746.895397560023</v>
      </c>
      <c r="T21" s="88">
        <f t="shared" si="13"/>
        <v>4.8165699678349796</v>
      </c>
      <c r="U21" s="88">
        <f t="shared" si="14"/>
        <v>0.21122984796472608</v>
      </c>
      <c r="V21" s="79">
        <f t="shared" si="15"/>
        <v>1.6804382802954034E-23</v>
      </c>
    </row>
    <row r="22" spans="1:23" ht="16">
      <c r="A22" t="s">
        <v>132</v>
      </c>
      <c r="B22" t="s">
        <v>41</v>
      </c>
      <c r="C22" t="s">
        <v>183</v>
      </c>
      <c r="D22">
        <v>25.401700000000005</v>
      </c>
      <c r="E22" s="23">
        <v>243.00842399999996</v>
      </c>
      <c r="F22" s="23">
        <v>1.6564289119379676</v>
      </c>
      <c r="G22" s="31">
        <v>1.9612958237299429E-13</v>
      </c>
      <c r="H22" s="31">
        <v>7.8179404174956381E-15</v>
      </c>
      <c r="I22" s="8">
        <f t="shared" si="9"/>
        <v>125337.47314506999</v>
      </c>
      <c r="J22" s="8">
        <f t="shared" si="10"/>
        <v>5070.219451594513</v>
      </c>
      <c r="K22" s="9">
        <f t="shared" si="16"/>
        <v>4.0452542438972443E-2</v>
      </c>
      <c r="L22" s="79">
        <f t="shared" si="11"/>
        <v>3.1747736791651603E-4</v>
      </c>
      <c r="M22" s="24">
        <v>2145.9810233108492</v>
      </c>
      <c r="N22" s="24">
        <v>3</v>
      </c>
      <c r="O22" s="24">
        <f t="shared" si="8"/>
        <v>64.379430699325482</v>
      </c>
      <c r="P22" s="31">
        <v>3.5493896908236784E-13</v>
      </c>
      <c r="Q22" s="31">
        <v>1.6802512847785067E-14</v>
      </c>
      <c r="R22" s="8">
        <f t="shared" si="17"/>
        <v>669265.82819428016</v>
      </c>
      <c r="S22" s="8">
        <f t="shared" si="12"/>
        <v>37508.729268340714</v>
      </c>
      <c r="T22" s="88">
        <f t="shared" si="13"/>
        <v>5.3397105542382235</v>
      </c>
      <c r="U22" s="88">
        <f t="shared" si="14"/>
        <v>0.3690742235930573</v>
      </c>
      <c r="V22" s="79">
        <f t="shared" si="15"/>
        <v>5.3428579075819481E-23</v>
      </c>
    </row>
    <row r="23" spans="1:23" ht="16">
      <c r="A23" t="s">
        <v>176</v>
      </c>
      <c r="B23" t="s">
        <v>41</v>
      </c>
      <c r="C23" t="s">
        <v>183</v>
      </c>
      <c r="D23">
        <v>5.8686999999999898</v>
      </c>
      <c r="E23" s="23">
        <v>244.31859600000095</v>
      </c>
      <c r="F23" s="23">
        <v>1.6646278467165025</v>
      </c>
      <c r="G23" s="31">
        <v>4.2605756859342347E-14</v>
      </c>
      <c r="H23" s="31">
        <v>2.5951742746280197E-15</v>
      </c>
      <c r="I23" s="8">
        <f t="shared" si="9"/>
        <v>118350.05959832165</v>
      </c>
      <c r="J23" s="8">
        <f t="shared" si="10"/>
        <v>7264.3767872889966</v>
      </c>
      <c r="K23" s="9">
        <f t="shared" si="16"/>
        <v>6.1380423566698525E-2</v>
      </c>
      <c r="L23" s="79">
        <f t="shared" si="11"/>
        <v>1.4552784492837202E-3</v>
      </c>
      <c r="M23" s="24">
        <v>1186.5062782755806</v>
      </c>
      <c r="N23" s="24">
        <v>3</v>
      </c>
      <c r="O23" s="24">
        <f t="shared" si="8"/>
        <v>35.595188348267421</v>
      </c>
      <c r="P23" s="31">
        <v>1.731808444382343E-13</v>
      </c>
      <c r="Q23" s="31">
        <v>1.2120098915090085E-14</v>
      </c>
      <c r="R23" s="8">
        <f t="shared" si="17"/>
        <v>781465.58506313444</v>
      </c>
      <c r="S23" s="8">
        <f t="shared" si="12"/>
        <v>59504.027434544943</v>
      </c>
      <c r="T23" s="88">
        <f t="shared" si="13"/>
        <v>6.6030011959049038</v>
      </c>
      <c r="U23" s="88">
        <f t="shared" si="14"/>
        <v>0.64579535593950677</v>
      </c>
      <c r="V23" s="79">
        <f t="shared" si="15"/>
        <v>1.9805385112075871E-22</v>
      </c>
    </row>
    <row r="24" spans="1:23" ht="16">
      <c r="A24" t="s">
        <v>120</v>
      </c>
      <c r="B24" t="s">
        <v>41</v>
      </c>
      <c r="C24" t="s">
        <v>183</v>
      </c>
      <c r="D24">
        <v>40.147400000000005</v>
      </c>
      <c r="E24" s="23">
        <v>242.4577719999989</v>
      </c>
      <c r="F24" s="23">
        <v>1.6529840630617032</v>
      </c>
      <c r="G24" s="31">
        <v>2.428294882854411E-13</v>
      </c>
      <c r="H24" s="31">
        <v>5.7261258315687617E-15</v>
      </c>
      <c r="I24" s="8">
        <f t="shared" si="9"/>
        <v>97968.319222786289</v>
      </c>
      <c r="J24" s="8">
        <f t="shared" si="10"/>
        <v>2405.408795879925</v>
      </c>
      <c r="K24" s="9">
        <f t="shared" si="16"/>
        <v>2.4552925016605318E-2</v>
      </c>
      <c r="L24" s="79">
        <f t="shared" si="11"/>
        <v>2.569883324512294E-4</v>
      </c>
      <c r="M24" s="24">
        <v>1046.2737819782296</v>
      </c>
      <c r="N24" s="24">
        <v>3</v>
      </c>
      <c r="O24" s="24">
        <f t="shared" si="8"/>
        <v>31.38821345934689</v>
      </c>
      <c r="P24" s="31">
        <v>9.1437221857331428E-13</v>
      </c>
      <c r="Q24" s="31">
        <v>2.6473357729866657E-14</v>
      </c>
      <c r="R24" s="8">
        <f t="shared" si="17"/>
        <v>531854.46916060289</v>
      </c>
      <c r="S24" s="8">
        <f t="shared" si="12"/>
        <v>22174.230523862385</v>
      </c>
      <c r="T24" s="88">
        <f t="shared" si="13"/>
        <v>5.4288414191441978</v>
      </c>
      <c r="U24" s="88">
        <f t="shared" si="14"/>
        <v>0.26267364547133121</v>
      </c>
      <c r="V24" s="79">
        <f t="shared" si="15"/>
        <v>4.2538759405238561E-23</v>
      </c>
    </row>
    <row r="25" spans="1:23" ht="16">
      <c r="A25" s="81" t="s">
        <v>184</v>
      </c>
      <c r="B25" s="81" t="s">
        <v>40</v>
      </c>
      <c r="C25" s="81" t="s">
        <v>184</v>
      </c>
      <c r="D25" s="81">
        <v>0</v>
      </c>
      <c r="E25" s="82">
        <v>242.85651999999897</v>
      </c>
      <c r="F25" s="82">
        <v>1.6554785445906506</v>
      </c>
      <c r="G25" s="83">
        <v>9.3389557298713784E-16</v>
      </c>
      <c r="H25" s="83">
        <v>3.9974108620988239E-16</v>
      </c>
      <c r="I25" s="19">
        <f>(G25*E25*10^-6*6.0221*10^23)/(9.0122)</f>
        <v>15155.324021804186</v>
      </c>
      <c r="J25" s="19">
        <f>SQRT((((E25*10^-6*6.0221E+23)/9.0122)*H25)^2+(((G25*6.0221E+23)/9.0122)*F25*10^-6)^2)</f>
        <v>6487.84945501524</v>
      </c>
      <c r="K25" s="84">
        <f>J25/I25</f>
        <v>0.4280904483256891</v>
      </c>
      <c r="L25" s="81"/>
      <c r="M25" s="85">
        <v>1007.4070380114946</v>
      </c>
      <c r="N25" s="85">
        <v>3</v>
      </c>
      <c r="O25" s="85">
        <f t="shared" si="8"/>
        <v>30.222211140344839</v>
      </c>
      <c r="P25" s="81">
        <v>0</v>
      </c>
      <c r="Q25" s="81">
        <v>0</v>
      </c>
      <c r="R25" s="19">
        <f>(P25*(M25*10^-6*6.0221*10^23)/(26.9815))</f>
        <v>0</v>
      </c>
      <c r="S25" s="19">
        <f>SQRT((((M25*10^-6*6.0221E+23)/26.9815)*Q25)^2+(((P25*6.0221E+23)/26.9815)*O25*10^-6)^2)</f>
        <v>0</v>
      </c>
      <c r="T25" s="81"/>
      <c r="U25" s="81"/>
      <c r="V25" s="81"/>
      <c r="W25" s="81"/>
    </row>
    <row r="26" spans="1:23" ht="16">
      <c r="A26" t="s">
        <v>83</v>
      </c>
      <c r="B26" t="s">
        <v>41</v>
      </c>
      <c r="C26" t="s">
        <v>184</v>
      </c>
      <c r="D26" s="89">
        <v>35.969000000000008</v>
      </c>
      <c r="E26" s="23">
        <v>245.10659799999979</v>
      </c>
      <c r="F26" s="23">
        <v>1.6695608158183384</v>
      </c>
      <c r="G26" s="31">
        <v>3.5217602541123786E-13</v>
      </c>
      <c r="H26" s="31">
        <v>6.8890572123085554E-15</v>
      </c>
      <c r="I26" s="8">
        <f t="shared" ref="I26:I32" si="18">1/D26*((G26*E26*10^-6*6.0221E+23/9.0122)-$I$17)</f>
        <v>160154.81022640414</v>
      </c>
      <c r="J26" s="8">
        <f t="shared" ref="J26:J32" si="19">SQRT(((E26*10^-6*6.0221E+23)/(D26*9.0122)*H26)^2+((-1/D26)*$J$17)^2+((G26*6.0221E+23)/(D26*9.0122)*F26*10^-6)^2)</f>
        <v>3323.0102198543668</v>
      </c>
      <c r="K26" s="9">
        <f>J26/I26</f>
        <v>2.074873814377955E-2</v>
      </c>
      <c r="L26" s="79">
        <f t="shared" ref="L26:L32" si="20">I$11/(I26*D26)</f>
        <v>5.5388030223843011E-4</v>
      </c>
      <c r="M26" s="24">
        <v>2718.7803641515675</v>
      </c>
      <c r="N26" s="24">
        <v>3</v>
      </c>
      <c r="O26" s="24">
        <f t="shared" si="8"/>
        <v>81.563410924547028</v>
      </c>
      <c r="P26" s="31">
        <v>5.4447435138681736E-13</v>
      </c>
      <c r="Q26" s="31">
        <v>2.0537779990231254E-14</v>
      </c>
      <c r="R26" s="8">
        <f t="shared" ref="R26:R32" si="21">(1/D26)*(((P26*(M26*10^-6*6.0221*10^23)/26.9815)-$R$17))</f>
        <v>918554.77663208521</v>
      </c>
      <c r="S26" s="8">
        <f t="shared" ref="S26:S32" si="22">SQRT(((M26*10^-6*6.0221E+23)/(D26*26.9815)*Q26)^2+((-1/D26)*$S$17)^2+((P26*6.0221E+23)/(D26*26.9815)*O26*10^-6)^2)</f>
        <v>44270.40613209275</v>
      </c>
      <c r="T26" s="88">
        <f t="shared" ref="T26:T32" si="23">R26/I26</f>
        <v>5.7354179704847006</v>
      </c>
      <c r="U26" s="88">
        <f t="shared" ref="U26:U32" si="24">T26*SQRT((S26/R26)^2+(J26/I26)^2)</f>
        <v>0.30095029974746351</v>
      </c>
      <c r="V26" s="79">
        <f t="shared" ref="V26:V32" si="25">R$17/(R26*D26)</f>
        <v>0</v>
      </c>
    </row>
    <row r="27" spans="1:23" ht="16">
      <c r="A27" t="s">
        <v>108</v>
      </c>
      <c r="B27" t="s">
        <v>41</v>
      </c>
      <c r="C27" t="s">
        <v>184</v>
      </c>
      <c r="D27" s="89">
        <v>32.99969999999999</v>
      </c>
      <c r="E27" s="23">
        <v>246.89146999999969</v>
      </c>
      <c r="F27" s="23">
        <v>1.6807390118932783</v>
      </c>
      <c r="G27" s="31">
        <v>3.5715623282883966E-13</v>
      </c>
      <c r="H27" s="31">
        <v>8.4947892834004491E-15</v>
      </c>
      <c r="I27" s="8">
        <f t="shared" si="18"/>
        <v>178328.09575123456</v>
      </c>
      <c r="J27" s="8">
        <f t="shared" si="19"/>
        <v>4418.5742955908217</v>
      </c>
      <c r="K27" s="9">
        <f t="shared" ref="K27:K32" si="26">J27/I27</f>
        <v>2.4777779838767958E-2</v>
      </c>
      <c r="L27" s="79">
        <f t="shared" si="20"/>
        <v>5.4219375087725074E-4</v>
      </c>
      <c r="M27" s="24">
        <v>3633.3281151915362</v>
      </c>
      <c r="N27" s="24">
        <v>3</v>
      </c>
      <c r="O27" s="24">
        <f t="shared" si="8"/>
        <v>108.99984345574609</v>
      </c>
      <c r="P27" s="31">
        <v>4.0368743360865114E-13</v>
      </c>
      <c r="Q27" s="31">
        <v>2.0759200571076996E-14</v>
      </c>
      <c r="R27" s="8">
        <f t="shared" si="21"/>
        <v>992022.97659880179</v>
      </c>
      <c r="S27" s="8">
        <f t="shared" si="22"/>
        <v>59060.137419280909</v>
      </c>
      <c r="T27" s="88">
        <f t="shared" si="23"/>
        <v>5.5629090436913611</v>
      </c>
      <c r="U27" s="88">
        <f t="shared" si="24"/>
        <v>0.35872614430818839</v>
      </c>
      <c r="V27" s="79">
        <f t="shared" si="25"/>
        <v>0</v>
      </c>
    </row>
    <row r="28" spans="1:23" ht="16">
      <c r="A28" t="s">
        <v>115</v>
      </c>
      <c r="B28" t="s">
        <v>41</v>
      </c>
      <c r="C28" t="s">
        <v>184</v>
      </c>
      <c r="D28" s="89">
        <v>27.737899999999996</v>
      </c>
      <c r="E28" s="23">
        <v>243.426160000001</v>
      </c>
      <c r="F28" s="23">
        <v>1.6590426734716683</v>
      </c>
      <c r="G28" s="31">
        <v>1.9040499623295127E-13</v>
      </c>
      <c r="H28" s="31">
        <v>5.5494592645386499E-15</v>
      </c>
      <c r="I28" s="8">
        <f t="shared" si="18"/>
        <v>111388.14214587172</v>
      </c>
      <c r="J28" s="8">
        <f t="shared" si="19"/>
        <v>3344.3721992769943</v>
      </c>
      <c r="K28" s="9">
        <f t="shared" si="26"/>
        <v>3.002449035281754E-2</v>
      </c>
      <c r="L28" s="79">
        <f t="shared" si="20"/>
        <v>1.0326941885597256E-3</v>
      </c>
      <c r="M28" s="24">
        <v>4487.9497376085674</v>
      </c>
      <c r="N28" s="24">
        <v>3</v>
      </c>
      <c r="O28" s="24">
        <f t="shared" si="8"/>
        <v>134.63849212825701</v>
      </c>
      <c r="P28" s="31">
        <v>1.5291387724803431E-13</v>
      </c>
      <c r="Q28" s="31">
        <v>1.0912974609211445E-14</v>
      </c>
      <c r="R28" s="8">
        <f t="shared" si="21"/>
        <v>552208.61722119281</v>
      </c>
      <c r="S28" s="8">
        <f t="shared" si="22"/>
        <v>42749.723700356168</v>
      </c>
      <c r="T28" s="88">
        <f t="shared" si="23"/>
        <v>4.9575170802115656</v>
      </c>
      <c r="U28" s="88">
        <f t="shared" si="24"/>
        <v>0.4116438311399665</v>
      </c>
      <c r="V28" s="79">
        <f t="shared" si="25"/>
        <v>0</v>
      </c>
    </row>
    <row r="29" spans="1:23" ht="16">
      <c r="A29" t="s">
        <v>124</v>
      </c>
      <c r="B29" t="s">
        <v>41</v>
      </c>
      <c r="C29" t="s">
        <v>184</v>
      </c>
      <c r="D29" s="89">
        <v>21.848299999999995</v>
      </c>
      <c r="E29" s="23">
        <v>242.07801199999977</v>
      </c>
      <c r="F29" s="23">
        <v>1.650608680873815</v>
      </c>
      <c r="G29" s="31">
        <v>1.8140087517556264E-13</v>
      </c>
      <c r="H29" s="31">
        <v>6.3456941688197576E-15</v>
      </c>
      <c r="I29" s="8">
        <f t="shared" si="18"/>
        <v>133963.25167696291</v>
      </c>
      <c r="J29" s="8">
        <f t="shared" si="19"/>
        <v>4789.1783853134302</v>
      </c>
      <c r="K29" s="9">
        <f t="shared" si="26"/>
        <v>3.5749941311233525E-2</v>
      </c>
      <c r="L29" s="79">
        <f t="shared" si="20"/>
        <v>1.0901366493737544E-3</v>
      </c>
      <c r="M29" s="24">
        <v>2847.0452677069488</v>
      </c>
      <c r="N29" s="24">
        <v>3</v>
      </c>
      <c r="O29" s="24">
        <f t="shared" si="8"/>
        <v>85.411358031208479</v>
      </c>
      <c r="P29" s="31">
        <v>2.6725094050932258E-13</v>
      </c>
      <c r="Q29" s="31">
        <v>1.3950391908585737E-14</v>
      </c>
      <c r="R29" s="8">
        <f t="shared" si="21"/>
        <v>777280.61561707081</v>
      </c>
      <c r="S29" s="8">
        <f t="shared" si="22"/>
        <v>46797.187145170064</v>
      </c>
      <c r="T29" s="88">
        <f t="shared" si="23"/>
        <v>5.8021928094981918</v>
      </c>
      <c r="U29" s="88">
        <f t="shared" si="24"/>
        <v>0.40627186206855537</v>
      </c>
      <c r="V29" s="79">
        <f t="shared" si="25"/>
        <v>0</v>
      </c>
    </row>
    <row r="30" spans="1:23" ht="16">
      <c r="A30" t="s">
        <v>127</v>
      </c>
      <c r="B30" t="s">
        <v>41</v>
      </c>
      <c r="C30" t="s">
        <v>184</v>
      </c>
      <c r="D30" s="89">
        <v>28.790499999999994</v>
      </c>
      <c r="E30" s="23">
        <v>244.66987399999945</v>
      </c>
      <c r="F30" s="23">
        <v>1.6668267220092161</v>
      </c>
      <c r="G30" s="31">
        <v>3.0538549900640786E-13</v>
      </c>
      <c r="H30" s="31">
        <v>6.3740391823144555E-15</v>
      </c>
      <c r="I30" s="8">
        <f t="shared" si="18"/>
        <v>173159.24630601131</v>
      </c>
      <c r="J30" s="8">
        <f t="shared" si="19"/>
        <v>3809.3841932990426</v>
      </c>
      <c r="K30" s="9">
        <f t="shared" si="26"/>
        <v>2.1999311469437819E-2</v>
      </c>
      <c r="L30" s="79">
        <f t="shared" si="20"/>
        <v>6.4001385759144104E-4</v>
      </c>
      <c r="M30" s="24">
        <v>1771.3800773188068</v>
      </c>
      <c r="N30" s="24">
        <v>3</v>
      </c>
      <c r="O30" s="24">
        <f t="shared" si="8"/>
        <v>53.141402319564207</v>
      </c>
      <c r="P30" s="31">
        <v>6.9171407994901799E-13</v>
      </c>
      <c r="Q30" s="31">
        <v>2.4557435928854127E-14</v>
      </c>
      <c r="R30" s="8">
        <f t="shared" si="21"/>
        <v>949885.01701328449</v>
      </c>
      <c r="S30" s="8">
        <f t="shared" si="22"/>
        <v>44150.884552323427</v>
      </c>
      <c r="T30" s="88">
        <f t="shared" si="23"/>
        <v>5.4856153354619259</v>
      </c>
      <c r="U30" s="88">
        <f t="shared" si="24"/>
        <v>0.28208986877017145</v>
      </c>
      <c r="V30" s="79">
        <f t="shared" si="25"/>
        <v>0</v>
      </c>
    </row>
    <row r="31" spans="1:23" ht="16">
      <c r="A31" t="s">
        <v>136</v>
      </c>
      <c r="B31" t="s">
        <v>41</v>
      </c>
      <c r="C31" t="s">
        <v>184</v>
      </c>
      <c r="D31" s="89">
        <v>31.005500000000012</v>
      </c>
      <c r="E31" s="23">
        <v>242.64765200000014</v>
      </c>
      <c r="F31" s="23">
        <v>1.6541718693098377</v>
      </c>
      <c r="G31" s="31">
        <v>2.8919136440670022E-13</v>
      </c>
      <c r="H31" s="31">
        <v>1.1047237120775699E-14</v>
      </c>
      <c r="I31" s="8">
        <f t="shared" si="18"/>
        <v>150989.39018892421</v>
      </c>
      <c r="J31" s="8">
        <f t="shared" si="19"/>
        <v>5869.3751709131948</v>
      </c>
      <c r="K31" s="9">
        <f t="shared" si="26"/>
        <v>3.8872765586834862E-2</v>
      </c>
      <c r="L31" s="79">
        <f t="shared" si="20"/>
        <v>6.8155216418439306E-4</v>
      </c>
      <c r="M31" s="24">
        <v>3757.4236815970057</v>
      </c>
      <c r="N31" s="24">
        <v>3</v>
      </c>
      <c r="O31" s="24">
        <f t="shared" si="8"/>
        <v>112.72271044791017</v>
      </c>
      <c r="P31" s="31">
        <v>3.2155681560425528E-13</v>
      </c>
      <c r="Q31" s="31">
        <v>1.8701402608536051E-14</v>
      </c>
      <c r="R31" s="8">
        <f t="shared" si="21"/>
        <v>869743.15815457341</v>
      </c>
      <c r="S31" s="8">
        <f t="shared" si="22"/>
        <v>56916.446564138088</v>
      </c>
      <c r="T31" s="88">
        <f t="shared" si="23"/>
        <v>5.760293203822564</v>
      </c>
      <c r="U31" s="88">
        <f t="shared" si="24"/>
        <v>0.43844701187653057</v>
      </c>
      <c r="V31" s="79">
        <f t="shared" si="25"/>
        <v>0</v>
      </c>
    </row>
    <row r="32" spans="1:23" ht="16">
      <c r="A32" t="s">
        <v>172</v>
      </c>
      <c r="B32" t="s">
        <v>41</v>
      </c>
      <c r="C32" t="s">
        <v>184</v>
      </c>
      <c r="D32" s="89">
        <v>40.110699999999994</v>
      </c>
      <c r="E32" s="23">
        <v>240.76784000000046</v>
      </c>
      <c r="F32" s="23">
        <v>1.642415986405396</v>
      </c>
      <c r="G32" s="31">
        <v>4.2574296094392721E-13</v>
      </c>
      <c r="H32" s="31">
        <v>8.5897953557551207E-15</v>
      </c>
      <c r="I32" s="8">
        <f t="shared" si="18"/>
        <v>170580.07659966697</v>
      </c>
      <c r="J32" s="8">
        <f t="shared" si="19"/>
        <v>3637.9786487172996</v>
      </c>
      <c r="K32" s="9">
        <f t="shared" si="26"/>
        <v>2.1327101741519573E-2</v>
      </c>
      <c r="L32" s="79">
        <f t="shared" si="20"/>
        <v>4.6633254458649636E-4</v>
      </c>
      <c r="M32" s="24">
        <v>1452.8610148571538</v>
      </c>
      <c r="N32" s="24">
        <v>3</v>
      </c>
      <c r="O32" s="24">
        <f t="shared" si="8"/>
        <v>43.58583044571462</v>
      </c>
      <c r="P32" s="31">
        <v>1.2531063983587451E-12</v>
      </c>
      <c r="Q32" s="31">
        <v>3.2918344156791363E-14</v>
      </c>
      <c r="R32" s="8">
        <f t="shared" si="21"/>
        <v>1013056.458198676</v>
      </c>
      <c r="S32" s="8">
        <f t="shared" si="22"/>
        <v>40396.456667684914</v>
      </c>
      <c r="T32" s="88">
        <f t="shared" si="23"/>
        <v>5.9388908622441896</v>
      </c>
      <c r="U32" s="88">
        <f t="shared" si="24"/>
        <v>0.26856175787603592</v>
      </c>
      <c r="V32" s="79">
        <f t="shared" si="25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C694-48E5-4B74-8C78-DDC9F5EFE866}">
  <dimension ref="A1:R28"/>
  <sheetViews>
    <sheetView topLeftCell="A3" workbookViewId="0">
      <selection activeCell="U20" sqref="U20"/>
    </sheetView>
  </sheetViews>
  <sheetFormatPr defaultRowHeight="14.5"/>
  <sheetData>
    <row r="1" spans="1:18">
      <c r="A1" t="s">
        <v>43</v>
      </c>
    </row>
    <row r="3" spans="1:18" ht="15" thickBot="1">
      <c r="A3" s="28" t="s">
        <v>44</v>
      </c>
      <c r="B3" s="28" t="s">
        <v>45</v>
      </c>
      <c r="C3" s="28" t="s">
        <v>46</v>
      </c>
      <c r="D3" s="28" t="s">
        <v>47</v>
      </c>
      <c r="E3" s="28" t="s">
        <v>48</v>
      </c>
      <c r="F3" s="29" t="s">
        <v>49</v>
      </c>
      <c r="G3" s="28" t="s">
        <v>50</v>
      </c>
      <c r="H3" s="28" t="s">
        <v>51</v>
      </c>
      <c r="I3" s="28" t="s">
        <v>52</v>
      </c>
      <c r="J3" s="28" t="s">
        <v>53</v>
      </c>
      <c r="K3" s="28" t="s">
        <v>54</v>
      </c>
      <c r="L3" s="28" t="s">
        <v>55</v>
      </c>
      <c r="M3" s="28" t="s">
        <v>56</v>
      </c>
      <c r="N3" s="28" t="s">
        <v>57</v>
      </c>
      <c r="O3" s="28" t="s">
        <v>58</v>
      </c>
      <c r="P3" s="30" t="s">
        <v>59</v>
      </c>
      <c r="Q3" s="91"/>
      <c r="R3" s="31"/>
    </row>
    <row r="4" spans="1:18">
      <c r="A4" s="32" t="s">
        <v>10</v>
      </c>
      <c r="B4" s="32" t="b">
        <v>1</v>
      </c>
      <c r="C4" s="32" t="s">
        <v>60</v>
      </c>
      <c r="D4" s="33">
        <v>0</v>
      </c>
      <c r="E4" s="33">
        <v>0</v>
      </c>
      <c r="F4" s="34">
        <v>0</v>
      </c>
      <c r="G4" s="35">
        <v>0.68797111111111109</v>
      </c>
      <c r="H4" s="35">
        <v>4.0563429987554009</v>
      </c>
      <c r="I4" s="35">
        <v>6.123989023517467</v>
      </c>
      <c r="J4" s="36">
        <v>2.7196138746286114E-3</v>
      </c>
      <c r="K4" s="36">
        <v>9.0831201296809826E-4</v>
      </c>
      <c r="L4" s="35">
        <v>33.398565194926313</v>
      </c>
      <c r="M4" s="36">
        <v>2.7196138746286114E-3</v>
      </c>
      <c r="N4" s="36">
        <v>9.0831201296809826E-4</v>
      </c>
      <c r="O4" s="35">
        <v>33.398565194926313</v>
      </c>
      <c r="P4" s="37"/>
      <c r="Q4" s="38">
        <f t="shared" ref="Q4:Q15" si="0">J4*10^-12</f>
        <v>2.7196138746286111E-15</v>
      </c>
      <c r="R4" s="38">
        <f t="shared" ref="R4:R15" si="1">K4*10^-12</f>
        <v>9.0831201296809822E-16</v>
      </c>
    </row>
    <row r="5" spans="1:18">
      <c r="A5" s="39" t="s">
        <v>11</v>
      </c>
      <c r="B5" s="39" t="b">
        <v>1</v>
      </c>
      <c r="C5" s="39" t="s">
        <v>61</v>
      </c>
      <c r="D5" s="40">
        <v>2.7196138746286114E-3</v>
      </c>
      <c r="E5" s="40">
        <v>9.0831201296809826E-4</v>
      </c>
      <c r="F5" s="41">
        <v>0</v>
      </c>
      <c r="G5" s="42">
        <v>0.55039883333333328</v>
      </c>
      <c r="H5" s="42">
        <v>3.1972755965935002</v>
      </c>
      <c r="I5" s="42">
        <v>4.1435277003067634</v>
      </c>
      <c r="J5" s="43">
        <v>9.3472837255101457E-2</v>
      </c>
      <c r="K5" s="43">
        <v>5.5635279154127599E-3</v>
      </c>
      <c r="L5" s="42">
        <v>5.9520263627272314</v>
      </c>
      <c r="M5" s="43">
        <v>9.0753223380472842E-2</v>
      </c>
      <c r="N5" s="43">
        <v>5.6371866723108613E-3</v>
      </c>
      <c r="O5" s="42">
        <v>6.2115553170795712</v>
      </c>
      <c r="P5" s="44"/>
      <c r="Q5" s="18">
        <f t="shared" si="0"/>
        <v>9.3472837255101453E-14</v>
      </c>
      <c r="R5" s="18">
        <f t="shared" si="1"/>
        <v>5.5635279154127599E-15</v>
      </c>
    </row>
    <row r="6" spans="1:18">
      <c r="A6" s="39" t="s">
        <v>12</v>
      </c>
      <c r="B6" s="39" t="b">
        <v>1</v>
      </c>
      <c r="C6" s="39" t="s">
        <v>61</v>
      </c>
      <c r="D6" s="40">
        <v>2.7196138746286114E-3</v>
      </c>
      <c r="E6" s="40">
        <v>9.0831201296809826E-4</v>
      </c>
      <c r="F6" s="41">
        <v>0</v>
      </c>
      <c r="G6" s="42">
        <v>0.82557977777777769</v>
      </c>
      <c r="H6" s="42">
        <v>4.4392705619570991</v>
      </c>
      <c r="I6" s="42">
        <v>4.7474015620054617</v>
      </c>
      <c r="J6" s="43">
        <v>0.11973289651618968</v>
      </c>
      <c r="K6" s="43">
        <v>5.4205283727961255E-3</v>
      </c>
      <c r="L6" s="42">
        <v>4.5271838655161813</v>
      </c>
      <c r="M6" s="43">
        <v>0.11701328264156106</v>
      </c>
      <c r="N6" s="43">
        <v>5.4961039430845892E-3</v>
      </c>
      <c r="O6" s="42">
        <v>4.6969915030248623</v>
      </c>
      <c r="P6" s="44"/>
      <c r="Q6" s="18">
        <f t="shared" si="0"/>
        <v>1.1973289651618968E-13</v>
      </c>
      <c r="R6" s="18">
        <f t="shared" si="1"/>
        <v>5.4205283727961254E-15</v>
      </c>
    </row>
    <row r="7" spans="1:18">
      <c r="A7" s="39" t="s">
        <v>13</v>
      </c>
      <c r="B7" s="39" t="b">
        <v>1</v>
      </c>
      <c r="C7" s="39" t="s">
        <v>61</v>
      </c>
      <c r="D7" s="40">
        <v>2.7196138746286114E-3</v>
      </c>
      <c r="E7" s="40">
        <v>9.0831201296809826E-4</v>
      </c>
      <c r="F7" s="41">
        <v>0</v>
      </c>
      <c r="G7" s="42">
        <v>0.81029844444444443</v>
      </c>
      <c r="H7" s="42">
        <v>4.0804547681688996</v>
      </c>
      <c r="I7" s="42">
        <v>5.2535810878795335</v>
      </c>
      <c r="J7" s="43">
        <v>0.16589925622916724</v>
      </c>
      <c r="K7" s="43">
        <v>9.1467406714523664E-3</v>
      </c>
      <c r="L7" s="42">
        <v>5.5134307888742971</v>
      </c>
      <c r="M7" s="43">
        <v>0.16317964235453863</v>
      </c>
      <c r="N7" s="43">
        <v>9.1917297405713048E-3</v>
      </c>
      <c r="O7" s="42">
        <v>5.6328899904073406</v>
      </c>
      <c r="P7" s="44"/>
      <c r="Q7" s="18">
        <f t="shared" si="0"/>
        <v>1.6589925622916724E-13</v>
      </c>
      <c r="R7" s="18">
        <f t="shared" si="1"/>
        <v>9.1467406714523662E-15</v>
      </c>
    </row>
    <row r="8" spans="1:18">
      <c r="A8" s="39" t="s">
        <v>14</v>
      </c>
      <c r="B8" s="39" t="b">
        <v>1</v>
      </c>
      <c r="C8" s="39" t="s">
        <v>61</v>
      </c>
      <c r="D8" s="40">
        <v>2.7196138746286114E-3</v>
      </c>
      <c r="E8" s="40">
        <v>9.0831201296809826E-4</v>
      </c>
      <c r="F8" s="41">
        <v>0</v>
      </c>
      <c r="G8" s="42">
        <v>0.68797472222222211</v>
      </c>
      <c r="H8" s="42">
        <v>4.3042419288840001</v>
      </c>
      <c r="I8" s="42">
        <v>5.866538270200591</v>
      </c>
      <c r="J8" s="43">
        <v>7.4093426659219905E-2</v>
      </c>
      <c r="K8" s="43">
        <v>5.9751461934748869E-3</v>
      </c>
      <c r="L8" s="42">
        <v>8.0643404724099934</v>
      </c>
      <c r="M8" s="43">
        <v>7.137381278459129E-2</v>
      </c>
      <c r="N8" s="43">
        <v>6.0437904287210017E-3</v>
      </c>
      <c r="O8" s="42">
        <v>8.4677981922604815</v>
      </c>
      <c r="P8" s="44"/>
      <c r="Q8" s="18">
        <f t="shared" si="0"/>
        <v>7.40934266592199E-14</v>
      </c>
      <c r="R8" s="18">
        <f t="shared" si="1"/>
        <v>5.9751461934748865E-15</v>
      </c>
    </row>
    <row r="9" spans="1:18">
      <c r="A9" s="39" t="s">
        <v>15</v>
      </c>
      <c r="B9" s="39" t="b">
        <v>1</v>
      </c>
      <c r="C9" s="39" t="s">
        <v>61</v>
      </c>
      <c r="D9" s="40">
        <v>2.7196138746286114E-3</v>
      </c>
      <c r="E9" s="40">
        <v>9.0831201296809826E-4</v>
      </c>
      <c r="F9" s="41">
        <v>0</v>
      </c>
      <c r="G9" s="42">
        <v>0.82562755555555556</v>
      </c>
      <c r="H9" s="42">
        <v>4.0872068056507995</v>
      </c>
      <c r="I9" s="42">
        <v>2.8907272281072443</v>
      </c>
      <c r="J9" s="43">
        <v>3.9504675377703274E-2</v>
      </c>
      <c r="K9" s="43">
        <v>2.9843355497458815E-3</v>
      </c>
      <c r="L9" s="42">
        <v>7.5543857055214838</v>
      </c>
      <c r="M9" s="43">
        <v>3.6785061503074666E-2</v>
      </c>
      <c r="N9" s="43">
        <v>3.1195014643976707E-3</v>
      </c>
      <c r="O9" s="42">
        <v>8.4803486440737039</v>
      </c>
      <c r="P9" s="44"/>
      <c r="Q9" s="18">
        <f t="shared" si="0"/>
        <v>3.9504675377703275E-14</v>
      </c>
      <c r="R9" s="18">
        <f t="shared" si="1"/>
        <v>2.9843355497458814E-15</v>
      </c>
    </row>
    <row r="10" spans="1:18">
      <c r="A10" s="39" t="s">
        <v>16</v>
      </c>
      <c r="B10" s="39" t="b">
        <v>1</v>
      </c>
      <c r="C10" s="39" t="s">
        <v>61</v>
      </c>
      <c r="D10" s="40">
        <v>2.7196138746286114E-3</v>
      </c>
      <c r="E10" s="40">
        <v>9.0831201296809826E-4</v>
      </c>
      <c r="F10" s="41">
        <v>0</v>
      </c>
      <c r="G10" s="42">
        <v>0.55036272222222216</v>
      </c>
      <c r="H10" s="42">
        <v>2.4980227741091001</v>
      </c>
      <c r="I10" s="42">
        <v>9.2845430555658552</v>
      </c>
      <c r="J10" s="43">
        <v>6.7045450285323924E-2</v>
      </c>
      <c r="K10" s="43">
        <v>5.4749463743755415E-3</v>
      </c>
      <c r="L10" s="42">
        <v>8.1660222298096699</v>
      </c>
      <c r="M10" s="43">
        <v>6.4325836410695308E-2</v>
      </c>
      <c r="N10" s="43">
        <v>5.5497809429913576E-3</v>
      </c>
      <c r="O10" s="42">
        <v>8.6276078985715419</v>
      </c>
      <c r="P10" s="44"/>
      <c r="Q10" s="18">
        <f t="shared" si="0"/>
        <v>6.7045450285323922E-14</v>
      </c>
      <c r="R10" s="18">
        <f t="shared" si="1"/>
        <v>5.4749463743755411E-15</v>
      </c>
    </row>
    <row r="11" spans="1:18">
      <c r="A11" s="39" t="s">
        <v>17</v>
      </c>
      <c r="B11" s="39" t="b">
        <v>1</v>
      </c>
      <c r="C11" s="39" t="s">
        <v>61</v>
      </c>
      <c r="D11" s="40">
        <v>2.7196138746286114E-3</v>
      </c>
      <c r="E11" s="40">
        <v>9.0831201296809826E-4</v>
      </c>
      <c r="F11" s="41">
        <v>0</v>
      </c>
      <c r="G11" s="42">
        <v>0.54271552777777787</v>
      </c>
      <c r="H11" s="42">
        <v>2.2369105532029998</v>
      </c>
      <c r="I11" s="42">
        <v>9.2466817550585017</v>
      </c>
      <c r="J11" s="43">
        <v>0.154226519707235</v>
      </c>
      <c r="K11" s="43">
        <v>9.3994103606003312E-3</v>
      </c>
      <c r="L11" s="42">
        <v>6.0945487056590766</v>
      </c>
      <c r="M11" s="43">
        <v>0.1515069058326064</v>
      </c>
      <c r="N11" s="43">
        <v>9.4431957429602729E-3</v>
      </c>
      <c r="O11" s="42">
        <v>6.2328483913424133</v>
      </c>
      <c r="P11" s="44"/>
      <c r="Q11" s="18">
        <f t="shared" si="0"/>
        <v>1.54226519707235E-13</v>
      </c>
      <c r="R11" s="18">
        <f t="shared" si="1"/>
        <v>9.3994103606003312E-15</v>
      </c>
    </row>
    <row r="12" spans="1:18">
      <c r="A12" s="39" t="s">
        <v>18</v>
      </c>
      <c r="B12" s="39" t="b">
        <v>1</v>
      </c>
      <c r="C12" s="39" t="s">
        <v>61</v>
      </c>
      <c r="D12" s="40">
        <v>2.7196138746286114E-3</v>
      </c>
      <c r="E12" s="40">
        <v>9.0831201296809826E-4</v>
      </c>
      <c r="F12" s="41">
        <v>0</v>
      </c>
      <c r="G12" s="42">
        <v>0.75679030555555538</v>
      </c>
      <c r="H12" s="42">
        <v>3.9639023261247002</v>
      </c>
      <c r="I12" s="42">
        <v>5.1318116155216442</v>
      </c>
      <c r="J12" s="43">
        <v>5.0094665371876734E-2</v>
      </c>
      <c r="K12" s="43">
        <v>4.3505606684610676E-3</v>
      </c>
      <c r="L12" s="42">
        <v>8.6846785703922134</v>
      </c>
      <c r="M12" s="43">
        <v>4.7375051497248126E-2</v>
      </c>
      <c r="N12" s="43">
        <v>4.4443682163905554E-3</v>
      </c>
      <c r="O12" s="42">
        <v>9.3812419742672262</v>
      </c>
      <c r="P12" s="44"/>
      <c r="Q12" s="18">
        <f t="shared" si="0"/>
        <v>5.0094665371876734E-14</v>
      </c>
      <c r="R12" s="18">
        <f t="shared" si="1"/>
        <v>4.3505606684610674E-15</v>
      </c>
    </row>
    <row r="13" spans="1:18">
      <c r="A13" s="39" t="s">
        <v>19</v>
      </c>
      <c r="B13" s="39" t="b">
        <v>1</v>
      </c>
      <c r="C13" s="39" t="s">
        <v>61</v>
      </c>
      <c r="D13" s="40">
        <v>2.7196138746286114E-3</v>
      </c>
      <c r="E13" s="40">
        <v>9.0831201296809826E-4</v>
      </c>
      <c r="F13" s="41">
        <v>0</v>
      </c>
      <c r="G13" s="42">
        <v>0.38986747222222218</v>
      </c>
      <c r="H13" s="42">
        <v>1.9152731552065001</v>
      </c>
      <c r="I13" s="42">
        <v>4.4740354537450351</v>
      </c>
      <c r="J13" s="43">
        <v>5.4456766680399983E-2</v>
      </c>
      <c r="K13" s="43">
        <v>5.3982445832430554E-3</v>
      </c>
      <c r="L13" s="42">
        <v>9.9128995574134695</v>
      </c>
      <c r="M13" s="43">
        <v>5.1737152805771375E-2</v>
      </c>
      <c r="N13" s="43">
        <v>5.4741278112056483E-3</v>
      </c>
      <c r="O13" s="42">
        <v>10.580651455166661</v>
      </c>
      <c r="P13" s="44"/>
      <c r="Q13" s="18">
        <f t="shared" si="0"/>
        <v>5.4456766680399981E-14</v>
      </c>
      <c r="R13" s="18">
        <f t="shared" si="1"/>
        <v>5.3982445832430552E-15</v>
      </c>
    </row>
    <row r="14" spans="1:18">
      <c r="A14" s="39" t="s">
        <v>20</v>
      </c>
      <c r="B14" s="39" t="b">
        <v>1</v>
      </c>
      <c r="C14" s="39" t="s">
        <v>61</v>
      </c>
      <c r="D14" s="40">
        <v>2.7196138746286114E-3</v>
      </c>
      <c r="E14" s="40">
        <v>9.0831201296809826E-4</v>
      </c>
      <c r="F14" s="41">
        <v>0</v>
      </c>
      <c r="G14" s="42">
        <v>0.68797166666666654</v>
      </c>
      <c r="H14" s="42">
        <v>4.5254777907012995</v>
      </c>
      <c r="I14" s="42">
        <v>5.4031863884610392</v>
      </c>
      <c r="J14" s="43">
        <v>2.9917036053383236E-2</v>
      </c>
      <c r="K14" s="43">
        <v>2.3517808932116829E-3</v>
      </c>
      <c r="L14" s="42">
        <v>7.8610089883744561</v>
      </c>
      <c r="M14" s="43">
        <v>2.7197422178754625E-2</v>
      </c>
      <c r="N14" s="43">
        <v>2.5210918433444069E-3</v>
      </c>
      <c r="O14" s="42">
        <v>9.2695985184719749</v>
      </c>
      <c r="P14" s="44"/>
      <c r="Q14" s="18">
        <f t="shared" si="0"/>
        <v>2.9917036053383237E-14</v>
      </c>
      <c r="R14" s="18">
        <f t="shared" si="1"/>
        <v>2.3517808932116831E-15</v>
      </c>
    </row>
    <row r="15" spans="1:18">
      <c r="A15" s="39" t="s">
        <v>21</v>
      </c>
      <c r="B15" s="39" t="b">
        <v>1</v>
      </c>
      <c r="C15" s="39" t="s">
        <v>61</v>
      </c>
      <c r="D15" s="40">
        <v>2.7196138746286114E-3</v>
      </c>
      <c r="E15" s="40">
        <v>9.0831201296809826E-4</v>
      </c>
      <c r="F15" s="41">
        <v>0</v>
      </c>
      <c r="G15" s="42">
        <v>0.55034744444444439</v>
      </c>
      <c r="H15" s="42">
        <v>3.5902744933080002</v>
      </c>
      <c r="I15" s="42">
        <v>6.7925168522505794</v>
      </c>
      <c r="J15" s="43">
        <v>0.11089503115686881</v>
      </c>
      <c r="K15" s="43">
        <v>5.9107061432615024E-3</v>
      </c>
      <c r="L15" s="42">
        <v>5.3300008860635</v>
      </c>
      <c r="M15" s="43">
        <v>0.1081754172822402</v>
      </c>
      <c r="N15" s="43">
        <v>5.9800901184590373E-3</v>
      </c>
      <c r="O15" s="42">
        <v>5.5281414841750971</v>
      </c>
      <c r="P15" s="44"/>
      <c r="Q15" s="18">
        <f t="shared" si="0"/>
        <v>1.1089503115686881E-13</v>
      </c>
      <c r="R15" s="18">
        <f t="shared" si="1"/>
        <v>5.9107061432615021E-15</v>
      </c>
    </row>
    <row r="16" spans="1:18">
      <c r="A16" t="s">
        <v>92</v>
      </c>
      <c r="B16" t="b">
        <v>1</v>
      </c>
      <c r="C16" t="s">
        <v>185</v>
      </c>
      <c r="D16" s="90">
        <v>0</v>
      </c>
      <c r="E16" s="90">
        <v>0</v>
      </c>
      <c r="F16">
        <v>0</v>
      </c>
      <c r="G16">
        <v>1.1085445833333334</v>
      </c>
      <c r="H16">
        <v>0.27691341280276</v>
      </c>
      <c r="I16">
        <v>10.169243777316707</v>
      </c>
      <c r="J16">
        <v>0.54810763358354797</v>
      </c>
      <c r="K16">
        <v>2.248205937669957E-2</v>
      </c>
      <c r="L16">
        <v>4.1017599462556351</v>
      </c>
      <c r="M16">
        <v>0.54810763358354797</v>
      </c>
      <c r="N16">
        <v>2.248205937669957E-2</v>
      </c>
      <c r="O16">
        <v>4.1017599462556351</v>
      </c>
      <c r="Q16" s="31">
        <f t="shared" ref="Q16:R28" si="2">J16*10^-12</f>
        <v>5.4810763358354792E-13</v>
      </c>
      <c r="R16" s="31">
        <f t="shared" si="2"/>
        <v>2.2482059376699568E-14</v>
      </c>
    </row>
    <row r="17" spans="1:18">
      <c r="A17" t="s">
        <v>97</v>
      </c>
      <c r="B17" t="b">
        <v>1</v>
      </c>
      <c r="C17" t="s">
        <v>185</v>
      </c>
      <c r="D17" s="90">
        <v>0</v>
      </c>
      <c r="E17" s="90">
        <v>0</v>
      </c>
      <c r="F17">
        <v>0</v>
      </c>
      <c r="G17">
        <v>1.1773498888888889</v>
      </c>
      <c r="H17">
        <v>0.25464883259122401</v>
      </c>
      <c r="I17">
        <v>10.53607814612249</v>
      </c>
      <c r="J17">
        <v>0.52291111840887905</v>
      </c>
      <c r="K17">
        <v>1.8537833717941612E-2</v>
      </c>
      <c r="L17">
        <v>3.5451213533857877</v>
      </c>
      <c r="M17">
        <v>0.52291111840887905</v>
      </c>
      <c r="N17">
        <v>1.8537833717941612E-2</v>
      </c>
      <c r="O17">
        <v>3.5451213533857877</v>
      </c>
      <c r="Q17" s="31">
        <f t="shared" si="2"/>
        <v>5.2291111840887906E-13</v>
      </c>
      <c r="R17" s="31">
        <f t="shared" si="2"/>
        <v>1.8537833717941614E-14</v>
      </c>
    </row>
    <row r="18" spans="1:18">
      <c r="A18" t="s">
        <v>149</v>
      </c>
      <c r="B18" t="b">
        <v>1</v>
      </c>
      <c r="C18" t="s">
        <v>185</v>
      </c>
      <c r="D18" s="90">
        <v>0</v>
      </c>
      <c r="E18" s="90">
        <v>0</v>
      </c>
      <c r="F18">
        <v>0</v>
      </c>
      <c r="G18">
        <v>1.0702088888888888</v>
      </c>
      <c r="H18">
        <v>0.26474245904822996</v>
      </c>
      <c r="I18">
        <v>101.37399228096893</v>
      </c>
      <c r="J18">
        <v>0.10656239397435624</v>
      </c>
      <c r="K18">
        <v>8.8162631099955504E-3</v>
      </c>
      <c r="L18">
        <v>8.2733343172800193</v>
      </c>
      <c r="M18">
        <v>0.10656239397435624</v>
      </c>
      <c r="N18">
        <v>8.8162631099955504E-3</v>
      </c>
      <c r="O18">
        <v>8.2733343172800193</v>
      </c>
      <c r="Q18" s="31">
        <f t="shared" si="2"/>
        <v>1.0656239397435624E-13</v>
      </c>
      <c r="R18" s="31">
        <f t="shared" si="2"/>
        <v>8.8162631099955505E-15</v>
      </c>
    </row>
    <row r="19" spans="1:18">
      <c r="A19" t="s">
        <v>143</v>
      </c>
      <c r="B19" t="b">
        <v>1</v>
      </c>
      <c r="C19" t="s">
        <v>185</v>
      </c>
      <c r="D19" s="90">
        <v>0</v>
      </c>
      <c r="E19" s="90">
        <v>0</v>
      </c>
      <c r="F19">
        <v>0</v>
      </c>
      <c r="G19">
        <v>1.223227777777778</v>
      </c>
      <c r="H19">
        <v>0.22404982188699701</v>
      </c>
      <c r="I19">
        <v>7.4938689344141931</v>
      </c>
      <c r="J19">
        <v>1.0828826993612617</v>
      </c>
      <c r="K19">
        <v>3.020958763610436E-2</v>
      </c>
      <c r="L19">
        <v>2.7897377669736052</v>
      </c>
      <c r="M19">
        <v>1.0828826993612617</v>
      </c>
      <c r="N19">
        <v>3.020958763610436E-2</v>
      </c>
      <c r="O19">
        <v>2.7897377669736052</v>
      </c>
      <c r="Q19" s="31">
        <f t="shared" si="2"/>
        <v>1.0828826993612617E-12</v>
      </c>
      <c r="R19" s="31">
        <f t="shared" si="2"/>
        <v>3.0209587636104362E-14</v>
      </c>
    </row>
    <row r="20" spans="1:18">
      <c r="A20" t="s">
        <v>132</v>
      </c>
      <c r="B20" t="b">
        <v>1</v>
      </c>
      <c r="C20" t="s">
        <v>185</v>
      </c>
      <c r="D20" s="90">
        <v>0</v>
      </c>
      <c r="E20" s="90">
        <v>0</v>
      </c>
      <c r="F20">
        <v>0</v>
      </c>
      <c r="G20">
        <v>1.0702930555555557</v>
      </c>
      <c r="H20">
        <v>0.24480743298202001</v>
      </c>
      <c r="I20">
        <v>35.909857363872028</v>
      </c>
      <c r="J20">
        <v>0.35493896908236783</v>
      </c>
      <c r="K20">
        <v>1.6802512847785066E-2</v>
      </c>
      <c r="L20">
        <v>4.7339160563927383</v>
      </c>
      <c r="M20">
        <v>0.35493896908236783</v>
      </c>
      <c r="N20">
        <v>1.6802512847785066E-2</v>
      </c>
      <c r="O20">
        <v>4.7339160563927383</v>
      </c>
      <c r="Q20" s="31">
        <f t="shared" si="2"/>
        <v>3.5493896908236784E-13</v>
      </c>
      <c r="R20" s="31">
        <f t="shared" si="2"/>
        <v>1.6802512847785067E-14</v>
      </c>
    </row>
    <row r="21" spans="1:18">
      <c r="A21" t="s">
        <v>176</v>
      </c>
      <c r="B21" t="b">
        <v>1</v>
      </c>
      <c r="C21" t="s">
        <v>185</v>
      </c>
      <c r="D21" s="90">
        <v>0</v>
      </c>
      <c r="E21" s="90">
        <v>0</v>
      </c>
      <c r="F21">
        <v>0</v>
      </c>
      <c r="G21">
        <v>1.0702630555555552</v>
      </c>
      <c r="H21">
        <v>0.22697746492303</v>
      </c>
      <c r="I21">
        <v>65.4998944720857</v>
      </c>
      <c r="J21">
        <v>0.17318084443823431</v>
      </c>
      <c r="K21">
        <v>1.2120098915090085E-2</v>
      </c>
      <c r="L21">
        <v>6.998521663527729</v>
      </c>
      <c r="M21">
        <v>0.17318084443823431</v>
      </c>
      <c r="N21">
        <v>1.2120098915090085E-2</v>
      </c>
      <c r="O21">
        <v>6.998521663527729</v>
      </c>
      <c r="Q21" s="31">
        <f t="shared" si="2"/>
        <v>1.731808444382343E-13</v>
      </c>
      <c r="R21" s="31">
        <f t="shared" si="2"/>
        <v>1.2120098915090085E-14</v>
      </c>
    </row>
    <row r="22" spans="1:18">
      <c r="A22" t="s">
        <v>120</v>
      </c>
      <c r="B22" t="b">
        <v>1</v>
      </c>
      <c r="C22" t="s">
        <v>185</v>
      </c>
      <c r="D22" s="90">
        <v>0</v>
      </c>
      <c r="E22" s="90">
        <v>0</v>
      </c>
      <c r="F22">
        <v>0</v>
      </c>
      <c r="G22">
        <v>1.2231441666666665</v>
      </c>
      <c r="H22">
        <v>0.25875808399417</v>
      </c>
      <c r="I22">
        <v>73.323313061892492</v>
      </c>
      <c r="J22">
        <v>0.9143722185733143</v>
      </c>
      <c r="K22">
        <v>2.6473357729866656E-2</v>
      </c>
      <c r="L22">
        <v>2.8952495703743897</v>
      </c>
      <c r="M22">
        <v>0.9143722185733143</v>
      </c>
      <c r="N22">
        <v>2.6473357729866656E-2</v>
      </c>
      <c r="O22">
        <v>2.8952495703743897</v>
      </c>
      <c r="Q22" s="31">
        <f t="shared" si="2"/>
        <v>9.1437221857331428E-13</v>
      </c>
      <c r="R22" s="31">
        <f t="shared" si="2"/>
        <v>2.6473357729866657E-14</v>
      </c>
    </row>
    <row r="23" spans="1:18">
      <c r="A23" t="s">
        <v>83</v>
      </c>
      <c r="B23" t="b">
        <v>1</v>
      </c>
      <c r="C23" t="s">
        <v>186</v>
      </c>
      <c r="D23" s="90">
        <v>0</v>
      </c>
      <c r="E23" s="90">
        <v>0</v>
      </c>
      <c r="F23">
        <v>0</v>
      </c>
      <c r="G23">
        <v>1.1620379999999999</v>
      </c>
      <c r="H23">
        <v>0.255617510867444</v>
      </c>
      <c r="I23">
        <v>24.888748734037836</v>
      </c>
      <c r="J23">
        <v>0.54447435138681732</v>
      </c>
      <c r="K23">
        <v>2.0537779990231254E-2</v>
      </c>
      <c r="L23">
        <v>3.7720381020556757</v>
      </c>
      <c r="M23">
        <v>0.54447435138681732</v>
      </c>
      <c r="N23">
        <v>2.0537779990231254E-2</v>
      </c>
      <c r="O23">
        <v>3.7720381020556757</v>
      </c>
      <c r="Q23" s="31">
        <f t="shared" si="2"/>
        <v>5.4447435138681736E-13</v>
      </c>
      <c r="R23" s="31">
        <f t="shared" si="2"/>
        <v>2.0537779990231254E-14</v>
      </c>
    </row>
    <row r="24" spans="1:18">
      <c r="A24" t="s">
        <v>108</v>
      </c>
      <c r="B24" t="b">
        <v>1</v>
      </c>
      <c r="C24" t="s">
        <v>186</v>
      </c>
      <c r="D24" s="90">
        <v>0</v>
      </c>
      <c r="E24" s="90">
        <v>0</v>
      </c>
      <c r="F24">
        <v>0</v>
      </c>
      <c r="G24">
        <v>1.1926384444444442</v>
      </c>
      <c r="H24">
        <v>0.25764173127326401</v>
      </c>
      <c r="I24">
        <v>14.151434171713907</v>
      </c>
      <c r="J24">
        <v>0.40368743360865117</v>
      </c>
      <c r="K24">
        <v>2.0759200571076997E-2</v>
      </c>
      <c r="L24">
        <v>5.1423945465693386</v>
      </c>
      <c r="M24">
        <v>0.40368743360865117</v>
      </c>
      <c r="N24">
        <v>2.0759200571076997E-2</v>
      </c>
      <c r="O24">
        <v>5.1423945465693386</v>
      </c>
      <c r="Q24" s="31">
        <f t="shared" si="2"/>
        <v>4.0368743360865114E-13</v>
      </c>
      <c r="R24" s="31">
        <f t="shared" si="2"/>
        <v>2.0759200571076996E-14</v>
      </c>
    </row>
    <row r="25" spans="1:18">
      <c r="A25" t="s">
        <v>115</v>
      </c>
      <c r="B25" t="b">
        <v>1</v>
      </c>
      <c r="C25" t="s">
        <v>186</v>
      </c>
      <c r="D25" s="90">
        <v>0</v>
      </c>
      <c r="E25" s="90">
        <v>0</v>
      </c>
      <c r="F25">
        <v>0</v>
      </c>
      <c r="G25">
        <v>1.1926564999999998</v>
      </c>
      <c r="H25">
        <v>0.23615146077721999</v>
      </c>
      <c r="I25">
        <v>1.799692445692451</v>
      </c>
      <c r="J25">
        <v>0.15291387724803432</v>
      </c>
      <c r="K25">
        <v>1.0912974609211446E-2</v>
      </c>
      <c r="L25">
        <v>7.1366803364157922</v>
      </c>
      <c r="M25">
        <v>0.15291387724803432</v>
      </c>
      <c r="N25">
        <v>1.0912974609211446E-2</v>
      </c>
      <c r="O25">
        <v>7.1366803364157922</v>
      </c>
      <c r="Q25" s="31">
        <f t="shared" si="2"/>
        <v>1.5291387724803431E-13</v>
      </c>
      <c r="R25" s="31">
        <f t="shared" si="2"/>
        <v>1.0912974609211445E-14</v>
      </c>
    </row>
    <row r="26" spans="1:18">
      <c r="A26" t="s">
        <v>124</v>
      </c>
      <c r="B26" t="b">
        <v>1</v>
      </c>
      <c r="C26" t="s">
        <v>186</v>
      </c>
      <c r="D26" s="90">
        <v>0</v>
      </c>
      <c r="E26" s="90">
        <v>0</v>
      </c>
      <c r="F26">
        <v>0</v>
      </c>
      <c r="G26">
        <v>1.1620607777777778</v>
      </c>
      <c r="H26">
        <v>0.26320168660542997</v>
      </c>
      <c r="I26">
        <v>13.100220004170998</v>
      </c>
      <c r="J26">
        <v>0.26725094050932258</v>
      </c>
      <c r="K26">
        <v>1.3950391908585737E-2</v>
      </c>
      <c r="L26">
        <v>5.2199598931249049</v>
      </c>
      <c r="M26">
        <v>0.26725094050932258</v>
      </c>
      <c r="N26">
        <v>1.3950391908585737E-2</v>
      </c>
      <c r="O26">
        <v>5.2199598931249049</v>
      </c>
      <c r="Q26" s="31">
        <f t="shared" si="2"/>
        <v>2.6725094050932258E-13</v>
      </c>
      <c r="R26" s="31">
        <f t="shared" si="2"/>
        <v>1.3950391908585737E-14</v>
      </c>
    </row>
    <row r="27" spans="1:18">
      <c r="A27" t="s">
        <v>127</v>
      </c>
      <c r="B27" t="b">
        <v>1</v>
      </c>
      <c r="C27" t="s">
        <v>186</v>
      </c>
      <c r="D27" s="90">
        <v>0</v>
      </c>
      <c r="E27" s="90">
        <v>0</v>
      </c>
      <c r="F27">
        <v>0</v>
      </c>
      <c r="G27">
        <v>1.0702927777777778</v>
      </c>
      <c r="H27">
        <v>0.22649295266965</v>
      </c>
      <c r="I27">
        <v>35.917232320536073</v>
      </c>
      <c r="J27">
        <v>0.69171407994901801</v>
      </c>
      <c r="K27">
        <v>2.4557435928854128E-2</v>
      </c>
      <c r="L27">
        <v>3.5502292985946022</v>
      </c>
      <c r="M27">
        <v>0.69171407994901801</v>
      </c>
      <c r="N27">
        <v>2.4557435928854128E-2</v>
      </c>
      <c r="O27">
        <v>3.5502292985946022</v>
      </c>
      <c r="Q27" s="31">
        <f t="shared" si="2"/>
        <v>6.9171407994901799E-13</v>
      </c>
      <c r="R27" s="31">
        <f t="shared" si="2"/>
        <v>2.4557435928854127E-14</v>
      </c>
    </row>
    <row r="28" spans="1:18">
      <c r="A28" t="s">
        <v>136</v>
      </c>
      <c r="B28" t="b">
        <v>1</v>
      </c>
      <c r="C28" t="s">
        <v>186</v>
      </c>
      <c r="D28" s="90">
        <v>0</v>
      </c>
      <c r="E28" s="90">
        <v>0</v>
      </c>
      <c r="F28">
        <v>0</v>
      </c>
      <c r="G28">
        <v>0.91742833333333329</v>
      </c>
      <c r="H28">
        <v>0.18424221348451</v>
      </c>
      <c r="I28">
        <v>1.2646396045366077</v>
      </c>
      <c r="J28">
        <v>0.32155681560425531</v>
      </c>
      <c r="K28">
        <v>1.870140260853605E-2</v>
      </c>
      <c r="L28">
        <v>5.8158937086726663</v>
      </c>
      <c r="M28">
        <v>0.32155681560425531</v>
      </c>
      <c r="N28">
        <v>1.870140260853605E-2</v>
      </c>
      <c r="O28">
        <v>5.8158937086726663</v>
      </c>
      <c r="Q28" s="31">
        <f t="shared" si="2"/>
        <v>3.2155681560425528E-13</v>
      </c>
      <c r="R28" s="31">
        <f t="shared" si="2"/>
        <v>1.8701402608536051E-14</v>
      </c>
    </row>
  </sheetData>
  <conditionalFormatting sqref="A3">
    <cfRule type="duplicateValues" dxfId="19" priority="4"/>
  </conditionalFormatting>
  <conditionalFormatting sqref="F4:F15">
    <cfRule type="cellIs" dxfId="18" priority="1" operator="equal">
      <formula>3</formula>
    </cfRule>
    <cfRule type="cellIs" dxfId="17" priority="2" operator="equal">
      <formula>2</formula>
    </cfRule>
    <cfRule type="cellIs" dxfId="16" priority="3" operator="equal">
      <formula>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A0E1-FF9C-43E6-ADE9-95F464CDF5FA}">
  <dimension ref="A1:Q30"/>
  <sheetViews>
    <sheetView workbookViewId="0">
      <selection activeCell="P3" sqref="P3"/>
    </sheetView>
  </sheetViews>
  <sheetFormatPr defaultRowHeight="14.5"/>
  <sheetData>
    <row r="1" spans="1:17">
      <c r="A1" s="45" t="s">
        <v>62</v>
      </c>
      <c r="B1" s="46"/>
      <c r="C1" s="46"/>
      <c r="D1" s="47"/>
      <c r="E1" s="47"/>
      <c r="F1" s="48"/>
      <c r="G1" s="49"/>
      <c r="H1" s="50"/>
      <c r="I1" s="48"/>
      <c r="J1" s="46"/>
      <c r="K1" s="46"/>
      <c r="L1" s="51"/>
      <c r="M1" s="46"/>
      <c r="N1" s="46"/>
      <c r="O1" s="51"/>
      <c r="P1" s="46"/>
      <c r="Q1" s="52"/>
    </row>
    <row r="2" spans="1:17">
      <c r="A2" s="53"/>
      <c r="D2" s="54"/>
      <c r="E2" s="54"/>
      <c r="F2" s="55"/>
      <c r="G2" s="56"/>
      <c r="H2" s="57"/>
      <c r="I2" s="55"/>
      <c r="L2" s="58"/>
      <c r="O2" s="58"/>
      <c r="Q2" s="59"/>
    </row>
    <row r="3" spans="1:17" s="4" customFormat="1" ht="38" customHeight="1">
      <c r="A3" s="60" t="s">
        <v>44</v>
      </c>
      <c r="B3" s="61" t="s">
        <v>45</v>
      </c>
      <c r="C3" s="61" t="s">
        <v>46</v>
      </c>
      <c r="D3" s="62" t="s">
        <v>47</v>
      </c>
      <c r="E3" s="62" t="s">
        <v>48</v>
      </c>
      <c r="F3" s="63" t="s">
        <v>49</v>
      </c>
      <c r="G3" s="64" t="s">
        <v>63</v>
      </c>
      <c r="H3" s="65" t="s">
        <v>51</v>
      </c>
      <c r="I3" s="63" t="s">
        <v>64</v>
      </c>
      <c r="J3" s="63" t="s">
        <v>65</v>
      </c>
      <c r="K3" s="63" t="s">
        <v>54</v>
      </c>
      <c r="L3" s="66" t="s">
        <v>55</v>
      </c>
      <c r="M3" s="63" t="s">
        <v>66</v>
      </c>
      <c r="N3" s="63" t="s">
        <v>57</v>
      </c>
      <c r="O3" s="66" t="s">
        <v>58</v>
      </c>
      <c r="P3" s="67" t="s">
        <v>67</v>
      </c>
      <c r="Q3" s="67" t="s">
        <v>54</v>
      </c>
    </row>
    <row r="4" spans="1:17">
      <c r="A4" t="s">
        <v>68</v>
      </c>
      <c r="B4" t="b">
        <v>1</v>
      </c>
      <c r="C4" t="s">
        <v>60</v>
      </c>
      <c r="D4" s="68">
        <v>0</v>
      </c>
      <c r="E4" s="68">
        <v>0</v>
      </c>
      <c r="F4" s="55">
        <v>0</v>
      </c>
      <c r="G4" s="58">
        <v>0.80252375000000009</v>
      </c>
      <c r="H4" s="58">
        <v>0.11299474504504001</v>
      </c>
      <c r="I4" s="58">
        <v>477.1018331738465</v>
      </c>
      <c r="J4" s="69">
        <v>1.6749160118048668E-3</v>
      </c>
      <c r="K4" s="69">
        <v>7.6607967303708323E-4</v>
      </c>
      <c r="L4" s="58">
        <v>45.738393306752506</v>
      </c>
      <c r="M4" s="69">
        <v>1.6749160118048668E-3</v>
      </c>
      <c r="N4" s="69">
        <v>7.6607967303708323E-4</v>
      </c>
      <c r="O4" s="58">
        <v>45.738393306752506</v>
      </c>
      <c r="P4" s="18">
        <f>J4*10^-12</f>
        <v>1.6749160118048668E-15</v>
      </c>
      <c r="Q4" s="18">
        <f t="shared" ref="Q4:Q15" si="0">K4*10^-12</f>
        <v>7.660796730370832E-16</v>
      </c>
    </row>
    <row r="5" spans="1:17">
      <c r="A5" t="s">
        <v>11</v>
      </c>
      <c r="B5" t="b">
        <v>1</v>
      </c>
      <c r="C5" t="s">
        <v>69</v>
      </c>
      <c r="D5" s="68">
        <v>1.6749160118048668E-3</v>
      </c>
      <c r="E5" s="68">
        <v>7.6607967303708323E-4</v>
      </c>
      <c r="F5" s="55">
        <v>0</v>
      </c>
      <c r="G5" s="58">
        <v>0.76446527777777773</v>
      </c>
      <c r="H5" s="58">
        <v>0.15623400241060298</v>
      </c>
      <c r="I5" s="58">
        <v>89.103522826060782</v>
      </c>
      <c r="J5" s="69">
        <v>0.19503007971187475</v>
      </c>
      <c r="K5" s="69">
        <v>1.4127196029526102E-2</v>
      </c>
      <c r="L5" s="58">
        <v>7.243598551770444</v>
      </c>
      <c r="M5" s="69">
        <v>0.19335516370006989</v>
      </c>
      <c r="N5" s="69">
        <v>1.4147951997448205E-2</v>
      </c>
      <c r="O5" s="58">
        <v>7.3170799924404033</v>
      </c>
      <c r="P5" s="18">
        <f t="shared" ref="P5:P15" si="1">J5*10^-12</f>
        <v>1.9503007971187474E-13</v>
      </c>
      <c r="Q5" s="18">
        <f t="shared" si="0"/>
        <v>1.4127196029526102E-14</v>
      </c>
    </row>
    <row r="6" spans="1:17">
      <c r="A6" t="s">
        <v>12</v>
      </c>
      <c r="B6" t="b">
        <v>1</v>
      </c>
      <c r="C6" t="s">
        <v>69</v>
      </c>
      <c r="D6" s="68">
        <v>1.6749160118048668E-3</v>
      </c>
      <c r="E6" s="68">
        <v>7.6607967303708323E-4</v>
      </c>
      <c r="F6" s="55">
        <v>0</v>
      </c>
      <c r="G6" s="58">
        <v>0.5503835555555554</v>
      </c>
      <c r="H6" s="58">
        <v>0.15768020458946</v>
      </c>
      <c r="I6" s="58">
        <v>123.2748273672605</v>
      </c>
      <c r="J6" s="69">
        <v>0.19084080089026656</v>
      </c>
      <c r="K6" s="69">
        <v>1.4198919400156823E-2</v>
      </c>
      <c r="L6" s="58">
        <v>7.4401906373895388</v>
      </c>
      <c r="M6" s="69">
        <v>0.1891658848784617</v>
      </c>
      <c r="N6" s="69">
        <v>1.4219570675572115E-2</v>
      </c>
      <c r="O6" s="58">
        <v>7.5169847272980164</v>
      </c>
      <c r="P6" s="18">
        <f t="shared" si="1"/>
        <v>1.9084080089026654E-13</v>
      </c>
      <c r="Q6" s="18">
        <f t="shared" si="0"/>
        <v>1.4198919400156823E-14</v>
      </c>
    </row>
    <row r="7" spans="1:17">
      <c r="A7" t="s">
        <v>13</v>
      </c>
      <c r="B7" t="b">
        <v>1</v>
      </c>
      <c r="C7" t="s">
        <v>69</v>
      </c>
      <c r="D7" s="68">
        <v>1.6749160118048668E-3</v>
      </c>
      <c r="E7" s="68">
        <v>7.6607967303708323E-4</v>
      </c>
      <c r="F7" s="55">
        <v>0</v>
      </c>
      <c r="G7" s="58">
        <v>0.7950476666666666</v>
      </c>
      <c r="H7" s="58">
        <v>0.18755441246551199</v>
      </c>
      <c r="I7" s="58">
        <v>76.697742329283514</v>
      </c>
      <c r="J7" s="69">
        <v>0.2361238481444313</v>
      </c>
      <c r="K7" s="69">
        <v>1.4505749047287637E-2</v>
      </c>
      <c r="L7" s="58">
        <v>6.1432799614610794</v>
      </c>
      <c r="M7" s="69">
        <v>0.23444893213262644</v>
      </c>
      <c r="N7" s="69">
        <v>1.4525964115621614E-2</v>
      </c>
      <c r="O7" s="58">
        <v>6.1957902659178492</v>
      </c>
      <c r="P7" s="18">
        <f t="shared" si="1"/>
        <v>2.3612384814443129E-13</v>
      </c>
      <c r="Q7" s="18">
        <f t="shared" si="0"/>
        <v>1.4505749047287637E-14</v>
      </c>
    </row>
    <row r="8" spans="1:17">
      <c r="A8" t="s">
        <v>14</v>
      </c>
      <c r="B8" t="b">
        <v>1</v>
      </c>
      <c r="C8" t="s">
        <v>69</v>
      </c>
      <c r="D8" s="68">
        <v>1.6749160118048668E-3</v>
      </c>
      <c r="E8" s="68">
        <v>7.6607967303708323E-4</v>
      </c>
      <c r="F8" s="55">
        <v>0</v>
      </c>
      <c r="G8" s="58">
        <v>0.68799416666666646</v>
      </c>
      <c r="H8" s="58">
        <v>0.16462973060107</v>
      </c>
      <c r="I8" s="58">
        <v>107.36821311353779</v>
      </c>
      <c r="J8" s="69">
        <v>0.25520900120359286</v>
      </c>
      <c r="K8" s="69">
        <v>1.7044204822455951E-2</v>
      </c>
      <c r="L8" s="58">
        <v>6.6785280856371312</v>
      </c>
      <c r="M8" s="69">
        <v>0.25353408519178799</v>
      </c>
      <c r="N8" s="69">
        <v>1.7061412488281014E-2</v>
      </c>
      <c r="O8" s="58">
        <v>6.7294354032810881</v>
      </c>
      <c r="P8" s="18">
        <f t="shared" si="1"/>
        <v>2.5520900120359283E-13</v>
      </c>
      <c r="Q8" s="18">
        <f t="shared" si="0"/>
        <v>1.7044204822455951E-14</v>
      </c>
    </row>
    <row r="9" spans="1:17">
      <c r="A9" t="s">
        <v>15</v>
      </c>
      <c r="B9" t="b">
        <v>1</v>
      </c>
      <c r="C9" t="s">
        <v>69</v>
      </c>
      <c r="D9" s="68">
        <v>1.6749160118048668E-3</v>
      </c>
      <c r="E9" s="68">
        <v>7.6607967303708323E-4</v>
      </c>
      <c r="F9" s="55">
        <v>2</v>
      </c>
      <c r="G9" s="58">
        <v>0.68805749999999988</v>
      </c>
      <c r="H9" s="58">
        <v>0.14021502764614499</v>
      </c>
      <c r="I9" s="58">
        <v>24.612197835949146</v>
      </c>
      <c r="J9" s="69">
        <v>2.5645449757810176E-2</v>
      </c>
      <c r="K9" s="69">
        <v>1.7970134164100197E-2</v>
      </c>
      <c r="L9" s="58">
        <v>70.071433076066427</v>
      </c>
      <c r="M9" s="69">
        <v>2.5645449757810176E-2</v>
      </c>
      <c r="N9" s="69"/>
      <c r="O9" s="58"/>
      <c r="P9" s="18">
        <f t="shared" si="1"/>
        <v>2.5645449757810174E-14</v>
      </c>
      <c r="Q9" s="18">
        <f t="shared" si="0"/>
        <v>1.7970134164100198E-14</v>
      </c>
    </row>
    <row r="10" spans="1:17">
      <c r="A10" t="s">
        <v>16</v>
      </c>
      <c r="B10" t="b">
        <v>1</v>
      </c>
      <c r="C10" t="s">
        <v>69</v>
      </c>
      <c r="D10" s="68">
        <v>1.6749160118048668E-3</v>
      </c>
      <c r="E10" s="68">
        <v>7.6607967303708323E-4</v>
      </c>
      <c r="F10" s="55">
        <v>0</v>
      </c>
      <c r="G10" s="58">
        <v>0.82563672222222217</v>
      </c>
      <c r="H10" s="58">
        <v>0.186108271887511</v>
      </c>
      <c r="I10" s="58">
        <v>64.037991858865723</v>
      </c>
      <c r="J10" s="69">
        <v>8.0336460914380584E-2</v>
      </c>
      <c r="K10" s="69">
        <v>9.5775026970984188E-3</v>
      </c>
      <c r="L10" s="58">
        <v>11.921738383902349</v>
      </c>
      <c r="M10" s="69">
        <v>7.8661544902575722E-2</v>
      </c>
      <c r="N10" s="69">
        <v>9.6080922132527474E-3</v>
      </c>
      <c r="O10" s="58">
        <v>12.214471791969771</v>
      </c>
      <c r="P10" s="18">
        <f t="shared" si="1"/>
        <v>8.0336460914380585E-14</v>
      </c>
      <c r="Q10" s="18">
        <f t="shared" si="0"/>
        <v>9.5775026970984184E-15</v>
      </c>
    </row>
    <row r="11" spans="1:17">
      <c r="A11" t="s">
        <v>17</v>
      </c>
      <c r="B11" t="b">
        <v>1</v>
      </c>
      <c r="C11" t="s">
        <v>69</v>
      </c>
      <c r="D11" s="68">
        <v>1.6749160118048668E-3</v>
      </c>
      <c r="E11" s="68">
        <v>7.6607967303708323E-4</v>
      </c>
      <c r="F11" s="55">
        <v>0</v>
      </c>
      <c r="G11" s="58">
        <v>0.6880369444444443</v>
      </c>
      <c r="H11" s="58">
        <v>0.1492209715609</v>
      </c>
      <c r="I11" s="58">
        <v>61.519502949044011</v>
      </c>
      <c r="J11" s="69">
        <v>7.9902794238649807E-2</v>
      </c>
      <c r="K11" s="69">
        <v>1.2993379867388865E-2</v>
      </c>
      <c r="L11" s="58">
        <v>16.261483708042633</v>
      </c>
      <c r="M11" s="69">
        <v>7.8227878226844946E-2</v>
      </c>
      <c r="N11" s="69">
        <v>1.3015944008934077E-2</v>
      </c>
      <c r="O11" s="58">
        <v>16.638498069946987</v>
      </c>
      <c r="P11" s="18">
        <f t="shared" si="1"/>
        <v>7.9902794238649805E-14</v>
      </c>
      <c r="Q11" s="18">
        <f t="shared" si="0"/>
        <v>1.2993379867388865E-14</v>
      </c>
    </row>
    <row r="12" spans="1:17">
      <c r="A12" t="s">
        <v>18</v>
      </c>
      <c r="B12" t="b">
        <v>1</v>
      </c>
      <c r="C12" t="s">
        <v>69</v>
      </c>
      <c r="D12" s="68">
        <v>1.6749160118048668E-3</v>
      </c>
      <c r="E12" s="68">
        <v>7.6607967303708323E-4</v>
      </c>
      <c r="F12" s="55">
        <v>0</v>
      </c>
      <c r="G12" s="58">
        <v>0.68800166666666651</v>
      </c>
      <c r="H12" s="58">
        <v>0.19312399474715</v>
      </c>
      <c r="I12" s="58">
        <v>82.594604678119069</v>
      </c>
      <c r="J12" s="69">
        <v>4.703880521283528E-2</v>
      </c>
      <c r="K12" s="69">
        <v>1.2401898225601872E-2</v>
      </c>
      <c r="L12" s="58">
        <v>26.365249222396951</v>
      </c>
      <c r="M12" s="69">
        <v>4.5363889201030412E-2</v>
      </c>
      <c r="N12" s="69">
        <v>1.2425536514115898E-2</v>
      </c>
      <c r="O12" s="58">
        <v>27.39080959097674</v>
      </c>
      <c r="P12" s="18">
        <f t="shared" si="1"/>
        <v>4.7038805212835279E-14</v>
      </c>
      <c r="Q12" s="18">
        <f t="shared" si="0"/>
        <v>1.2401898225601872E-14</v>
      </c>
    </row>
    <row r="13" spans="1:17">
      <c r="A13" t="s">
        <v>19</v>
      </c>
      <c r="B13" t="b">
        <v>1</v>
      </c>
      <c r="C13" t="s">
        <v>69</v>
      </c>
      <c r="D13" s="68">
        <v>1.6749160118048668E-3</v>
      </c>
      <c r="E13" s="68">
        <v>7.6607967303708323E-4</v>
      </c>
      <c r="F13" s="55">
        <v>0</v>
      </c>
      <c r="G13" s="58">
        <v>0.55043383333333329</v>
      </c>
      <c r="H13" s="58">
        <v>0.13676874435896</v>
      </c>
      <c r="I13" s="58">
        <v>46.874744884502569</v>
      </c>
      <c r="J13" s="69">
        <v>4.8432006899295367E-2</v>
      </c>
      <c r="K13" s="69">
        <v>8.6078043228913978E-3</v>
      </c>
      <c r="L13" s="58">
        <v>17.772966420304652</v>
      </c>
      <c r="M13" s="69">
        <v>4.6757090887490499E-2</v>
      </c>
      <c r="N13" s="69">
        <v>8.6418269669456139E-3</v>
      </c>
      <c r="O13" s="58">
        <v>18.482388024823994</v>
      </c>
      <c r="P13" s="18">
        <f t="shared" si="1"/>
        <v>4.8432006899295367E-14</v>
      </c>
      <c r="Q13" s="18">
        <f t="shared" si="0"/>
        <v>8.6078043228913977E-15</v>
      </c>
    </row>
    <row r="14" spans="1:17">
      <c r="A14" t="s">
        <v>42</v>
      </c>
      <c r="B14" t="b">
        <v>1</v>
      </c>
      <c r="C14" t="s">
        <v>69</v>
      </c>
      <c r="D14" s="68">
        <v>1.6749160118048668E-3</v>
      </c>
      <c r="E14" s="68">
        <v>7.6607967303708323E-4</v>
      </c>
      <c r="F14" s="55">
        <v>0</v>
      </c>
      <c r="G14" s="58">
        <v>0.68799583333333336</v>
      </c>
      <c r="H14" s="58">
        <v>0.16394118468087701</v>
      </c>
      <c r="I14" s="58">
        <v>107.1237836556181</v>
      </c>
      <c r="J14" s="69">
        <v>5.541207957304372E-2</v>
      </c>
      <c r="K14" s="69">
        <v>7.9590244408044592E-3</v>
      </c>
      <c r="L14" s="58">
        <v>14.363338286759195</v>
      </c>
      <c r="M14" s="69">
        <v>5.3737163561238852E-2</v>
      </c>
      <c r="N14" s="69">
        <v>7.9958081589519975E-3</v>
      </c>
      <c r="O14" s="58">
        <v>14.879475634846223</v>
      </c>
      <c r="P14" s="18">
        <f t="shared" si="1"/>
        <v>5.5412079573043719E-14</v>
      </c>
      <c r="Q14" s="18">
        <f t="shared" si="0"/>
        <v>7.9590244408044587E-15</v>
      </c>
    </row>
    <row r="15" spans="1:17">
      <c r="A15" t="s">
        <v>21</v>
      </c>
      <c r="B15" t="b">
        <v>1</v>
      </c>
      <c r="C15" t="s">
        <v>69</v>
      </c>
      <c r="D15" s="68">
        <v>1.6749160118048668E-3</v>
      </c>
      <c r="E15" s="68">
        <v>7.6607967303708323E-4</v>
      </c>
      <c r="F15" s="55">
        <v>0</v>
      </c>
      <c r="G15" s="58">
        <v>0.79490961111111103</v>
      </c>
      <c r="H15" s="58">
        <v>0.13374842618981</v>
      </c>
      <c r="I15" s="58">
        <v>340.96102136769963</v>
      </c>
      <c r="J15" s="69">
        <v>0.33677477725834593</v>
      </c>
      <c r="K15" s="69">
        <v>2.0265616957794774E-2</v>
      </c>
      <c r="L15" s="58">
        <v>6.0175578238891267</v>
      </c>
      <c r="M15" s="69">
        <v>0.33509986124654106</v>
      </c>
      <c r="N15" s="69">
        <v>2.0280091438292378E-2</v>
      </c>
      <c r="O15" s="58">
        <v>6.051954591342497</v>
      </c>
      <c r="P15" s="18">
        <f t="shared" si="1"/>
        <v>3.3677477725834592E-13</v>
      </c>
      <c r="Q15" s="18">
        <f t="shared" si="0"/>
        <v>2.0265616957794773E-14</v>
      </c>
    </row>
    <row r="16" spans="1:17" ht="16">
      <c r="A16" s="92" t="s">
        <v>92</v>
      </c>
      <c r="B16" t="b">
        <v>1</v>
      </c>
      <c r="C16" t="s">
        <v>187</v>
      </c>
      <c r="D16" s="68">
        <v>4.6210752326534751E-4</v>
      </c>
      <c r="E16" s="68">
        <v>2.1025997572094517E-4</v>
      </c>
      <c r="F16" s="55">
        <v>0</v>
      </c>
      <c r="G16" s="58">
        <v>1.0548964444444444</v>
      </c>
      <c r="H16" s="58">
        <v>6.4249488546690001</v>
      </c>
      <c r="I16" s="58">
        <v>4.2199557713672728</v>
      </c>
      <c r="J16" s="69">
        <v>0.36742433088024945</v>
      </c>
      <c r="K16" s="69">
        <v>1.0144249449482289E-2</v>
      </c>
      <c r="L16" s="58">
        <v>2.760908463840543</v>
      </c>
      <c r="M16" s="69">
        <v>0.36696222335698409</v>
      </c>
      <c r="N16" s="69">
        <v>1.0146428245974634E-2</v>
      </c>
      <c r="O16" s="58">
        <v>2.7649789542789254</v>
      </c>
      <c r="P16" s="31">
        <f t="shared" ref="P16:Q23" si="2">J16*0.000000000001</f>
        <v>3.6742433088024945E-13</v>
      </c>
      <c r="Q16" s="31">
        <f t="shared" si="2"/>
        <v>1.014424944948229E-14</v>
      </c>
    </row>
    <row r="17" spans="1:17" ht="16">
      <c r="A17" s="92" t="s">
        <v>97</v>
      </c>
      <c r="B17" t="b">
        <v>1</v>
      </c>
      <c r="C17" t="s">
        <v>187</v>
      </c>
      <c r="D17" s="68">
        <v>4.6210752326534751E-4</v>
      </c>
      <c r="E17" s="68">
        <v>2.1025997572094517E-4</v>
      </c>
      <c r="F17" s="55">
        <v>0</v>
      </c>
      <c r="G17" s="58">
        <v>1.0472450833333333</v>
      </c>
      <c r="H17" s="58">
        <v>7.2553937759220011</v>
      </c>
      <c r="I17" s="58">
        <v>4.029691689102652</v>
      </c>
      <c r="J17" s="69">
        <v>0.37525696657952329</v>
      </c>
      <c r="K17" s="69">
        <v>6.8820758815827214E-3</v>
      </c>
      <c r="L17" s="58">
        <v>1.833963522200005</v>
      </c>
      <c r="M17" s="69">
        <v>0.37479485905625792</v>
      </c>
      <c r="N17" s="69">
        <v>6.8852870453781929E-3</v>
      </c>
      <c r="O17" s="58">
        <v>1.8370815071251254</v>
      </c>
      <c r="P17" s="31">
        <f t="shared" si="2"/>
        <v>3.7525696657952328E-13</v>
      </c>
      <c r="Q17" s="31">
        <f t="shared" si="2"/>
        <v>6.8820758815827216E-15</v>
      </c>
    </row>
    <row r="18" spans="1:17" ht="16">
      <c r="A18" s="92" t="s">
        <v>149</v>
      </c>
      <c r="B18" t="b">
        <v>1</v>
      </c>
      <c r="C18" t="s">
        <v>187</v>
      </c>
      <c r="D18" s="68">
        <v>4.6210752326534751E-4</v>
      </c>
      <c r="E18" s="68">
        <v>2.1025997572094517E-4</v>
      </c>
      <c r="F18" s="55">
        <v>0</v>
      </c>
      <c r="G18" s="58">
        <v>0.6115330555555557</v>
      </c>
      <c r="H18" s="58">
        <v>5.1635100549690005</v>
      </c>
      <c r="I18" s="58">
        <v>3.9265925279817666</v>
      </c>
      <c r="J18" s="69">
        <v>3.7244932923592454E-2</v>
      </c>
      <c r="K18" s="69">
        <v>2.7245751735997677E-3</v>
      </c>
      <c r="L18" s="58">
        <v>7.3152908589987309</v>
      </c>
      <c r="M18" s="69">
        <v>3.678282540032711E-2</v>
      </c>
      <c r="N18" s="69">
        <v>2.7326761853513448E-3</v>
      </c>
      <c r="O18" s="58">
        <v>7.4292177275947999</v>
      </c>
      <c r="P18" s="31">
        <f t="shared" si="2"/>
        <v>3.7244932923592456E-14</v>
      </c>
      <c r="Q18" s="31">
        <f t="shared" si="2"/>
        <v>2.7245751735997678E-15</v>
      </c>
    </row>
    <row r="19" spans="1:17" ht="16">
      <c r="A19" s="92" t="s">
        <v>143</v>
      </c>
      <c r="B19" t="b">
        <v>1</v>
      </c>
      <c r="C19" t="s">
        <v>187</v>
      </c>
      <c r="D19" s="68">
        <v>4.6210752326534751E-4</v>
      </c>
      <c r="E19" s="68">
        <v>2.1025997572094517E-4</v>
      </c>
      <c r="F19" s="55">
        <v>0</v>
      </c>
      <c r="G19" s="58">
        <v>0.91728250000000022</v>
      </c>
      <c r="H19" s="58">
        <v>6.5731078383906993</v>
      </c>
      <c r="I19" s="58">
        <v>3.9838080621557461</v>
      </c>
      <c r="J19" s="69">
        <v>0.69004936585194565</v>
      </c>
      <c r="K19" s="69">
        <v>9.7218086035343581E-3</v>
      </c>
      <c r="L19" s="58">
        <v>1.408856972360472</v>
      </c>
      <c r="M19" s="69">
        <v>0.68958725832868029</v>
      </c>
      <c r="N19" s="69">
        <v>9.7240820533942857E-3</v>
      </c>
      <c r="O19" s="58">
        <v>1.4101307609659262</v>
      </c>
      <c r="P19" s="31">
        <f t="shared" si="2"/>
        <v>6.9004936585194568E-13</v>
      </c>
      <c r="Q19" s="31">
        <f t="shared" si="2"/>
        <v>9.7218086035343583E-15</v>
      </c>
    </row>
    <row r="20" spans="1:17" ht="16">
      <c r="A20" s="92" t="s">
        <v>132</v>
      </c>
      <c r="B20" t="b">
        <v>1</v>
      </c>
      <c r="C20" t="s">
        <v>187</v>
      </c>
      <c r="D20" s="68">
        <v>4.6210752326534751E-4</v>
      </c>
      <c r="E20" s="68">
        <v>2.1025997572094517E-4</v>
      </c>
      <c r="F20" s="55">
        <v>0</v>
      </c>
      <c r="G20" s="58">
        <v>1.1313689444444444</v>
      </c>
      <c r="H20" s="58">
        <v>5.0825815611661991</v>
      </c>
      <c r="I20" s="58">
        <v>4.9649965664711972</v>
      </c>
      <c r="J20" s="69">
        <v>0.1961295823729943</v>
      </c>
      <c r="K20" s="69">
        <v>7.8179404174956377E-3</v>
      </c>
      <c r="L20" s="58">
        <v>3.9861097560630476</v>
      </c>
      <c r="M20" s="69">
        <v>0.19566747484972896</v>
      </c>
      <c r="N20" s="69">
        <v>7.8207673299301034E-3</v>
      </c>
      <c r="O20" s="58">
        <v>3.9969684976700339</v>
      </c>
      <c r="P20" s="31">
        <f t="shared" si="2"/>
        <v>1.9612958237299429E-13</v>
      </c>
      <c r="Q20" s="31">
        <f t="shared" si="2"/>
        <v>7.8179404174956381E-15</v>
      </c>
    </row>
    <row r="21" spans="1:17" ht="16">
      <c r="A21" s="92" t="s">
        <v>176</v>
      </c>
      <c r="B21" t="b">
        <v>1</v>
      </c>
      <c r="C21" t="s">
        <v>187</v>
      </c>
      <c r="D21" s="68">
        <v>4.6210752326534751E-4</v>
      </c>
      <c r="E21" s="68">
        <v>2.1025997572094517E-4</v>
      </c>
      <c r="F21" s="55">
        <v>0</v>
      </c>
      <c r="G21" s="58">
        <v>0.91729666666666654</v>
      </c>
      <c r="H21" s="58">
        <v>6.7805808559437004</v>
      </c>
      <c r="I21" s="58">
        <v>4.3490374389018047</v>
      </c>
      <c r="J21" s="69">
        <v>4.2605756859342349E-2</v>
      </c>
      <c r="K21" s="69">
        <v>2.5951742746280195E-3</v>
      </c>
      <c r="L21" s="58">
        <v>6.0911352500922993</v>
      </c>
      <c r="M21" s="69">
        <v>4.2143649336077005E-2</v>
      </c>
      <c r="N21" s="69">
        <v>2.603677931903491E-3</v>
      </c>
      <c r="O21" s="58">
        <v>6.1781026866949951</v>
      </c>
      <c r="P21" s="31">
        <f t="shared" si="2"/>
        <v>4.2605756859342347E-14</v>
      </c>
      <c r="Q21" s="31">
        <f t="shared" si="2"/>
        <v>2.5951742746280197E-15</v>
      </c>
    </row>
    <row r="22" spans="1:17" ht="16">
      <c r="A22" s="92" t="s">
        <v>120</v>
      </c>
      <c r="B22" t="b">
        <v>1</v>
      </c>
      <c r="C22" t="s">
        <v>187</v>
      </c>
      <c r="D22" s="68">
        <v>4.6210752326534751E-4</v>
      </c>
      <c r="E22" s="68">
        <v>2.1025997572094517E-4</v>
      </c>
      <c r="F22" s="55">
        <v>0</v>
      </c>
      <c r="G22" s="58">
        <v>1.0166743611111111</v>
      </c>
      <c r="H22" s="58">
        <v>6.3876661825287995</v>
      </c>
      <c r="I22" s="58">
        <v>4.5382772317202722</v>
      </c>
      <c r="J22" s="69">
        <v>0.24282948828544113</v>
      </c>
      <c r="K22" s="69">
        <v>5.7261258315687621E-3</v>
      </c>
      <c r="L22" s="58">
        <v>2.3580850381885323</v>
      </c>
      <c r="M22" s="69">
        <v>0.24236738076217579</v>
      </c>
      <c r="N22" s="69">
        <v>5.729984842593322E-3</v>
      </c>
      <c r="O22" s="58">
        <v>2.3641732747097262</v>
      </c>
      <c r="P22" s="31">
        <f t="shared" si="2"/>
        <v>2.428294882854411E-13</v>
      </c>
      <c r="Q22" s="31">
        <f t="shared" si="2"/>
        <v>5.7261258315687617E-15</v>
      </c>
    </row>
    <row r="23" spans="1:17" ht="16">
      <c r="A23" s="92" t="s">
        <v>183</v>
      </c>
      <c r="B23" t="b">
        <v>1</v>
      </c>
      <c r="C23" t="s">
        <v>60</v>
      </c>
      <c r="D23" s="68">
        <v>0</v>
      </c>
      <c r="E23" s="68">
        <v>0</v>
      </c>
      <c r="F23" s="55">
        <v>0</v>
      </c>
      <c r="G23" s="58">
        <v>0.87145572222222212</v>
      </c>
      <c r="H23" s="58">
        <v>3.6346592157448998</v>
      </c>
      <c r="I23" s="58">
        <v>5.7097512498834933</v>
      </c>
      <c r="J23" s="69">
        <v>4.6210752326534751E-4</v>
      </c>
      <c r="K23" s="69">
        <v>2.1025997572094517E-4</v>
      </c>
      <c r="L23" s="58">
        <v>45.500227790104915</v>
      </c>
      <c r="M23" s="69">
        <v>4.6210752326534751E-4</v>
      </c>
      <c r="N23" s="69">
        <v>2.1025997572094517E-4</v>
      </c>
      <c r="O23" s="58">
        <v>45.500227790104915</v>
      </c>
      <c r="P23" s="31">
        <f t="shared" si="2"/>
        <v>4.6210752326534751E-16</v>
      </c>
      <c r="Q23" s="31">
        <f t="shared" si="2"/>
        <v>2.1025997572094518E-16</v>
      </c>
    </row>
    <row r="24" spans="1:17">
      <c r="A24" t="s">
        <v>172</v>
      </c>
      <c r="B24" t="b">
        <v>1</v>
      </c>
      <c r="C24" t="s">
        <v>188</v>
      </c>
      <c r="D24" s="68">
        <v>9.3389557298713779E-4</v>
      </c>
      <c r="E24" s="68">
        <v>3.9974108620988239E-4</v>
      </c>
      <c r="F24" s="55">
        <v>0</v>
      </c>
      <c r="G24" s="58">
        <v>0.91732888888888886</v>
      </c>
      <c r="H24" s="58">
        <v>5.6723073859317994</v>
      </c>
      <c r="I24" s="58">
        <v>3.3838081567307321</v>
      </c>
      <c r="J24" s="69">
        <v>0.42574296094392722</v>
      </c>
      <c r="K24" s="69">
        <v>8.5897953557551206E-3</v>
      </c>
      <c r="L24" s="58">
        <v>2.0176012626751203</v>
      </c>
      <c r="M24" s="69">
        <v>0.4248090653709401</v>
      </c>
      <c r="N24" s="69">
        <v>8.5990916491078574E-3</v>
      </c>
      <c r="O24" s="58">
        <v>2.0242250813548894</v>
      </c>
      <c r="P24" s="31">
        <f t="shared" ref="P24:Q30" si="3">J24*10^-12</f>
        <v>4.2574296094392721E-13</v>
      </c>
      <c r="Q24" s="31">
        <f t="shared" si="3"/>
        <v>8.5897953557551207E-15</v>
      </c>
    </row>
    <row r="25" spans="1:17">
      <c r="A25" t="s">
        <v>83</v>
      </c>
      <c r="B25" t="b">
        <v>1</v>
      </c>
      <c r="C25" t="s">
        <v>188</v>
      </c>
      <c r="D25" s="68">
        <v>9.3389557298713779E-4</v>
      </c>
      <c r="E25" s="68">
        <v>3.9974108620988239E-4</v>
      </c>
      <c r="F25" s="55">
        <v>0</v>
      </c>
      <c r="G25" s="58">
        <v>1.2154289166666667</v>
      </c>
      <c r="H25" s="58">
        <v>7.4330669660519995</v>
      </c>
      <c r="I25" s="58">
        <v>4.1850827043635137</v>
      </c>
      <c r="J25" s="69">
        <v>0.35217602541123788</v>
      </c>
      <c r="K25" s="69">
        <v>6.8890572123085558E-3</v>
      </c>
      <c r="L25" s="58">
        <v>1.9561403148508381</v>
      </c>
      <c r="M25" s="69">
        <v>0.35124212983825076</v>
      </c>
      <c r="N25" s="69">
        <v>6.9006450575627189E-3</v>
      </c>
      <c r="O25" s="58">
        <v>1.9646404777070761</v>
      </c>
      <c r="P25" s="31">
        <f t="shared" si="3"/>
        <v>3.5217602541123786E-13</v>
      </c>
      <c r="Q25" s="31">
        <f t="shared" si="3"/>
        <v>6.8890572123085554E-15</v>
      </c>
    </row>
    <row r="26" spans="1:17">
      <c r="A26" t="s">
        <v>108</v>
      </c>
      <c r="B26" t="b">
        <v>1</v>
      </c>
      <c r="C26" t="s">
        <v>188</v>
      </c>
      <c r="D26" s="68">
        <v>9.3389557298713779E-4</v>
      </c>
      <c r="E26" s="68">
        <v>3.9974108620988239E-4</v>
      </c>
      <c r="F26" s="55">
        <v>0</v>
      </c>
      <c r="G26" s="58">
        <v>1.2230547222222223</v>
      </c>
      <c r="H26" s="58">
        <v>6.7223418715553995</v>
      </c>
      <c r="I26" s="58">
        <v>5.1685856899093983</v>
      </c>
      <c r="J26" s="69">
        <v>0.35715623282883968</v>
      </c>
      <c r="K26" s="69">
        <v>8.4947892834004498E-3</v>
      </c>
      <c r="L26" s="58">
        <v>2.3784519217592419</v>
      </c>
      <c r="M26" s="69">
        <v>0.35622233725585256</v>
      </c>
      <c r="N26" s="69">
        <v>8.5041894325902333E-3</v>
      </c>
      <c r="O26" s="58">
        <v>2.3873262687853845</v>
      </c>
      <c r="P26" s="31">
        <f t="shared" si="3"/>
        <v>3.5715623282883966E-13</v>
      </c>
      <c r="Q26" s="31">
        <f t="shared" si="3"/>
        <v>8.4947892834004491E-15</v>
      </c>
    </row>
    <row r="27" spans="1:17">
      <c r="A27" t="s">
        <v>115</v>
      </c>
      <c r="B27" t="b">
        <v>1</v>
      </c>
      <c r="C27" t="s">
        <v>188</v>
      </c>
      <c r="D27" s="68">
        <v>9.3389557298713779E-4</v>
      </c>
      <c r="E27" s="68">
        <v>3.9974108620988239E-4</v>
      </c>
      <c r="F27" s="55">
        <v>0</v>
      </c>
      <c r="G27" s="58">
        <v>1.2001509166666666</v>
      </c>
      <c r="H27" s="58">
        <v>6.3121506127369003</v>
      </c>
      <c r="I27" s="58">
        <v>5.0244365107518592</v>
      </c>
      <c r="J27" s="69">
        <v>0.19040499623295126</v>
      </c>
      <c r="K27" s="69">
        <v>5.5494592645386502E-3</v>
      </c>
      <c r="L27" s="58">
        <v>2.9145554866371031</v>
      </c>
      <c r="M27" s="69">
        <v>0.18947110065996411</v>
      </c>
      <c r="N27" s="69">
        <v>5.5638378000062248E-3</v>
      </c>
      <c r="O27" s="58">
        <v>2.9365099905084802</v>
      </c>
      <c r="P27" s="31">
        <f t="shared" si="3"/>
        <v>1.9040499623295127E-13</v>
      </c>
      <c r="Q27" s="31">
        <f t="shared" si="3"/>
        <v>5.5494592645386499E-15</v>
      </c>
    </row>
    <row r="28" spans="1:17">
      <c r="A28" t="s">
        <v>124</v>
      </c>
      <c r="B28" t="b">
        <v>1</v>
      </c>
      <c r="C28" t="s">
        <v>188</v>
      </c>
      <c r="D28" s="68">
        <v>9.3389557298713779E-4</v>
      </c>
      <c r="E28" s="68">
        <v>3.9974108620988239E-4</v>
      </c>
      <c r="F28" s="55">
        <v>0</v>
      </c>
      <c r="G28" s="58">
        <v>1.2154180833333332</v>
      </c>
      <c r="H28" s="58">
        <v>7.2643115042059998</v>
      </c>
      <c r="I28" s="58">
        <v>4.7708581852435392</v>
      </c>
      <c r="J28" s="69">
        <v>0.18140087517556264</v>
      </c>
      <c r="K28" s="69">
        <v>6.3456941688197575E-3</v>
      </c>
      <c r="L28" s="58">
        <v>3.498160724240329</v>
      </c>
      <c r="M28" s="69">
        <v>0.18046697960257549</v>
      </c>
      <c r="N28" s="69">
        <v>6.3582723612784411E-3</v>
      </c>
      <c r="O28" s="58">
        <v>3.5232331007481994</v>
      </c>
      <c r="P28" s="31">
        <f t="shared" si="3"/>
        <v>1.8140087517556264E-13</v>
      </c>
      <c r="Q28" s="31">
        <f t="shared" si="3"/>
        <v>6.3456941688197576E-15</v>
      </c>
    </row>
    <row r="29" spans="1:17">
      <c r="A29" t="s">
        <v>127</v>
      </c>
      <c r="B29" t="b">
        <v>1</v>
      </c>
      <c r="C29" t="s">
        <v>188</v>
      </c>
      <c r="D29" s="68">
        <v>9.3389557298713779E-4</v>
      </c>
      <c r="E29" s="68">
        <v>3.9974108620988239E-4</v>
      </c>
      <c r="F29" s="55">
        <v>0</v>
      </c>
      <c r="G29" s="58">
        <v>1.0625436388888889</v>
      </c>
      <c r="H29" s="58">
        <v>8.3577237750689992</v>
      </c>
      <c r="I29" s="58">
        <v>3.267037860410094</v>
      </c>
      <c r="J29" s="69">
        <v>0.30538549900640788</v>
      </c>
      <c r="K29" s="69">
        <v>6.3740391823144558E-3</v>
      </c>
      <c r="L29" s="58">
        <v>2.0872108214217171</v>
      </c>
      <c r="M29" s="69">
        <v>0.30445160343342076</v>
      </c>
      <c r="N29" s="69">
        <v>6.3865615501366765E-3</v>
      </c>
      <c r="O29" s="58">
        <v>2.0977263637678054</v>
      </c>
      <c r="P29" s="31">
        <f t="shared" si="3"/>
        <v>3.0538549900640786E-13</v>
      </c>
      <c r="Q29" s="31">
        <f t="shared" si="3"/>
        <v>6.3740391823144555E-15</v>
      </c>
    </row>
    <row r="30" spans="1:17">
      <c r="A30" t="s">
        <v>136</v>
      </c>
      <c r="B30" t="b">
        <v>1</v>
      </c>
      <c r="C30" t="s">
        <v>188</v>
      </c>
      <c r="D30" s="68">
        <v>9.3389557298713779E-4</v>
      </c>
      <c r="E30" s="68">
        <v>3.9974108620988239E-4</v>
      </c>
      <c r="F30" s="55">
        <v>0</v>
      </c>
      <c r="G30" s="58">
        <v>0.97081897222222213</v>
      </c>
      <c r="H30" s="58">
        <v>5.4001503812646003</v>
      </c>
      <c r="I30" s="58">
        <v>4.5913536197104516</v>
      </c>
      <c r="J30" s="69">
        <v>0.28919136440670024</v>
      </c>
      <c r="K30" s="69">
        <v>1.10472371207757E-2</v>
      </c>
      <c r="L30" s="58">
        <v>3.8200439157095896</v>
      </c>
      <c r="M30" s="69">
        <v>0.28825746883371312</v>
      </c>
      <c r="N30" s="69">
        <v>1.1054467012870807E-2</v>
      </c>
      <c r="O30" s="58">
        <v>3.8349282180257362</v>
      </c>
      <c r="P30" s="31">
        <f t="shared" si="3"/>
        <v>2.8919136440670022E-13</v>
      </c>
      <c r="Q30" s="31">
        <f t="shared" si="3"/>
        <v>1.1047237120775699E-14</v>
      </c>
    </row>
  </sheetData>
  <conditionalFormatting sqref="A4">
    <cfRule type="duplicateValues" dxfId="15" priority="30"/>
    <cfRule type="duplicateValues" dxfId="14" priority="31"/>
    <cfRule type="duplicateValues" dxfId="13" priority="32"/>
  </conditionalFormatting>
  <conditionalFormatting sqref="A5">
    <cfRule type="duplicateValues" dxfId="12" priority="27"/>
    <cfRule type="duplicateValues" dxfId="11" priority="28"/>
    <cfRule type="duplicateValues" dxfId="10" priority="29"/>
  </conditionalFormatting>
  <conditionalFormatting sqref="A6:A15">
    <cfRule type="duplicateValues" dxfId="9" priority="24"/>
    <cfRule type="duplicateValues" dxfId="8" priority="25"/>
    <cfRule type="duplicateValues" dxfId="7" priority="26"/>
  </conditionalFormatting>
  <conditionalFormatting sqref="A16:A23">
    <cfRule type="duplicateValues" dxfId="6" priority="6"/>
    <cfRule type="duplicateValues" dxfId="5" priority="7"/>
    <cfRule type="duplicateValues" dxfId="4" priority="33"/>
  </conditionalFormatting>
  <conditionalFormatting sqref="A24:A30">
    <cfRule type="duplicateValues" dxfId="3" priority="34"/>
  </conditionalFormatting>
  <conditionalFormatting sqref="F4:F15 F24:F30">
    <cfRule type="cellIs" dxfId="2" priority="21" operator="equal">
      <formula>3</formula>
    </cfRule>
    <cfRule type="cellIs" dxfId="1" priority="22" operator="equal">
      <formula>2</formula>
    </cfRule>
    <cfRule type="cellIs" dxfId="0" priority="23" operator="equal">
      <formula>1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Data 4</vt:lpstr>
      <vt:lpstr>Supplementary Data 5 - Summary</vt:lpstr>
      <vt:lpstr>Supplementary Data 6 - BeAl</vt:lpstr>
      <vt:lpstr>Supplementary Data 7 - 10Be AMS</vt:lpstr>
      <vt:lpstr>Supplementary Data 8 - 26Al AMS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Aske Lohse Sørensen</dc:creator>
  <cp:lastModifiedBy>Aske Lohse Sørensen</cp:lastModifiedBy>
  <dcterms:created xsi:type="dcterms:W3CDTF">2026-01-27T08:33:38Z</dcterms:created>
  <dcterms:modified xsi:type="dcterms:W3CDTF">2026-06-10T08:25:56Z</dcterms:modified>
</cp:coreProperties>
</file>