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Users/nataliabayonavasquez/Library/CloudStorage/GoogleDrive-njbayonav@gmail.com/My Drive/Documentos_Nati/crypto_miscellaneous/manuscript/nature_communications/nature_communications_submission/final_submission/"/>
    </mc:Choice>
  </mc:AlternateContent>
  <xr:revisionPtr revIDLastSave="0" documentId="13_ncr:1_{63B57E85-CD3B-184A-B7CF-7DAFC774AFCC}" xr6:coauthVersionLast="47" xr6:coauthVersionMax="47" xr10:uidLastSave="{00000000-0000-0000-0000-000000000000}"/>
  <bookViews>
    <workbookView xWindow="0" yWindow="660" windowWidth="34560" windowHeight="19600" activeTab="1" xr2:uid="{BD979B59-86B9-A74B-9C2B-9F7A89BB3C9D}"/>
  </bookViews>
  <sheets>
    <sheet name="Introduction" sheetId="21" r:id="rId1"/>
    <sheet name="Supplementary_Data_10" sheetId="9"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4" i="9" l="1"/>
  <c r="F64" i="9" s="1"/>
  <c r="H64" i="9" s="1"/>
  <c r="J64" i="9" s="1"/>
  <c r="E63" i="9"/>
  <c r="F63" i="9" s="1"/>
  <c r="H63" i="9" s="1"/>
  <c r="J63" i="9" s="1"/>
  <c r="J65" i="9" s="1"/>
  <c r="E58" i="9"/>
  <c r="F58" i="9" s="1"/>
  <c r="H58" i="9" s="1"/>
  <c r="J58" i="9" s="1"/>
  <c r="E57" i="9"/>
  <c r="F57" i="9" s="1"/>
  <c r="H57" i="9" s="1"/>
  <c r="J57" i="9" s="1"/>
  <c r="J59" i="9" s="1"/>
  <c r="E52" i="9"/>
  <c r="F52" i="9" s="1"/>
  <c r="H52" i="9" s="1"/>
  <c r="J52" i="9" s="1"/>
  <c r="E51" i="9"/>
  <c r="F51" i="9" s="1"/>
  <c r="H51" i="9" s="1"/>
  <c r="J51" i="9" s="1"/>
  <c r="J53" i="9" s="1"/>
  <c r="Q47" i="9"/>
  <c r="Q46" i="9"/>
  <c r="E46" i="9"/>
  <c r="F46" i="9" s="1"/>
  <c r="H46" i="9" s="1"/>
  <c r="J46" i="9" s="1"/>
  <c r="Q45" i="9"/>
  <c r="E45" i="9"/>
  <c r="F45" i="9" s="1"/>
  <c r="H45" i="9" s="1"/>
  <c r="J45" i="9" s="1"/>
  <c r="J47" i="9" s="1"/>
  <c r="S38" i="9"/>
  <c r="V38" i="9" s="1"/>
  <c r="I38" i="9"/>
  <c r="L38" i="9" s="1"/>
  <c r="S37" i="9"/>
  <c r="V37" i="9" s="1"/>
  <c r="Q37" i="9"/>
  <c r="I37" i="9"/>
  <c r="L37" i="9" s="1"/>
  <c r="V36" i="9"/>
  <c r="S36" i="9"/>
  <c r="Q36" i="9"/>
  <c r="L36" i="9"/>
  <c r="U36" i="9" s="1"/>
  <c r="J36" i="9"/>
  <c r="S34" i="9"/>
  <c r="V34" i="9" s="1"/>
  <c r="L34" i="9"/>
  <c r="O34" i="9" s="1"/>
  <c r="J34" i="9"/>
  <c r="S33" i="9"/>
  <c r="V33" i="9" s="1"/>
  <c r="L33" i="9"/>
  <c r="M33" i="9" s="1"/>
  <c r="J33" i="9"/>
  <c r="C31" i="9"/>
  <c r="Q34" i="9" s="1"/>
  <c r="V27" i="9"/>
  <c r="I27" i="9"/>
  <c r="L27" i="9" s="1"/>
  <c r="V26" i="9"/>
  <c r="I26" i="9"/>
  <c r="L26" i="9" s="1"/>
  <c r="V25" i="9"/>
  <c r="Q25" i="9"/>
  <c r="L25" i="9"/>
  <c r="U25" i="9" s="1"/>
  <c r="J25" i="9"/>
  <c r="V23" i="9"/>
  <c r="L23" i="9"/>
  <c r="U23" i="9" s="1"/>
  <c r="J23" i="9"/>
  <c r="V22" i="9"/>
  <c r="L22" i="9"/>
  <c r="O22" i="9" s="1"/>
  <c r="J22" i="9"/>
  <c r="C20" i="9"/>
  <c r="Q26" i="9" s="1"/>
  <c r="S16" i="9"/>
  <c r="V16" i="9" s="1"/>
  <c r="Q16" i="9"/>
  <c r="I16" i="9"/>
  <c r="J16" i="9" s="1"/>
  <c r="S15" i="9"/>
  <c r="V15" i="9" s="1"/>
  <c r="Q15" i="9"/>
  <c r="I15" i="9"/>
  <c r="L15" i="9" s="1"/>
  <c r="S14" i="9"/>
  <c r="V14" i="9" s="1"/>
  <c r="Q14" i="9"/>
  <c r="L14" i="9"/>
  <c r="O14" i="9" s="1"/>
  <c r="J14" i="9"/>
  <c r="S12" i="9"/>
  <c r="V12" i="9" s="1"/>
  <c r="Q12" i="9"/>
  <c r="L12" i="9"/>
  <c r="O12" i="9" s="1"/>
  <c r="J12" i="9"/>
  <c r="S11" i="9"/>
  <c r="V11" i="9" s="1"/>
  <c r="Q11" i="9"/>
  <c r="L11" i="9"/>
  <c r="U11" i="9" s="1"/>
  <c r="J11" i="9"/>
  <c r="S10" i="9"/>
  <c r="V10" i="9" s="1"/>
  <c r="Q10" i="9"/>
  <c r="L10" i="9"/>
  <c r="J10" i="9"/>
  <c r="S9" i="9"/>
  <c r="Q9" i="9"/>
  <c r="L9" i="9"/>
  <c r="O9" i="9" s="1"/>
  <c r="R9" i="9" s="1"/>
  <c r="T9" i="9" s="1"/>
  <c r="E9" i="9"/>
  <c r="P9" i="9" s="1"/>
  <c r="Q8" i="9"/>
  <c r="L8" i="9"/>
  <c r="E8" i="9"/>
  <c r="V8" i="9" s="1"/>
  <c r="Q7" i="9"/>
  <c r="L7" i="9"/>
  <c r="U7" i="9" s="1"/>
  <c r="E7" i="9"/>
  <c r="V7" i="9" s="1"/>
  <c r="L16" i="9" l="1"/>
  <c r="O16" i="9" s="1"/>
  <c r="J8" i="9"/>
  <c r="M8" i="9"/>
  <c r="Q22" i="9"/>
  <c r="Q38" i="9"/>
  <c r="U22" i="9"/>
  <c r="Q33" i="9"/>
  <c r="V9" i="9"/>
  <c r="U10" i="9"/>
  <c r="U14" i="9"/>
  <c r="P14" i="9"/>
  <c r="R14" i="9"/>
  <c r="T14" i="9" s="1"/>
  <c r="P34" i="9"/>
  <c r="R34" i="9"/>
  <c r="T34" i="9" s="1"/>
  <c r="P22" i="9"/>
  <c r="R22" i="9"/>
  <c r="T22" i="9" s="1"/>
  <c r="M15" i="9"/>
  <c r="U15" i="9"/>
  <c r="O15" i="9"/>
  <c r="P16" i="9"/>
  <c r="R16" i="9"/>
  <c r="T16" i="9" s="1"/>
  <c r="O26" i="9"/>
  <c r="M26" i="9"/>
  <c r="U26" i="9"/>
  <c r="R12" i="9"/>
  <c r="T12" i="9" s="1"/>
  <c r="P12" i="9"/>
  <c r="U38" i="9"/>
  <c r="M38" i="9"/>
  <c r="O38" i="9"/>
  <c r="U27" i="9"/>
  <c r="M27" i="9"/>
  <c r="O27" i="9"/>
  <c r="M37" i="9"/>
  <c r="U37" i="9"/>
  <c r="O37" i="9"/>
  <c r="M25" i="9"/>
  <c r="O25" i="9"/>
  <c r="J37" i="9"/>
  <c r="M16" i="9"/>
  <c r="J15" i="9"/>
  <c r="O33" i="9"/>
  <c r="U9" i="9"/>
  <c r="J27" i="9"/>
  <c r="O7" i="9"/>
  <c r="R7" i="9" s="1"/>
  <c r="T7" i="9" s="1"/>
  <c r="U16" i="9"/>
  <c r="O10" i="9"/>
  <c r="U33" i="9"/>
  <c r="Q27" i="9"/>
  <c r="O8" i="9"/>
  <c r="O11" i="9"/>
  <c r="U34" i="9"/>
  <c r="J7" i="9"/>
  <c r="U12" i="9"/>
  <c r="M23" i="9"/>
  <c r="U8" i="9"/>
  <c r="O23" i="9"/>
  <c r="M36" i="9"/>
  <c r="M14" i="9"/>
  <c r="J26" i="9"/>
  <c r="M9" i="9"/>
  <c r="M22" i="9"/>
  <c r="M11" i="9"/>
  <c r="M7" i="9"/>
  <c r="M10" i="9"/>
  <c r="O36" i="9"/>
  <c r="Q23" i="9"/>
  <c r="J9" i="9"/>
  <c r="M34" i="9"/>
  <c r="M12" i="9"/>
  <c r="J38" i="9"/>
  <c r="P7" i="9" l="1"/>
  <c r="R33" i="9"/>
  <c r="T33" i="9" s="1"/>
  <c r="P33" i="9"/>
  <c r="R25" i="9"/>
  <c r="T25" i="9" s="1"/>
  <c r="P25" i="9"/>
  <c r="R8" i="9"/>
  <c r="T8" i="9" s="1"/>
  <c r="P8" i="9"/>
  <c r="R10" i="9"/>
  <c r="T10" i="9" s="1"/>
  <c r="P10" i="9"/>
  <c r="P36" i="9"/>
  <c r="R36" i="9"/>
  <c r="T36" i="9" s="1"/>
  <c r="R38" i="9"/>
  <c r="T38" i="9" s="1"/>
  <c r="P38" i="9"/>
  <c r="R15" i="9"/>
  <c r="T15" i="9" s="1"/>
  <c r="P15" i="9"/>
  <c r="R23" i="9"/>
  <c r="T23" i="9" s="1"/>
  <c r="P23" i="9"/>
  <c r="P26" i="9"/>
  <c r="R26" i="9"/>
  <c r="T26" i="9" s="1"/>
  <c r="R37" i="9"/>
  <c r="T37" i="9" s="1"/>
  <c r="P37" i="9"/>
  <c r="R11" i="9"/>
  <c r="T11" i="9" s="1"/>
  <c r="P11" i="9"/>
  <c r="P27" i="9"/>
  <c r="R27" i="9"/>
  <c r="T27" i="9" s="1"/>
</calcChain>
</file>

<file path=xl/sharedStrings.xml><?xml version="1.0" encoding="utf-8"?>
<sst xmlns="http://schemas.openxmlformats.org/spreadsheetml/2006/main" count="255" uniqueCount="89">
  <si>
    <t>These are the costs if the sample is pure (i.e., 100% crypto)</t>
  </si>
  <si>
    <t>Genome Size</t>
  </si>
  <si>
    <t>organism is ~ crypto</t>
  </si>
  <si>
    <t>using whole numbers of samples to get close to 20x coverage; adjust this number to achieve whatever coverage target you want</t>
  </si>
  <si>
    <t>Platform</t>
  </si>
  <si>
    <t>Instrument</t>
  </si>
  <si>
    <t>Kit</t>
  </si>
  <si>
    <t>Price updated</t>
  </si>
  <si>
    <t xml:space="preserve"> Run Cost</t>
  </si>
  <si>
    <t>Unit</t>
  </si>
  <si>
    <t>Read Size(s)</t>
  </si>
  <si>
    <t>Insert size ≥</t>
  </si>
  <si>
    <t>Clusters (Millions)</t>
  </si>
  <si>
    <t>$/M clusters</t>
  </si>
  <si>
    <t>Reads/ Cluster</t>
  </si>
  <si>
    <t>Total # Reads (Millions)</t>
  </si>
  <si>
    <t>cost per M reads</t>
  </si>
  <si>
    <t>good length</t>
  </si>
  <si>
    <t>MegaBases (Mb)</t>
  </si>
  <si>
    <t>cost per Gb</t>
  </si>
  <si>
    <t>genome size (Mb)</t>
  </si>
  <si>
    <t>Total x coverage</t>
  </si>
  <si>
    <t># of samples</t>
  </si>
  <si>
    <t>X coverage per sample</t>
  </si>
  <si>
    <t>Millions of reads per sample</t>
  </si>
  <si>
    <t>$/sample</t>
  </si>
  <si>
    <t>Notes</t>
  </si>
  <si>
    <t>Illumina</t>
  </si>
  <si>
    <t>iSeq</t>
  </si>
  <si>
    <t xml:space="preserve"> 300 cycles</t>
  </si>
  <si>
    <t>Jan 2024</t>
  </si>
  <si>
    <t>run</t>
  </si>
  <si>
    <t>PE150</t>
  </si>
  <si>
    <t>Reagent+$150; Illumina "up to" spec; achievable on a good run</t>
  </si>
  <si>
    <t>MiSeq</t>
  </si>
  <si>
    <t>Nano v2 300 cycles</t>
  </si>
  <si>
    <t>v3 600 cycles</t>
  </si>
  <si>
    <t>PE300</t>
  </si>
  <si>
    <t xml:space="preserve">NextSeq 2000 </t>
  </si>
  <si>
    <t>P1 300 cycles</t>
  </si>
  <si>
    <t>core lab; Illumina "up to" spec; achievable on good runs</t>
  </si>
  <si>
    <t>P3 300 cycles</t>
  </si>
  <si>
    <t>NovaSeq 6000</t>
  </si>
  <si>
    <t>NovaSeq S4</t>
  </si>
  <si>
    <t>lane</t>
  </si>
  <si>
    <t>core lab average cost; Illumina "up to" spec; achievable on best runs</t>
  </si>
  <si>
    <t>NovaSeq X (+)</t>
  </si>
  <si>
    <t>1.5 B 300 cycles</t>
  </si>
  <si>
    <t>April 2024</t>
  </si>
  <si>
    <t>Anticipated commercial all-in price with Illumina run yield spec</t>
  </si>
  <si>
    <t>10 B 300 cycles</t>
  </si>
  <si>
    <t>Commercial all-in price with volume discount; Illumina run yield spec</t>
  </si>
  <si>
    <t>25 B 300 cycles</t>
  </si>
  <si>
    <t>Commercial all-in price with major volume discount; Illumina run yield spec</t>
  </si>
  <si>
    <t>Target % of reads</t>
  </si>
  <si>
    <t>Effective Genome Size</t>
  </si>
  <si>
    <t>calculated number of samples to get 20x coverage</t>
  </si>
  <si>
    <t>$/sample for sequencing</t>
  </si>
  <si>
    <t>Cost of Enrichment</t>
  </si>
  <si>
    <t xml:space="preserve">Kit (buy-in) cost </t>
  </si>
  <si>
    <t># of rxns</t>
  </si>
  <si>
    <t>dilution</t>
  </si>
  <si>
    <t>total reactions</t>
  </si>
  <si>
    <t>bait cost/rxn</t>
  </si>
  <si>
    <t>other cost/rxn</t>
  </si>
  <si>
    <t>total cost/rxn</t>
  </si>
  <si>
    <t># samples per pool</t>
  </si>
  <si>
    <t>cost/sample</t>
  </si>
  <si>
    <t>Enrichment cost</t>
  </si>
  <si>
    <t>Sequencing cost</t>
  </si>
  <si>
    <t>total cost</t>
  </si>
  <si>
    <t>Custom Synthesis of CryptoCap_100K (non-Arbor)</t>
  </si>
  <si>
    <t>1st enrichment</t>
  </si>
  <si>
    <t>Pure Crypto DNA</t>
  </si>
  <si>
    <t>2nd enrichment</t>
  </si>
  <si>
    <t>Fecal with 0.1% Crypto</t>
  </si>
  <si>
    <t>Total cost for double enrichments</t>
  </si>
  <si>
    <t>Arbor catalog #308508.V5, 8 rxn</t>
  </si>
  <si>
    <t>Arbor catalog #308548.V5, 48 rxn</t>
  </si>
  <si>
    <t>Arbor catalog #308596.V5, 96 rxn</t>
  </si>
  <si>
    <t>We are conservative with this ballpark number for enriched reads; given that our samples reflect an average of 15% of reads mapping to reference after enrichment.</t>
  </si>
  <si>
    <t xml:space="preserve">This is the average for unenriched reads, which is an overestimation, given that our results in clinical samples show an average of 0.03% of reads mapping to Cryptosporidium. </t>
  </si>
  <si>
    <t xml:space="preserve">Natalia J. Bayona Vásquez Email: natalia.juliana.bayona.vasquez@emory.edu </t>
  </si>
  <si>
    <t xml:space="preserve">Amanda H. Sullivan Email: mandyhoward717@gmail.com </t>
  </si>
  <si>
    <r>
      <t xml:space="preserve">GENOME-TARGETED ENRICHMENT AND SEQUENCING OF HUMAN-INFECTING </t>
    </r>
    <r>
      <rPr>
        <b/>
        <i/>
        <sz val="14"/>
        <color theme="1"/>
        <rFont val="Aptos"/>
      </rPr>
      <t xml:space="preserve">Cryptosporidium </t>
    </r>
    <r>
      <rPr>
        <b/>
        <sz val="14"/>
        <color theme="1"/>
        <rFont val="Aptos"/>
      </rPr>
      <t>spp.</t>
    </r>
  </si>
  <si>
    <r>
      <t>Bayona-Vásquez NJ,</t>
    </r>
    <r>
      <rPr>
        <vertAlign val="superscript"/>
        <sz val="12"/>
        <color rgb="FF212121"/>
        <rFont val="Aptos"/>
      </rPr>
      <t xml:space="preserve"> </t>
    </r>
    <r>
      <rPr>
        <sz val="12"/>
        <color rgb="FF212121"/>
        <rFont val="Aptos"/>
      </rPr>
      <t>Sullivan AH, Beaudry MS, Khan A, Baptista RP, Petersen KN</t>
    </r>
    <r>
      <rPr>
        <sz val="12"/>
        <color theme="1"/>
        <rFont val="Aptos"/>
      </rPr>
      <t>,</t>
    </r>
    <r>
      <rPr>
        <sz val="12"/>
        <color rgb="FF212121"/>
        <rFont val="Aptos"/>
      </rPr>
      <t xml:space="preserve"> </t>
    </r>
    <r>
      <rPr>
        <sz val="12"/>
        <color rgb="FF000000"/>
        <rFont val="Aptos"/>
      </rPr>
      <t xml:space="preserve">Bhuiyan MIU, </t>
    </r>
    <r>
      <rPr>
        <sz val="12"/>
        <color rgb="FF212121"/>
        <rFont val="Aptos"/>
      </rPr>
      <t>Brunelle B, Robinson G,</t>
    </r>
  </si>
  <si>
    <t xml:space="preserve"> Chalmers RM, Alves-Ferreira EVC, Grigg ME, Kissinger JC, Glenn TC.</t>
  </si>
  <si>
    <t xml:space="preserve">Supplementary Data 10 for </t>
  </si>
  <si>
    <r>
      <rPr>
        <b/>
        <sz val="12"/>
        <color theme="1"/>
        <rFont val="Calibri"/>
        <family val="2"/>
        <scheme val="minor"/>
      </rPr>
      <t xml:space="preserve">Supplementary Data 10. </t>
    </r>
    <r>
      <rPr>
        <sz val="12"/>
        <color theme="1"/>
        <rFont val="Calibri"/>
        <family val="2"/>
        <scheme val="minor"/>
      </rPr>
      <t xml:space="preserve">Cost calculation for deep sequencing (samples unenriched) vs. enrichment considering genome size of </t>
    </r>
    <r>
      <rPr>
        <i/>
        <sz val="12"/>
        <color theme="1"/>
        <rFont val="Calibri"/>
        <family val="2"/>
        <scheme val="minor"/>
      </rPr>
      <t>Cryptosporidium</t>
    </r>
    <r>
      <rPr>
        <sz val="12"/>
        <color theme="1"/>
        <rFont val="Calibri"/>
        <family val="2"/>
        <scheme val="minor"/>
      </rPr>
      <t>, Illumina platform and kit used for sequencing and thus the amount of reads necessary to obtain at least 20X coverage, presenting as result the price per sample. We present the price for pure samples (100% crypto), clinical samples in which Cryptosporidium is estimated to be 0.10% of the DNA but left unenriched, and clinical samples in which Cryptosporidium is estimated to be 10% of the DNA after single enrichment (although our results show that on average at least 15% of our reads from clinical samples map agains the database after enrichment, Table S14).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</si>
</sst>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43" formatCode="_(* #,##0.00_);_(* \(#,##0.00\);_(* &quot;-&quot;??_);_(@_)"/>
    <numFmt numFmtId="165" formatCode="_(* #,##0_);_(* \(#,##0\);_(* &quot;-&quot;??_);_(@_)"/>
    <numFmt numFmtId="169" formatCode="_(&quot;$&quot;* #,##0_);_(&quot;$&quot;* \(#,##0\);_(&quot;$&quot;* &quot;-&quot;??_);_(@_)"/>
  </numFmts>
  <fonts count="25">
    <font>
      <sz val="12"/>
      <color theme="1"/>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2"/>
      <color theme="0"/>
      <name val="Calibri"/>
      <family val="2"/>
      <scheme val="minor"/>
    </font>
    <font>
      <b/>
      <sz val="10"/>
      <name val="Verdana"/>
      <family val="2"/>
    </font>
    <font>
      <sz val="10"/>
      <name val="Verdana"/>
      <family val="2"/>
    </font>
    <font>
      <sz val="12"/>
      <color rgb="FFC00000"/>
      <name val="Calibri"/>
      <family val="2"/>
      <scheme val="minor"/>
    </font>
    <font>
      <b/>
      <sz val="10"/>
      <color theme="1"/>
      <name val="Verdana"/>
      <family val="2"/>
    </font>
    <font>
      <b/>
      <sz val="10"/>
      <color rgb="FFC00000"/>
      <name val="Verdana"/>
      <family val="2"/>
    </font>
    <font>
      <sz val="10"/>
      <color theme="1"/>
      <name val="Verdana"/>
      <family val="2"/>
    </font>
    <font>
      <sz val="10"/>
      <color rgb="FFC00000"/>
      <name val="Verdana"/>
      <family val="2"/>
    </font>
    <font>
      <sz val="12"/>
      <color rgb="FF0432FF"/>
      <name val="Calibri"/>
      <family val="2"/>
      <scheme val="minor"/>
    </font>
    <font>
      <b/>
      <sz val="10"/>
      <color rgb="FF0432FF"/>
      <name val="Verdana"/>
      <family val="2"/>
    </font>
    <font>
      <b/>
      <u/>
      <sz val="16"/>
      <color rgb="FF0432FF"/>
      <name val="Calibri"/>
      <family val="2"/>
      <scheme val="minor"/>
    </font>
    <font>
      <sz val="14"/>
      <color rgb="FF2C92D5"/>
      <name val="Canva Sans"/>
    </font>
    <font>
      <sz val="12"/>
      <color rgb="FF7030A0"/>
      <name val="Calibri"/>
      <family val="2"/>
      <scheme val="minor"/>
    </font>
    <font>
      <i/>
      <sz val="12"/>
      <color theme="1"/>
      <name val="Calibri"/>
      <family val="2"/>
      <scheme val="minor"/>
    </font>
    <font>
      <sz val="12"/>
      <color theme="1"/>
      <name val="Aptos"/>
    </font>
    <font>
      <b/>
      <sz val="14"/>
      <color theme="1"/>
      <name val="Aptos"/>
    </font>
    <font>
      <b/>
      <i/>
      <sz val="14"/>
      <color theme="1"/>
      <name val="Aptos"/>
    </font>
    <font>
      <sz val="12"/>
      <color rgb="FF212121"/>
      <name val="Aptos"/>
    </font>
    <font>
      <vertAlign val="superscript"/>
      <sz val="12"/>
      <color rgb="FF212121"/>
      <name val="Aptos"/>
    </font>
    <font>
      <sz val="12"/>
      <color rgb="FF000000"/>
      <name val="Aptos"/>
    </font>
    <font>
      <u/>
      <sz val="12"/>
      <color theme="10"/>
      <name val="Calibri"/>
      <family val="2"/>
      <scheme val="minor"/>
    </font>
  </fonts>
  <fills count="8">
    <fill>
      <patternFill patternType="none"/>
    </fill>
    <fill>
      <patternFill patternType="gray125"/>
    </fill>
    <fill>
      <patternFill patternType="solid">
        <fgColor theme="9"/>
      </patternFill>
    </fill>
    <fill>
      <patternFill patternType="solid">
        <fgColor rgb="FFFFFF0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s>
  <borders count="4">
    <border>
      <left/>
      <right/>
      <top/>
      <bottom/>
      <diagonal/>
    </border>
    <border>
      <left/>
      <right/>
      <top/>
      <bottom style="thin">
        <color indexed="64"/>
      </bottom>
      <diagonal/>
    </border>
    <border>
      <left style="thin">
        <color indexed="64"/>
      </left>
      <right/>
      <top style="thin">
        <color auto="1"/>
      </top>
      <bottom/>
      <diagonal/>
    </border>
    <border>
      <left style="thin">
        <color indexed="64"/>
      </left>
      <right/>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2" borderId="0" applyNumberFormat="0" applyBorder="0" applyAlignment="0" applyProtection="0"/>
    <xf numFmtId="0" fontId="24" fillId="0" borderId="0" applyNumberFormat="0" applyFill="0" applyBorder="0" applyAlignment="0" applyProtection="0"/>
  </cellStyleXfs>
  <cellXfs count="102">
    <xf numFmtId="0" fontId="0" fillId="0" borderId="0" xfId="0"/>
    <xf numFmtId="0" fontId="0" fillId="0" borderId="1" xfId="0" applyBorder="1"/>
    <xf numFmtId="0" fontId="0" fillId="0" borderId="0" xfId="0" applyAlignment="1">
      <alignment horizontal="center"/>
    </xf>
    <xf numFmtId="0" fontId="5" fillId="0" borderId="0" xfId="0" applyFont="1" applyAlignment="1">
      <alignment horizontal="center" wrapText="1"/>
    </xf>
    <xf numFmtId="165" fontId="0" fillId="3" borderId="0" xfId="1" applyNumberFormat="1" applyFont="1" applyFill="1"/>
    <xf numFmtId="0" fontId="6" fillId="0" borderId="0" xfId="0" applyFont="1" applyAlignment="1">
      <alignment horizontal="center" wrapText="1"/>
    </xf>
    <xf numFmtId="0" fontId="6" fillId="0" borderId="0" xfId="0" applyFont="1"/>
    <xf numFmtId="0" fontId="7" fillId="0" borderId="0" xfId="0" applyFont="1" applyAlignment="1">
      <alignment horizontal="left"/>
    </xf>
    <xf numFmtId="0" fontId="5" fillId="0" borderId="1" xfId="0" applyFont="1" applyBorder="1" applyAlignment="1">
      <alignment horizontal="center" wrapText="1"/>
    </xf>
    <xf numFmtId="0" fontId="8" fillId="0" borderId="1" xfId="0" applyFont="1" applyBorder="1" applyAlignment="1">
      <alignment horizontal="center" wrapText="1"/>
    </xf>
    <xf numFmtId="0" fontId="5" fillId="3" borderId="1" xfId="0" applyFont="1" applyFill="1" applyBorder="1" applyAlignment="1">
      <alignment horizontal="center" wrapText="1"/>
    </xf>
    <xf numFmtId="0" fontId="9" fillId="0" borderId="1" xfId="0" applyFont="1" applyBorder="1" applyAlignment="1">
      <alignment horizontal="center" wrapText="1"/>
    </xf>
    <xf numFmtId="0" fontId="0" fillId="0" borderId="0" xfId="0" applyAlignment="1">
      <alignment vertical="top" wrapText="1"/>
    </xf>
    <xf numFmtId="0" fontId="5" fillId="0" borderId="1" xfId="0" applyFont="1" applyBorder="1" applyAlignment="1">
      <alignment wrapText="1"/>
    </xf>
    <xf numFmtId="0" fontId="6" fillId="0" borderId="0" xfId="0" applyFont="1" applyAlignment="1">
      <alignment horizontal="center"/>
    </xf>
    <xf numFmtId="49" fontId="6" fillId="0" borderId="0" xfId="0" applyNumberFormat="1" applyFont="1" applyAlignment="1">
      <alignment horizontal="center"/>
    </xf>
    <xf numFmtId="6" fontId="10" fillId="0" borderId="0" xfId="0" applyNumberFormat="1" applyFont="1" applyAlignment="1">
      <alignment horizontal="center"/>
    </xf>
    <xf numFmtId="8" fontId="0" fillId="0" borderId="0" xfId="0" applyNumberFormat="1" applyAlignment="1">
      <alignment horizontal="center"/>
    </xf>
    <xf numFmtId="1" fontId="0" fillId="0" borderId="0" xfId="0" applyNumberFormat="1" applyAlignment="1">
      <alignment horizontal="center"/>
    </xf>
    <xf numFmtId="3" fontId="0" fillId="0" borderId="0" xfId="0" applyNumberFormat="1" applyAlignment="1">
      <alignment horizontal="center"/>
    </xf>
    <xf numFmtId="44" fontId="0" fillId="0" borderId="0" xfId="2" applyFont="1" applyBorder="1" applyAlignment="1"/>
    <xf numFmtId="44" fontId="0" fillId="0" borderId="0" xfId="2" applyFont="1" applyBorder="1" applyAlignment="1">
      <alignment horizontal="center"/>
    </xf>
    <xf numFmtId="0" fontId="0" fillId="3" borderId="0" xfId="0" applyFill="1" applyAlignment="1">
      <alignment horizontal="center"/>
    </xf>
    <xf numFmtId="165" fontId="0" fillId="0" borderId="0" xfId="1" applyNumberFormat="1" applyFont="1" applyBorder="1" applyAlignment="1">
      <alignment horizontal="center"/>
    </xf>
    <xf numFmtId="44" fontId="7" fillId="0" borderId="0" xfId="2" applyFont="1" applyBorder="1" applyAlignment="1">
      <alignment horizontal="center"/>
    </xf>
    <xf numFmtId="49" fontId="10" fillId="0" borderId="0" xfId="0" applyNumberFormat="1" applyFont="1" applyAlignment="1">
      <alignment horizontal="center"/>
    </xf>
    <xf numFmtId="0" fontId="10" fillId="0" borderId="0" xfId="0" applyFont="1" applyAlignment="1">
      <alignment horizontal="center"/>
    </xf>
    <xf numFmtId="44" fontId="0" fillId="0" borderId="0" xfId="2" applyFont="1" applyBorder="1"/>
    <xf numFmtId="169" fontId="10" fillId="0" borderId="0" xfId="2" applyNumberFormat="1" applyFont="1" applyFill="1" applyBorder="1" applyAlignment="1">
      <alignment horizontal="center"/>
    </xf>
    <xf numFmtId="44" fontId="0" fillId="0" borderId="0" xfId="2" applyFont="1" applyFill="1" applyBorder="1" applyAlignment="1"/>
    <xf numFmtId="44" fontId="0" fillId="0" borderId="0" xfId="2" applyFont="1" applyFill="1" applyBorder="1" applyAlignment="1">
      <alignment horizontal="center"/>
    </xf>
    <xf numFmtId="165" fontId="0" fillId="0" borderId="0" xfId="1" applyNumberFormat="1" applyFont="1" applyFill="1" applyBorder="1" applyAlignment="1">
      <alignment horizontal="center"/>
    </xf>
    <xf numFmtId="44" fontId="7" fillId="0" borderId="0" xfId="2" applyFont="1" applyFill="1" applyBorder="1" applyAlignment="1">
      <alignment horizontal="center"/>
    </xf>
    <xf numFmtId="44" fontId="0" fillId="0" borderId="0" xfId="2" applyFont="1" applyFill="1" applyBorder="1"/>
    <xf numFmtId="49" fontId="11" fillId="0" borderId="0" xfId="0" applyNumberFormat="1" applyFont="1" applyAlignment="1">
      <alignment horizontal="center"/>
    </xf>
    <xf numFmtId="169" fontId="11" fillId="0" borderId="0" xfId="2" applyNumberFormat="1" applyFont="1" applyBorder="1" applyAlignment="1">
      <alignment horizontal="center"/>
    </xf>
    <xf numFmtId="0" fontId="6" fillId="4" borderId="0" xfId="0" applyFont="1" applyFill="1" applyAlignment="1">
      <alignment horizontal="center"/>
    </xf>
    <xf numFmtId="49" fontId="10" fillId="4" borderId="0" xfId="0" applyNumberFormat="1" applyFont="1" applyFill="1" applyAlignment="1">
      <alignment horizontal="center"/>
    </xf>
    <xf numFmtId="169" fontId="10" fillId="4" borderId="0" xfId="2" applyNumberFormat="1" applyFont="1" applyFill="1" applyBorder="1" applyAlignment="1">
      <alignment horizontal="center"/>
    </xf>
    <xf numFmtId="0" fontId="0" fillId="4" borderId="0" xfId="0" applyFill="1" applyAlignment="1">
      <alignment horizontal="center"/>
    </xf>
    <xf numFmtId="0" fontId="10" fillId="4" borderId="0" xfId="0" applyFont="1" applyFill="1" applyAlignment="1">
      <alignment horizontal="center"/>
    </xf>
    <xf numFmtId="8" fontId="0" fillId="4" borderId="0" xfId="0" applyNumberFormat="1" applyFill="1" applyAlignment="1">
      <alignment horizontal="center"/>
    </xf>
    <xf numFmtId="1" fontId="0" fillId="4" borderId="0" xfId="0" applyNumberFormat="1" applyFill="1" applyAlignment="1">
      <alignment horizontal="center"/>
    </xf>
    <xf numFmtId="3" fontId="0" fillId="4" borderId="0" xfId="0" applyNumberFormat="1" applyFill="1" applyAlignment="1">
      <alignment horizontal="center"/>
    </xf>
    <xf numFmtId="44" fontId="0" fillId="4" borderId="0" xfId="2" applyFont="1" applyFill="1" applyBorder="1" applyAlignment="1"/>
    <xf numFmtId="44" fontId="0" fillId="4" borderId="0" xfId="2" applyFont="1" applyFill="1" applyBorder="1" applyAlignment="1">
      <alignment horizontal="center"/>
    </xf>
    <xf numFmtId="3" fontId="0" fillId="5" borderId="0" xfId="0" applyNumberFormat="1" applyFill="1" applyAlignment="1">
      <alignment horizontal="center"/>
    </xf>
    <xf numFmtId="165" fontId="0" fillId="4" borderId="0" xfId="1" applyNumberFormat="1" applyFont="1" applyFill="1" applyBorder="1" applyAlignment="1">
      <alignment horizontal="center"/>
    </xf>
    <xf numFmtId="44" fontId="4" fillId="2" borderId="0" xfId="4" applyNumberFormat="1" applyBorder="1" applyAlignment="1">
      <alignment horizontal="center"/>
    </xf>
    <xf numFmtId="0" fontId="0" fillId="4" borderId="0" xfId="0" applyFill="1"/>
    <xf numFmtId="0" fontId="6" fillId="4" borderId="0" xfId="0" applyFont="1" applyFill="1"/>
    <xf numFmtId="0" fontId="6" fillId="0" borderId="1" xfId="0" applyFont="1" applyBorder="1" applyAlignment="1">
      <alignment horizontal="center"/>
    </xf>
    <xf numFmtId="49" fontId="10" fillId="0" borderId="1" xfId="0" applyNumberFormat="1" applyFont="1" applyBorder="1" applyAlignment="1">
      <alignment horizontal="center"/>
    </xf>
    <xf numFmtId="169" fontId="10" fillId="0" borderId="1" xfId="2" applyNumberFormat="1" applyFont="1" applyFill="1" applyBorder="1" applyAlignment="1">
      <alignment horizontal="center"/>
    </xf>
    <xf numFmtId="0" fontId="0" fillId="0" borderId="1" xfId="0" applyBorder="1" applyAlignment="1">
      <alignment horizontal="center"/>
    </xf>
    <xf numFmtId="0" fontId="10" fillId="0" borderId="1" xfId="0" applyFont="1" applyBorder="1" applyAlignment="1">
      <alignment horizontal="center"/>
    </xf>
    <xf numFmtId="8" fontId="0" fillId="0" borderId="1" xfId="0" applyNumberFormat="1" applyBorder="1" applyAlignment="1">
      <alignment horizontal="center"/>
    </xf>
    <xf numFmtId="1" fontId="0" fillId="0" borderId="1" xfId="0" applyNumberFormat="1" applyBorder="1" applyAlignment="1">
      <alignment horizontal="center"/>
    </xf>
    <xf numFmtId="3" fontId="0" fillId="0" borderId="1" xfId="0" applyNumberFormat="1" applyBorder="1" applyAlignment="1">
      <alignment horizontal="center"/>
    </xf>
    <xf numFmtId="44" fontId="0" fillId="0" borderId="1" xfId="2" applyFont="1" applyBorder="1" applyAlignment="1"/>
    <xf numFmtId="44" fontId="0" fillId="0" borderId="1" xfId="2" applyFont="1" applyBorder="1" applyAlignment="1">
      <alignment horizontal="center"/>
    </xf>
    <xf numFmtId="0" fontId="0" fillId="3" borderId="1" xfId="0" applyFill="1" applyBorder="1" applyAlignment="1">
      <alignment horizontal="center"/>
    </xf>
    <xf numFmtId="165" fontId="0" fillId="0" borderId="1" xfId="1" applyNumberFormat="1" applyFont="1" applyFill="1" applyBorder="1" applyAlignment="1">
      <alignment horizontal="center"/>
    </xf>
    <xf numFmtId="44" fontId="7" fillId="0" borderId="1" xfId="2" applyFont="1" applyFill="1" applyBorder="1" applyAlignment="1">
      <alignment horizontal="center"/>
    </xf>
    <xf numFmtId="0" fontId="6" fillId="0" borderId="1" xfId="0" applyFont="1" applyBorder="1"/>
    <xf numFmtId="0" fontId="7" fillId="0" borderId="0" xfId="0" applyFont="1"/>
    <xf numFmtId="10" fontId="7" fillId="6" borderId="0" xfId="3" applyNumberFormat="1" applyFont="1" applyFill="1"/>
    <xf numFmtId="0" fontId="12" fillId="0" borderId="0" xfId="0" applyFont="1"/>
    <xf numFmtId="10" fontId="12" fillId="7" borderId="0" xfId="3" applyNumberFormat="1" applyFont="1" applyFill="1"/>
    <xf numFmtId="0" fontId="2" fillId="0" borderId="0" xfId="0" applyFont="1" applyAlignment="1">
      <alignment horizontal="left"/>
    </xf>
    <xf numFmtId="0" fontId="13" fillId="0" borderId="1" xfId="0" applyFont="1" applyBorder="1" applyAlignment="1">
      <alignment horizontal="center" wrapText="1"/>
    </xf>
    <xf numFmtId="44" fontId="12" fillId="0" borderId="0" xfId="2" applyFont="1" applyBorder="1" applyAlignment="1">
      <alignment horizontal="center"/>
    </xf>
    <xf numFmtId="44" fontId="12" fillId="0" borderId="0" xfId="2" applyFont="1" applyFill="1" applyBorder="1" applyAlignment="1">
      <alignment horizontal="center"/>
    </xf>
    <xf numFmtId="1" fontId="0" fillId="3" borderId="0" xfId="0" applyNumberFormat="1" applyFill="1" applyAlignment="1">
      <alignment horizontal="center"/>
    </xf>
    <xf numFmtId="1" fontId="0" fillId="3" borderId="1" xfId="0" applyNumberFormat="1" applyFill="1" applyBorder="1" applyAlignment="1">
      <alignment horizontal="center"/>
    </xf>
    <xf numFmtId="44" fontId="12" fillId="0" borderId="1" xfId="2" applyFont="1" applyFill="1" applyBorder="1" applyAlignment="1">
      <alignment horizontal="center"/>
    </xf>
    <xf numFmtId="0" fontId="14" fillId="0" borderId="0" xfId="0" applyFont="1"/>
    <xf numFmtId="0" fontId="0" fillId="0" borderId="1" xfId="0" applyBorder="1" applyAlignment="1">
      <alignment horizontal="center" wrapText="1"/>
    </xf>
    <xf numFmtId="0" fontId="15" fillId="0" borderId="0" xfId="0" applyFont="1"/>
    <xf numFmtId="0" fontId="0" fillId="0" borderId="0" xfId="0" applyAlignment="1">
      <alignment horizontal="center" wrapText="1"/>
    </xf>
    <xf numFmtId="44" fontId="16" fillId="0" borderId="0" xfId="2" applyFont="1" applyAlignment="1">
      <alignment horizontal="center"/>
    </xf>
    <xf numFmtId="44" fontId="0" fillId="0" borderId="0" xfId="2" applyFont="1" applyAlignment="1">
      <alignment horizontal="center"/>
    </xf>
    <xf numFmtId="44" fontId="0" fillId="0" borderId="0" xfId="2" applyFont="1"/>
    <xf numFmtId="44" fontId="0" fillId="0" borderId="0" xfId="0" applyNumberFormat="1" applyAlignment="1">
      <alignment horizontal="center"/>
    </xf>
    <xf numFmtId="0" fontId="16" fillId="0" borderId="0" xfId="0" applyFont="1"/>
    <xf numFmtId="169" fontId="16" fillId="0" borderId="0" xfId="2" applyNumberFormat="1" applyFont="1" applyAlignment="1">
      <alignment horizontal="left"/>
    </xf>
    <xf numFmtId="169" fontId="16" fillId="0" borderId="2" xfId="2" applyNumberFormat="1" applyFont="1" applyBorder="1" applyAlignment="1">
      <alignment horizontal="left"/>
    </xf>
    <xf numFmtId="44" fontId="16" fillId="0" borderId="1" xfId="2" applyFont="1" applyBorder="1" applyAlignment="1">
      <alignment horizontal="center"/>
    </xf>
    <xf numFmtId="44" fontId="0" fillId="0" borderId="1" xfId="2" applyFont="1" applyBorder="1"/>
    <xf numFmtId="44" fontId="0" fillId="0" borderId="1" xfId="0" applyNumberFormat="1" applyBorder="1" applyAlignment="1">
      <alignment horizontal="center"/>
    </xf>
    <xf numFmtId="169" fontId="0" fillId="0" borderId="0" xfId="2" applyNumberFormat="1" applyFont="1" applyAlignment="1">
      <alignment horizontal="left"/>
    </xf>
    <xf numFmtId="169" fontId="0" fillId="0" borderId="3" xfId="2" applyNumberFormat="1" applyFont="1" applyBorder="1" applyAlignment="1">
      <alignment horizontal="left"/>
    </xf>
    <xf numFmtId="44" fontId="0" fillId="0" borderId="0" xfId="0" applyNumberFormat="1"/>
    <xf numFmtId="169" fontId="12" fillId="0" borderId="0" xfId="2" applyNumberFormat="1" applyFont="1" applyAlignment="1">
      <alignment horizontal="left"/>
    </xf>
    <xf numFmtId="169" fontId="12" fillId="0" borderId="3" xfId="2" applyNumberFormat="1" applyFont="1" applyBorder="1" applyAlignment="1">
      <alignment horizontal="left"/>
    </xf>
    <xf numFmtId="44" fontId="1" fillId="0" borderId="0" xfId="2" applyFont="1" applyAlignment="1">
      <alignment horizontal="center"/>
    </xf>
    <xf numFmtId="44" fontId="1" fillId="0" borderId="1" xfId="2" applyFont="1" applyBorder="1" applyAlignment="1">
      <alignment horizontal="center"/>
    </xf>
    <xf numFmtId="0" fontId="19"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vertical="center"/>
    </xf>
    <xf numFmtId="0" fontId="24" fillId="0" borderId="0" xfId="5" applyAlignment="1">
      <alignment vertical="center"/>
    </xf>
    <xf numFmtId="0" fontId="0" fillId="0" borderId="0" xfId="0" applyAlignment="1">
      <alignment horizontal="left" vertical="top" wrapText="1"/>
    </xf>
  </cellXfs>
  <cellStyles count="6">
    <cellStyle name="Accent6" xfId="4" builtinId="49"/>
    <cellStyle name="Comma" xfId="1" builtinId="3"/>
    <cellStyle name="Currency" xfId="2" builtinId="4"/>
    <cellStyle name="Hyperlink" xfId="5"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mandyhoward717@gmail.com" TargetMode="External"/><Relationship Id="rId1" Type="http://schemas.openxmlformats.org/officeDocument/2006/relationships/hyperlink" Target="mailto:natalia.juliana.bayona.vasquez@emory.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6D54C-2F82-A545-9909-A30DCA1EFD8D}">
  <dimension ref="A1:A8"/>
  <sheetViews>
    <sheetView workbookViewId="0">
      <selection activeCell="D14" sqref="D14"/>
    </sheetView>
  </sheetViews>
  <sheetFormatPr baseColWidth="10" defaultRowHeight="16"/>
  <sheetData>
    <row r="1" spans="1:1" ht="19">
      <c r="A1" s="97" t="s">
        <v>87</v>
      </c>
    </row>
    <row r="2" spans="1:1" ht="19">
      <c r="A2" s="97"/>
    </row>
    <row r="3" spans="1:1" ht="19">
      <c r="A3" s="97" t="s">
        <v>84</v>
      </c>
    </row>
    <row r="4" spans="1:1">
      <c r="A4" s="98"/>
    </row>
    <row r="5" spans="1:1" ht="19">
      <c r="A5" s="99" t="s">
        <v>85</v>
      </c>
    </row>
    <row r="6" spans="1:1">
      <c r="A6" s="99" t="s">
        <v>86</v>
      </c>
    </row>
    <row r="7" spans="1:1">
      <c r="A7" s="100" t="s">
        <v>82</v>
      </c>
    </row>
    <row r="8" spans="1:1">
      <c r="A8" s="100" t="s">
        <v>83</v>
      </c>
    </row>
  </sheetData>
  <hyperlinks>
    <hyperlink ref="A7" r:id="rId1" display="mailto:natalia.juliana.bayona.vasquez@emory.edu" xr:uid="{7F654E3D-6CA7-2241-B6AE-0E9FD9177571}"/>
    <hyperlink ref="A8" r:id="rId2" display="mailto:mandyhoward717@gmail.com" xr:uid="{6913EF5A-5D9A-004E-88A5-B10E7FCDF05A}"/>
  </hyperlink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06F50-E04A-444C-83A8-AE3D8B8615D1}">
  <dimension ref="A1:Y65"/>
  <sheetViews>
    <sheetView tabSelected="1" workbookViewId="0">
      <selection activeCell="A3" sqref="A3"/>
    </sheetView>
  </sheetViews>
  <sheetFormatPr baseColWidth="10" defaultRowHeight="16"/>
  <cols>
    <col min="1" max="1" width="13.83203125" customWidth="1"/>
    <col min="2" max="2" width="15.1640625" customWidth="1"/>
    <col min="3" max="3" width="20.5" bestFit="1" customWidth="1"/>
    <col min="4" max="4" width="12.33203125" bestFit="1" customWidth="1"/>
    <col min="15" max="15" width="11" bestFit="1" customWidth="1"/>
    <col min="16" max="16" width="10.6640625" customWidth="1"/>
    <col min="17" max="17" width="10.33203125" customWidth="1"/>
    <col min="21" max="21" width="10.83203125" style="2"/>
    <col min="22" max="22" width="12.1640625" customWidth="1"/>
    <col min="23" max="23" width="4.33203125" customWidth="1"/>
    <col min="24" max="24" width="68.5" customWidth="1"/>
  </cols>
  <sheetData>
    <row r="1" spans="1:25">
      <c r="A1" s="101" t="s">
        <v>88</v>
      </c>
      <c r="B1" s="101"/>
      <c r="C1" s="101"/>
      <c r="D1" s="101"/>
      <c r="E1" s="101"/>
      <c r="F1" s="101"/>
      <c r="G1" s="101"/>
      <c r="H1" s="101"/>
      <c r="I1" s="101"/>
      <c r="J1" s="101"/>
      <c r="K1" s="101"/>
      <c r="L1" s="101"/>
      <c r="M1" s="101"/>
      <c r="N1" s="101"/>
      <c r="O1" s="101"/>
      <c r="P1" s="101"/>
      <c r="Q1" s="101"/>
      <c r="R1" s="101"/>
      <c r="S1" s="101"/>
      <c r="T1" s="101"/>
      <c r="U1" s="101"/>
      <c r="V1" s="101"/>
      <c r="W1" s="101"/>
      <c r="X1" s="101"/>
    </row>
    <row r="2" spans="1:25">
      <c r="A2" s="101"/>
      <c r="B2" s="101"/>
      <c r="C2" s="101"/>
      <c r="D2" s="101"/>
      <c r="E2" s="101"/>
      <c r="F2" s="101"/>
      <c r="G2" s="101"/>
      <c r="H2" s="101"/>
      <c r="I2" s="101"/>
      <c r="J2" s="101"/>
      <c r="K2" s="101"/>
      <c r="L2" s="101"/>
      <c r="M2" s="101"/>
      <c r="N2" s="101"/>
      <c r="O2" s="101"/>
      <c r="P2" s="101"/>
      <c r="Q2" s="101"/>
      <c r="R2" s="101"/>
      <c r="S2" s="101"/>
      <c r="T2" s="101"/>
      <c r="U2" s="101"/>
      <c r="V2" s="101"/>
      <c r="W2" s="101"/>
      <c r="X2" s="101"/>
    </row>
    <row r="3" spans="1:25">
      <c r="A3" s="2"/>
      <c r="B3" s="2"/>
      <c r="C3" s="2"/>
      <c r="D3" s="2"/>
      <c r="E3" s="2"/>
      <c r="F3" s="2"/>
      <c r="G3" s="2"/>
      <c r="H3" s="2"/>
      <c r="I3" s="2"/>
      <c r="J3" s="2"/>
      <c r="K3" s="2"/>
      <c r="L3" s="2"/>
      <c r="M3" s="2"/>
      <c r="N3" s="2"/>
      <c r="O3" s="2"/>
      <c r="P3" s="2"/>
      <c r="Q3" s="2"/>
      <c r="R3" s="2"/>
      <c r="S3" s="2"/>
      <c r="T3" s="2"/>
      <c r="V3" s="2"/>
      <c r="W3" s="2"/>
      <c r="X3" s="2"/>
    </row>
    <row r="4" spans="1:25">
      <c r="A4" t="s">
        <v>0</v>
      </c>
    </row>
    <row r="5" spans="1:25" ht="29">
      <c r="A5" s="3" t="s">
        <v>1</v>
      </c>
      <c r="B5" s="3"/>
      <c r="C5" s="4">
        <v>10000000</v>
      </c>
      <c r="D5" s="5" t="s">
        <v>2</v>
      </c>
      <c r="F5" s="6"/>
      <c r="S5" s="7" t="s">
        <v>3</v>
      </c>
      <c r="T5" s="2"/>
    </row>
    <row r="6" spans="1:25" ht="57">
      <c r="A6" s="8" t="s">
        <v>4</v>
      </c>
      <c r="B6" s="8" t="s">
        <v>5</v>
      </c>
      <c r="C6" s="8" t="s">
        <v>6</v>
      </c>
      <c r="D6" s="8" t="s">
        <v>7</v>
      </c>
      <c r="E6" s="9" t="s">
        <v>8</v>
      </c>
      <c r="F6" s="8" t="s">
        <v>9</v>
      </c>
      <c r="G6" s="8" t="s">
        <v>10</v>
      </c>
      <c r="H6" s="8" t="s">
        <v>11</v>
      </c>
      <c r="I6" s="8" t="s">
        <v>12</v>
      </c>
      <c r="J6" s="8" t="s">
        <v>13</v>
      </c>
      <c r="K6" s="8" t="s">
        <v>14</v>
      </c>
      <c r="L6" s="8" t="s">
        <v>15</v>
      </c>
      <c r="M6" s="8" t="s">
        <v>16</v>
      </c>
      <c r="N6" s="8" t="s">
        <v>17</v>
      </c>
      <c r="O6" s="8" t="s">
        <v>18</v>
      </c>
      <c r="P6" s="8" t="s">
        <v>19</v>
      </c>
      <c r="Q6" s="8" t="s">
        <v>20</v>
      </c>
      <c r="R6" s="8" t="s">
        <v>21</v>
      </c>
      <c r="S6" s="10" t="s">
        <v>22</v>
      </c>
      <c r="T6" s="8" t="s">
        <v>23</v>
      </c>
      <c r="U6" s="8" t="s">
        <v>24</v>
      </c>
      <c r="V6" s="11" t="s">
        <v>25</v>
      </c>
      <c r="W6" s="12"/>
      <c r="X6" s="13" t="s">
        <v>26</v>
      </c>
      <c r="Y6" s="12"/>
    </row>
    <row r="7" spans="1:25">
      <c r="A7" s="2" t="s">
        <v>27</v>
      </c>
      <c r="B7" s="14" t="s">
        <v>28</v>
      </c>
      <c r="C7" s="14" t="s">
        <v>29</v>
      </c>
      <c r="D7" s="15" t="s">
        <v>30</v>
      </c>
      <c r="E7" s="16">
        <f>250+619</f>
        <v>869</v>
      </c>
      <c r="F7" s="2" t="s">
        <v>31</v>
      </c>
      <c r="G7" s="14" t="s">
        <v>32</v>
      </c>
      <c r="H7" s="2">
        <v>300</v>
      </c>
      <c r="I7" s="2">
        <v>2</v>
      </c>
      <c r="J7" s="17">
        <f>E7/I7</f>
        <v>434.5</v>
      </c>
      <c r="K7" s="18">
        <v>2</v>
      </c>
      <c r="L7" s="19">
        <f>I7*K7</f>
        <v>4</v>
      </c>
      <c r="M7" s="20">
        <f>ROUND((E7/(L7)),2)</f>
        <v>217.25</v>
      </c>
      <c r="N7" s="2">
        <v>140</v>
      </c>
      <c r="O7" s="19">
        <f>L7*N7</f>
        <v>560</v>
      </c>
      <c r="P7" s="21">
        <f>E7/(O7/1000)</f>
        <v>1551.7857142857142</v>
      </c>
      <c r="Q7" s="19">
        <f>$C$5/1000000</f>
        <v>10</v>
      </c>
      <c r="R7" s="2">
        <f>ROUND((O7/Q7),1)</f>
        <v>56</v>
      </c>
      <c r="S7" s="22">
        <v>2</v>
      </c>
      <c r="T7" s="2">
        <f>ROUND((R7/S7),1)</f>
        <v>28</v>
      </c>
      <c r="U7" s="23">
        <f>ROUND((L7/S7),0)</f>
        <v>2</v>
      </c>
      <c r="V7" s="24">
        <f t="shared" ref="V7:V12" si="0">E7/S7</f>
        <v>434.5</v>
      </c>
      <c r="X7" s="6" t="s">
        <v>33</v>
      </c>
    </row>
    <row r="8" spans="1:25">
      <c r="A8" s="2" t="s">
        <v>27</v>
      </c>
      <c r="B8" s="14" t="s">
        <v>34</v>
      </c>
      <c r="C8" s="14" t="s">
        <v>35</v>
      </c>
      <c r="D8" s="15" t="s">
        <v>30</v>
      </c>
      <c r="E8" s="16">
        <f>359+150</f>
        <v>509</v>
      </c>
      <c r="F8" s="2" t="s">
        <v>31</v>
      </c>
      <c r="G8" s="14" t="s">
        <v>32</v>
      </c>
      <c r="H8" s="2">
        <v>300</v>
      </c>
      <c r="I8" s="2">
        <v>1</v>
      </c>
      <c r="J8" s="17">
        <f t="shared" ref="J8:J11" si="1">E8/I8</f>
        <v>509</v>
      </c>
      <c r="K8" s="18">
        <v>2</v>
      </c>
      <c r="L8" s="19">
        <f t="shared" ref="L8:L12" si="2">I8*K8</f>
        <v>2</v>
      </c>
      <c r="M8" s="20">
        <f t="shared" ref="M8:M12" si="3">ROUND((E8/(L8)),2)</f>
        <v>254.5</v>
      </c>
      <c r="N8" s="2">
        <v>150</v>
      </c>
      <c r="O8" s="19">
        <f t="shared" ref="O8:O12" si="4">L8*N8</f>
        <v>300</v>
      </c>
      <c r="P8" s="21">
        <f t="shared" ref="P8:P12" si="5">E8/(O8/1000)</f>
        <v>1696.6666666666667</v>
      </c>
      <c r="Q8" s="19">
        <f t="shared" ref="Q8:Q12" si="6">$C$5/1000000</f>
        <v>10</v>
      </c>
      <c r="R8" s="2">
        <f t="shared" ref="R8:R11" si="7">ROUND((O8/Q8),1)</f>
        <v>30</v>
      </c>
      <c r="S8" s="22">
        <v>1</v>
      </c>
      <c r="T8" s="2">
        <f t="shared" ref="T8:T11" si="8">ROUND((R8/S8),1)</f>
        <v>30</v>
      </c>
      <c r="U8" s="23">
        <f t="shared" ref="U8:U11" si="9">ROUND((L8/S8),0)</f>
        <v>2</v>
      </c>
      <c r="V8" s="24">
        <f t="shared" si="0"/>
        <v>509</v>
      </c>
      <c r="X8" s="6" t="s">
        <v>33</v>
      </c>
    </row>
    <row r="9" spans="1:25">
      <c r="A9" s="2" t="s">
        <v>27</v>
      </c>
      <c r="B9" s="14" t="s">
        <v>34</v>
      </c>
      <c r="C9" s="14" t="s">
        <v>36</v>
      </c>
      <c r="D9" s="25" t="s">
        <v>30</v>
      </c>
      <c r="E9" s="16">
        <f>1887+150</f>
        <v>2037</v>
      </c>
      <c r="F9" s="2" t="s">
        <v>31</v>
      </c>
      <c r="G9" s="2" t="s">
        <v>37</v>
      </c>
      <c r="H9" s="2">
        <v>600</v>
      </c>
      <c r="I9" s="2">
        <v>25</v>
      </c>
      <c r="J9" s="17">
        <f t="shared" si="1"/>
        <v>81.48</v>
      </c>
      <c r="K9" s="18">
        <v>2</v>
      </c>
      <c r="L9" s="19">
        <f t="shared" si="2"/>
        <v>50</v>
      </c>
      <c r="M9" s="20">
        <f t="shared" si="3"/>
        <v>40.74</v>
      </c>
      <c r="N9" s="2">
        <v>260</v>
      </c>
      <c r="O9" s="19">
        <f t="shared" si="4"/>
        <v>13000</v>
      </c>
      <c r="P9" s="21">
        <f t="shared" si="5"/>
        <v>156.69230769230768</v>
      </c>
      <c r="Q9" s="19">
        <f t="shared" si="6"/>
        <v>10</v>
      </c>
      <c r="R9" s="2">
        <f t="shared" si="7"/>
        <v>1300</v>
      </c>
      <c r="S9" s="22">
        <f>13*5</f>
        <v>65</v>
      </c>
      <c r="T9" s="2">
        <f t="shared" si="8"/>
        <v>20</v>
      </c>
      <c r="U9" s="23">
        <f t="shared" si="9"/>
        <v>1</v>
      </c>
      <c r="V9" s="24">
        <f t="shared" si="0"/>
        <v>31.338461538461537</v>
      </c>
      <c r="X9" s="6" t="s">
        <v>33</v>
      </c>
    </row>
    <row r="10" spans="1:25">
      <c r="A10" s="2" t="s">
        <v>27</v>
      </c>
      <c r="B10" s="2" t="s">
        <v>38</v>
      </c>
      <c r="C10" s="14" t="s">
        <v>39</v>
      </c>
      <c r="D10" s="15" t="s">
        <v>30</v>
      </c>
      <c r="E10" s="16">
        <v>1540</v>
      </c>
      <c r="F10" s="2" t="s">
        <v>31</v>
      </c>
      <c r="G10" s="14" t="s">
        <v>32</v>
      </c>
      <c r="H10" s="2">
        <v>300</v>
      </c>
      <c r="I10" s="2">
        <v>100</v>
      </c>
      <c r="J10" s="17">
        <f t="shared" si="1"/>
        <v>15.4</v>
      </c>
      <c r="K10" s="18">
        <v>2</v>
      </c>
      <c r="L10" s="19">
        <f t="shared" si="2"/>
        <v>200</v>
      </c>
      <c r="M10" s="20">
        <f t="shared" si="3"/>
        <v>7.7</v>
      </c>
      <c r="N10" s="2">
        <v>140</v>
      </c>
      <c r="O10" s="19">
        <f t="shared" si="4"/>
        <v>28000</v>
      </c>
      <c r="P10" s="21">
        <f t="shared" si="5"/>
        <v>55</v>
      </c>
      <c r="Q10" s="19">
        <f t="shared" si="6"/>
        <v>10</v>
      </c>
      <c r="R10" s="2">
        <f t="shared" si="7"/>
        <v>2800</v>
      </c>
      <c r="S10" s="22">
        <f>28*5</f>
        <v>140</v>
      </c>
      <c r="T10" s="2">
        <f t="shared" si="8"/>
        <v>20</v>
      </c>
      <c r="U10" s="23">
        <f t="shared" si="9"/>
        <v>1</v>
      </c>
      <c r="V10" s="24">
        <f t="shared" si="0"/>
        <v>11</v>
      </c>
      <c r="X10" t="s">
        <v>40</v>
      </c>
    </row>
    <row r="11" spans="1:25">
      <c r="A11" s="2" t="s">
        <v>27</v>
      </c>
      <c r="B11" s="2" t="s">
        <v>38</v>
      </c>
      <c r="C11" s="14" t="s">
        <v>41</v>
      </c>
      <c r="D11" s="15" t="s">
        <v>30</v>
      </c>
      <c r="E11" s="16">
        <v>5859</v>
      </c>
      <c r="F11" s="2" t="s">
        <v>31</v>
      </c>
      <c r="G11" s="14" t="s">
        <v>32</v>
      </c>
      <c r="H11" s="2">
        <v>400</v>
      </c>
      <c r="I11" s="2">
        <v>1200</v>
      </c>
      <c r="J11" s="17">
        <f t="shared" si="1"/>
        <v>4.8825000000000003</v>
      </c>
      <c r="K11" s="18">
        <v>2</v>
      </c>
      <c r="L11" s="19">
        <f t="shared" si="2"/>
        <v>2400</v>
      </c>
      <c r="M11" s="20">
        <f t="shared" si="3"/>
        <v>2.44</v>
      </c>
      <c r="N11" s="2">
        <v>140</v>
      </c>
      <c r="O11" s="19">
        <f t="shared" si="4"/>
        <v>336000</v>
      </c>
      <c r="P11" s="21">
        <f t="shared" si="5"/>
        <v>17.4375</v>
      </c>
      <c r="Q11" s="19">
        <f t="shared" si="6"/>
        <v>10</v>
      </c>
      <c r="R11" s="2">
        <f t="shared" si="7"/>
        <v>33600</v>
      </c>
      <c r="S11" s="22">
        <f>336*5</f>
        <v>1680</v>
      </c>
      <c r="T11" s="2">
        <f t="shared" si="8"/>
        <v>20</v>
      </c>
      <c r="U11" s="23">
        <f t="shared" si="9"/>
        <v>1</v>
      </c>
      <c r="V11" s="24">
        <f t="shared" si="0"/>
        <v>3.4874999999999998</v>
      </c>
      <c r="X11" t="s">
        <v>40</v>
      </c>
    </row>
    <row r="12" spans="1:25">
      <c r="A12" s="2" t="s">
        <v>27</v>
      </c>
      <c r="B12" s="14" t="s">
        <v>42</v>
      </c>
      <c r="C12" s="2" t="s">
        <v>43</v>
      </c>
      <c r="D12" s="25" t="s">
        <v>30</v>
      </c>
      <c r="E12" s="16">
        <v>4500</v>
      </c>
      <c r="F12" s="14" t="s">
        <v>44</v>
      </c>
      <c r="G12" s="2" t="s">
        <v>32</v>
      </c>
      <c r="H12" s="2">
        <v>300</v>
      </c>
      <c r="I12" s="26">
        <v>2500</v>
      </c>
      <c r="J12" s="17">
        <f>E12/I12</f>
        <v>1.8</v>
      </c>
      <c r="K12" s="18">
        <v>2</v>
      </c>
      <c r="L12" s="19">
        <f t="shared" si="2"/>
        <v>5000</v>
      </c>
      <c r="M12" s="20">
        <f t="shared" si="3"/>
        <v>0.9</v>
      </c>
      <c r="N12" s="2">
        <v>140</v>
      </c>
      <c r="O12" s="19">
        <f t="shared" si="4"/>
        <v>700000</v>
      </c>
      <c r="P12" s="21">
        <f t="shared" si="5"/>
        <v>6.4285714285714288</v>
      </c>
      <c r="Q12" s="19">
        <f t="shared" si="6"/>
        <v>10</v>
      </c>
      <c r="R12" s="2">
        <f>ROUND((O12/Q12),1)</f>
        <v>70000</v>
      </c>
      <c r="S12" s="22">
        <f>480*7.3</f>
        <v>3504</v>
      </c>
      <c r="T12" s="2">
        <f>ROUND((R12/S12),1)</f>
        <v>20</v>
      </c>
      <c r="U12" s="23">
        <f>ROUND((L12/S12),0)</f>
        <v>1</v>
      </c>
      <c r="V12" s="24">
        <f t="shared" si="0"/>
        <v>1.2842465753424657</v>
      </c>
      <c r="X12" t="s">
        <v>45</v>
      </c>
      <c r="Y12" s="27"/>
    </row>
    <row r="13" spans="1:25">
      <c r="A13" s="14"/>
      <c r="B13" s="14"/>
      <c r="C13" s="14"/>
      <c r="D13" s="15"/>
      <c r="E13" s="28"/>
      <c r="F13" s="14"/>
      <c r="G13" s="14"/>
      <c r="H13" s="2"/>
      <c r="I13" s="26"/>
      <c r="J13" s="17"/>
      <c r="K13" s="18"/>
      <c r="L13" s="19"/>
      <c r="M13" s="29"/>
      <c r="N13" s="2"/>
      <c r="O13" s="19"/>
      <c r="P13" s="30"/>
      <c r="Q13" s="19"/>
      <c r="R13" s="2"/>
      <c r="S13" s="2"/>
      <c r="T13" s="2"/>
      <c r="U13" s="31"/>
      <c r="V13" s="32"/>
      <c r="X13" s="6"/>
      <c r="Y13" s="33"/>
    </row>
    <row r="14" spans="1:25">
      <c r="A14" s="14" t="s">
        <v>27</v>
      </c>
      <c r="B14" s="14" t="s">
        <v>46</v>
      </c>
      <c r="C14" s="14" t="s">
        <v>47</v>
      </c>
      <c r="D14" s="34" t="s">
        <v>48</v>
      </c>
      <c r="E14" s="35">
        <v>1500</v>
      </c>
      <c r="F14" s="14" t="s">
        <v>44</v>
      </c>
      <c r="G14" s="14" t="s">
        <v>32</v>
      </c>
      <c r="H14" s="2">
        <v>300</v>
      </c>
      <c r="I14" s="26">
        <v>800</v>
      </c>
      <c r="J14" s="17">
        <f t="shared" ref="J14:J15" si="10">E14/I14</f>
        <v>1.875</v>
      </c>
      <c r="K14" s="18">
        <v>2</v>
      </c>
      <c r="L14" s="19">
        <f t="shared" ref="L14:L16" si="11">I14*K14</f>
        <v>1600</v>
      </c>
      <c r="M14" s="20">
        <f t="shared" ref="M14:M16" si="12">ROUND((E14/(L14)),2)</f>
        <v>0.94</v>
      </c>
      <c r="N14" s="2">
        <v>150</v>
      </c>
      <c r="O14" s="19">
        <f t="shared" ref="O14:O16" si="13">L14*N14</f>
        <v>240000</v>
      </c>
      <c r="P14" s="21">
        <f t="shared" ref="P14:P16" si="14">E14/(O14/1000)</f>
        <v>6.25</v>
      </c>
      <c r="Q14" s="19">
        <f t="shared" ref="Q14:Q16" si="15">$C$5/1000000</f>
        <v>10</v>
      </c>
      <c r="R14" s="2">
        <f t="shared" ref="R14:R15" si="16">ROUND((O14/Q14),1)</f>
        <v>24000</v>
      </c>
      <c r="S14" s="22">
        <f>480*2.5</f>
        <v>1200</v>
      </c>
      <c r="T14" s="2">
        <f t="shared" ref="T14:T15" si="17">ROUND((R14/S14),1)</f>
        <v>20</v>
      </c>
      <c r="U14" s="23">
        <f t="shared" ref="U14:U15" si="18">ROUND((L14/S14),0)</f>
        <v>1</v>
      </c>
      <c r="V14" s="24">
        <f t="shared" ref="V14:V15" si="19">E14/S14</f>
        <v>1.25</v>
      </c>
      <c r="X14" s="6" t="s">
        <v>49</v>
      </c>
      <c r="Y14" s="27"/>
    </row>
    <row r="15" spans="1:25">
      <c r="A15" s="36" t="s">
        <v>27</v>
      </c>
      <c r="B15" s="36" t="s">
        <v>46</v>
      </c>
      <c r="C15" s="36" t="s">
        <v>50</v>
      </c>
      <c r="D15" s="37" t="s">
        <v>30</v>
      </c>
      <c r="E15" s="38">
        <v>1824</v>
      </c>
      <c r="F15" s="36" t="s">
        <v>44</v>
      </c>
      <c r="G15" s="36" t="s">
        <v>32</v>
      </c>
      <c r="H15" s="39">
        <v>300</v>
      </c>
      <c r="I15" s="40">
        <f t="shared" ref="I15" si="20">10000/8</f>
        <v>1250</v>
      </c>
      <c r="J15" s="41">
        <f t="shared" si="10"/>
        <v>1.4592000000000001</v>
      </c>
      <c r="K15" s="42">
        <v>2</v>
      </c>
      <c r="L15" s="43">
        <f t="shared" si="11"/>
        <v>2500</v>
      </c>
      <c r="M15" s="44">
        <f t="shared" si="12"/>
        <v>0.73</v>
      </c>
      <c r="N15" s="39">
        <v>150</v>
      </c>
      <c r="O15" s="43">
        <f t="shared" si="13"/>
        <v>375000</v>
      </c>
      <c r="P15" s="45">
        <f t="shared" si="14"/>
        <v>4.8639999999999999</v>
      </c>
      <c r="Q15" s="46">
        <f t="shared" si="15"/>
        <v>10</v>
      </c>
      <c r="R15" s="39">
        <f t="shared" si="16"/>
        <v>37500</v>
      </c>
      <c r="S15" s="22">
        <f>480*3.9</f>
        <v>1872</v>
      </c>
      <c r="T15" s="39">
        <f t="shared" si="17"/>
        <v>20</v>
      </c>
      <c r="U15" s="47">
        <f t="shared" si="18"/>
        <v>1</v>
      </c>
      <c r="V15" s="48">
        <f t="shared" si="19"/>
        <v>0.97435897435897434</v>
      </c>
      <c r="W15" s="49"/>
      <c r="X15" s="50" t="s">
        <v>51</v>
      </c>
    </row>
    <row r="16" spans="1:25">
      <c r="A16" s="51" t="s">
        <v>27</v>
      </c>
      <c r="B16" s="51" t="s">
        <v>46</v>
      </c>
      <c r="C16" s="51" t="s">
        <v>52</v>
      </c>
      <c r="D16" s="52" t="s">
        <v>30</v>
      </c>
      <c r="E16" s="53">
        <v>3050</v>
      </c>
      <c r="F16" s="51" t="s">
        <v>44</v>
      </c>
      <c r="G16" s="51" t="s">
        <v>32</v>
      </c>
      <c r="H16" s="54">
        <v>300</v>
      </c>
      <c r="I16" s="55">
        <f>25000/8</f>
        <v>3125</v>
      </c>
      <c r="J16" s="56">
        <f>E16/I16</f>
        <v>0.97599999999999998</v>
      </c>
      <c r="K16" s="57">
        <v>2</v>
      </c>
      <c r="L16" s="58">
        <f t="shared" si="11"/>
        <v>6250</v>
      </c>
      <c r="M16" s="59">
        <f t="shared" si="12"/>
        <v>0.49</v>
      </c>
      <c r="N16" s="54">
        <v>150</v>
      </c>
      <c r="O16" s="58">
        <f t="shared" si="13"/>
        <v>937500</v>
      </c>
      <c r="P16" s="60">
        <f t="shared" si="14"/>
        <v>3.2533333333333334</v>
      </c>
      <c r="Q16" s="58">
        <f t="shared" si="15"/>
        <v>10</v>
      </c>
      <c r="R16" s="54">
        <f>ROUND((O16/Q16),1)</f>
        <v>93750</v>
      </c>
      <c r="S16" s="61">
        <f>480*9.75</f>
        <v>4680</v>
      </c>
      <c r="T16" s="54">
        <f>ROUND((R16/S16),1)</f>
        <v>20</v>
      </c>
      <c r="U16" s="62">
        <f>ROUND((L16/S16),0)</f>
        <v>1</v>
      </c>
      <c r="V16" s="63">
        <f>E16/S16</f>
        <v>0.65170940170940173</v>
      </c>
      <c r="W16" s="1"/>
      <c r="X16" s="64" t="s">
        <v>53</v>
      </c>
      <c r="Y16" s="27"/>
    </row>
    <row r="19" spans="1:25">
      <c r="B19" s="65" t="s">
        <v>54</v>
      </c>
      <c r="C19" s="66">
        <v>1E-3</v>
      </c>
      <c r="D19" s="65" t="s">
        <v>81</v>
      </c>
    </row>
    <row r="20" spans="1:25" ht="29">
      <c r="A20" s="3" t="s">
        <v>55</v>
      </c>
      <c r="B20" s="3"/>
      <c r="C20" s="4">
        <f>C$5/C19</f>
        <v>10000000000</v>
      </c>
      <c r="D20" s="5" t="s">
        <v>2</v>
      </c>
      <c r="F20" s="6"/>
      <c r="S20" s="7" t="s">
        <v>3</v>
      </c>
      <c r="T20" s="2"/>
    </row>
    <row r="21" spans="1:25" ht="57">
      <c r="A21" s="8" t="s">
        <v>4</v>
      </c>
      <c r="B21" s="8" t="s">
        <v>5</v>
      </c>
      <c r="C21" s="8" t="s">
        <v>6</v>
      </c>
      <c r="D21" s="8" t="s">
        <v>7</v>
      </c>
      <c r="E21" s="9" t="s">
        <v>8</v>
      </c>
      <c r="F21" s="8" t="s">
        <v>9</v>
      </c>
      <c r="G21" s="8" t="s">
        <v>10</v>
      </c>
      <c r="H21" s="8" t="s">
        <v>11</v>
      </c>
      <c r="I21" s="8" t="s">
        <v>12</v>
      </c>
      <c r="J21" s="8" t="s">
        <v>13</v>
      </c>
      <c r="K21" s="8" t="s">
        <v>14</v>
      </c>
      <c r="L21" s="8" t="s">
        <v>15</v>
      </c>
      <c r="M21" s="8" t="s">
        <v>16</v>
      </c>
      <c r="N21" s="8" t="s">
        <v>17</v>
      </c>
      <c r="O21" s="8" t="s">
        <v>18</v>
      </c>
      <c r="P21" s="8" t="s">
        <v>19</v>
      </c>
      <c r="Q21" s="8" t="s">
        <v>20</v>
      </c>
      <c r="R21" s="8" t="s">
        <v>21</v>
      </c>
      <c r="S21" s="10" t="s">
        <v>22</v>
      </c>
      <c r="T21" s="8" t="s">
        <v>23</v>
      </c>
      <c r="U21" s="8" t="s">
        <v>24</v>
      </c>
      <c r="V21" s="11" t="s">
        <v>25</v>
      </c>
      <c r="W21" s="12"/>
      <c r="X21" s="13" t="s">
        <v>26</v>
      </c>
      <c r="Y21" s="12"/>
    </row>
    <row r="22" spans="1:25">
      <c r="A22" s="2" t="s">
        <v>27</v>
      </c>
      <c r="B22" s="2" t="s">
        <v>38</v>
      </c>
      <c r="C22" s="14" t="s">
        <v>41</v>
      </c>
      <c r="D22" s="15" t="s">
        <v>30</v>
      </c>
      <c r="E22" s="16">
        <v>5859</v>
      </c>
      <c r="F22" s="2" t="s">
        <v>31</v>
      </c>
      <c r="G22" s="14" t="s">
        <v>32</v>
      </c>
      <c r="H22" s="2">
        <v>400</v>
      </c>
      <c r="I22" s="2">
        <v>1200</v>
      </c>
      <c r="J22" s="17">
        <f t="shared" ref="J22" si="21">E22/I22</f>
        <v>4.8825000000000003</v>
      </c>
      <c r="K22" s="18">
        <v>2</v>
      </c>
      <c r="L22" s="19">
        <f t="shared" ref="L22:L23" si="22">I22*K22</f>
        <v>2400</v>
      </c>
      <c r="M22" s="20">
        <f t="shared" ref="M22:M23" si="23">ROUND((E22/(L22)),2)</f>
        <v>2.44</v>
      </c>
      <c r="N22" s="2">
        <v>140</v>
      </c>
      <c r="O22" s="19">
        <f t="shared" ref="O22:O23" si="24">L22*N22</f>
        <v>336000</v>
      </c>
      <c r="P22" s="21">
        <f t="shared" ref="P22:P23" si="25">E22/(O22/1000)</f>
        <v>17.4375</v>
      </c>
      <c r="Q22" s="19">
        <f t="shared" ref="Q22:Q23" si="26">$C$20/1000000</f>
        <v>10000</v>
      </c>
      <c r="R22" s="2">
        <f t="shared" ref="R22" si="27">ROUND((O22/Q22),1)</f>
        <v>33.6</v>
      </c>
      <c r="S22" s="22">
        <v>2</v>
      </c>
      <c r="T22" s="2">
        <f t="shared" ref="T22" si="28">ROUND((R22/S22),1)</f>
        <v>16.8</v>
      </c>
      <c r="U22" s="23">
        <f t="shared" ref="U22" si="29">ROUND((L22/S22),0)</f>
        <v>1200</v>
      </c>
      <c r="V22" s="24">
        <f t="shared" ref="V22:V23" si="30">E22/S22</f>
        <v>2929.5</v>
      </c>
      <c r="X22" t="s">
        <v>40</v>
      </c>
    </row>
    <row r="23" spans="1:25">
      <c r="A23" s="2" t="s">
        <v>27</v>
      </c>
      <c r="B23" s="14" t="s">
        <v>42</v>
      </c>
      <c r="C23" s="2" t="s">
        <v>43</v>
      </c>
      <c r="D23" s="25" t="s">
        <v>30</v>
      </c>
      <c r="E23" s="16">
        <v>4500</v>
      </c>
      <c r="F23" s="14" t="s">
        <v>44</v>
      </c>
      <c r="G23" s="2" t="s">
        <v>32</v>
      </c>
      <c r="H23" s="2">
        <v>300</v>
      </c>
      <c r="I23" s="26">
        <v>2500</v>
      </c>
      <c r="J23" s="17">
        <f>E23/I23</f>
        <v>1.8</v>
      </c>
      <c r="K23" s="18">
        <v>2</v>
      </c>
      <c r="L23" s="19">
        <f t="shared" si="22"/>
        <v>5000</v>
      </c>
      <c r="M23" s="20">
        <f t="shared" si="23"/>
        <v>0.9</v>
      </c>
      <c r="N23" s="2">
        <v>140</v>
      </c>
      <c r="O23" s="19">
        <f t="shared" si="24"/>
        <v>700000</v>
      </c>
      <c r="P23" s="21">
        <f t="shared" si="25"/>
        <v>6.4285714285714288</v>
      </c>
      <c r="Q23" s="19">
        <f t="shared" si="26"/>
        <v>10000</v>
      </c>
      <c r="R23" s="2">
        <f>ROUND((O23/Q23),1)</f>
        <v>70</v>
      </c>
      <c r="S23" s="22">
        <v>3</v>
      </c>
      <c r="T23" s="2">
        <f>ROUND((R23/S23),1)</f>
        <v>23.3</v>
      </c>
      <c r="U23" s="23">
        <f>ROUND((L23/S23),0)</f>
        <v>1667</v>
      </c>
      <c r="V23" s="24">
        <f t="shared" si="30"/>
        <v>1500</v>
      </c>
      <c r="X23" t="s">
        <v>45</v>
      </c>
      <c r="Y23" s="27"/>
    </row>
    <row r="24" spans="1:25">
      <c r="A24" s="14"/>
      <c r="B24" s="14"/>
      <c r="C24" s="14"/>
      <c r="D24" s="15"/>
      <c r="E24" s="28"/>
      <c r="F24" s="14"/>
      <c r="G24" s="14"/>
      <c r="H24" s="2"/>
      <c r="I24" s="26"/>
      <c r="J24" s="17"/>
      <c r="K24" s="18"/>
      <c r="L24" s="19"/>
      <c r="M24" s="29"/>
      <c r="N24" s="2"/>
      <c r="O24" s="19"/>
      <c r="P24" s="30"/>
      <c r="Q24" s="19"/>
      <c r="R24" s="2"/>
      <c r="S24" s="2"/>
      <c r="T24" s="2"/>
      <c r="U24" s="31"/>
      <c r="V24" s="32"/>
      <c r="X24" s="6"/>
      <c r="Y24" s="33"/>
    </row>
    <row r="25" spans="1:25">
      <c r="A25" s="14" t="s">
        <v>27</v>
      </c>
      <c r="B25" s="14" t="s">
        <v>46</v>
      </c>
      <c r="C25" s="14" t="s">
        <v>47</v>
      </c>
      <c r="D25" s="34" t="s">
        <v>48</v>
      </c>
      <c r="E25" s="35">
        <v>1500</v>
      </c>
      <c r="F25" s="14" t="s">
        <v>44</v>
      </c>
      <c r="G25" s="14" t="s">
        <v>32</v>
      </c>
      <c r="H25" s="2">
        <v>300</v>
      </c>
      <c r="I25" s="26">
        <v>800</v>
      </c>
      <c r="J25" s="17">
        <f t="shared" ref="J25:J26" si="31">E25/I25</f>
        <v>1.875</v>
      </c>
      <c r="K25" s="18">
        <v>2</v>
      </c>
      <c r="L25" s="19">
        <f t="shared" ref="L25:L27" si="32">I25*K25</f>
        <v>1600</v>
      </c>
      <c r="M25" s="20">
        <f t="shared" ref="M25:M27" si="33">ROUND((E25/(L25)),2)</f>
        <v>0.94</v>
      </c>
      <c r="N25" s="2">
        <v>150</v>
      </c>
      <c r="O25" s="19">
        <f t="shared" ref="O25:O27" si="34">L25*N25</f>
        <v>240000</v>
      </c>
      <c r="P25" s="21">
        <f t="shared" ref="P25:P27" si="35">E25/(O25/1000)</f>
        <v>6.25</v>
      </c>
      <c r="Q25" s="19">
        <f t="shared" ref="Q25:Q27" si="36">$C$20/1000000</f>
        <v>10000</v>
      </c>
      <c r="R25" s="2">
        <f t="shared" ref="R25:R26" si="37">ROUND((O25/Q25),1)</f>
        <v>24</v>
      </c>
      <c r="S25" s="22">
        <v>1</v>
      </c>
      <c r="T25" s="2">
        <f t="shared" ref="T25:T26" si="38">ROUND((R25/S25),1)</f>
        <v>24</v>
      </c>
      <c r="U25" s="23">
        <f t="shared" ref="U25:U26" si="39">ROUND((L25/S25),0)</f>
        <v>1600</v>
      </c>
      <c r="V25" s="24">
        <f t="shared" ref="V25:V26" si="40">E25/S25</f>
        <v>1500</v>
      </c>
      <c r="X25" s="6" t="s">
        <v>49</v>
      </c>
      <c r="Y25" s="27"/>
    </row>
    <row r="26" spans="1:25">
      <c r="A26" s="36" t="s">
        <v>27</v>
      </c>
      <c r="B26" s="36" t="s">
        <v>46</v>
      </c>
      <c r="C26" s="36" t="s">
        <v>50</v>
      </c>
      <c r="D26" s="37" t="s">
        <v>30</v>
      </c>
      <c r="E26" s="38">
        <v>1824</v>
      </c>
      <c r="F26" s="36" t="s">
        <v>44</v>
      </c>
      <c r="G26" s="36" t="s">
        <v>32</v>
      </c>
      <c r="H26" s="39">
        <v>300</v>
      </c>
      <c r="I26" s="40">
        <f t="shared" ref="I26" si="41">10000/8</f>
        <v>1250</v>
      </c>
      <c r="J26" s="41">
        <f t="shared" si="31"/>
        <v>1.4592000000000001</v>
      </c>
      <c r="K26" s="42">
        <v>2</v>
      </c>
      <c r="L26" s="43">
        <f t="shared" si="32"/>
        <v>2500</v>
      </c>
      <c r="M26" s="44">
        <f t="shared" si="33"/>
        <v>0.73</v>
      </c>
      <c r="N26" s="39">
        <v>150</v>
      </c>
      <c r="O26" s="43">
        <f t="shared" si="34"/>
        <v>375000</v>
      </c>
      <c r="P26" s="45">
        <f t="shared" si="35"/>
        <v>4.8639999999999999</v>
      </c>
      <c r="Q26" s="46">
        <f t="shared" si="36"/>
        <v>10000</v>
      </c>
      <c r="R26" s="39">
        <f t="shared" si="37"/>
        <v>37.5</v>
      </c>
      <c r="S26" s="22">
        <v>2</v>
      </c>
      <c r="T26" s="39">
        <f t="shared" si="38"/>
        <v>18.8</v>
      </c>
      <c r="U26" s="47">
        <f t="shared" si="39"/>
        <v>1250</v>
      </c>
      <c r="V26" s="48">
        <f t="shared" si="40"/>
        <v>912</v>
      </c>
      <c r="W26" s="49"/>
      <c r="X26" s="50" t="s">
        <v>51</v>
      </c>
    </row>
    <row r="27" spans="1:25">
      <c r="A27" s="51" t="s">
        <v>27</v>
      </c>
      <c r="B27" s="51" t="s">
        <v>46</v>
      </c>
      <c r="C27" s="51" t="s">
        <v>52</v>
      </c>
      <c r="D27" s="52" t="s">
        <v>30</v>
      </c>
      <c r="E27" s="53">
        <v>3050</v>
      </c>
      <c r="F27" s="51" t="s">
        <v>44</v>
      </c>
      <c r="G27" s="51" t="s">
        <v>32</v>
      </c>
      <c r="H27" s="54">
        <v>300</v>
      </c>
      <c r="I27" s="55">
        <f>25000/8</f>
        <v>3125</v>
      </c>
      <c r="J27" s="56">
        <f>E27/I27</f>
        <v>0.97599999999999998</v>
      </c>
      <c r="K27" s="57">
        <v>2</v>
      </c>
      <c r="L27" s="58">
        <f t="shared" si="32"/>
        <v>6250</v>
      </c>
      <c r="M27" s="59">
        <f t="shared" si="33"/>
        <v>0.49</v>
      </c>
      <c r="N27" s="54">
        <v>150</v>
      </c>
      <c r="O27" s="58">
        <f t="shared" si="34"/>
        <v>937500</v>
      </c>
      <c r="P27" s="60">
        <f t="shared" si="35"/>
        <v>3.2533333333333334</v>
      </c>
      <c r="Q27" s="58">
        <f t="shared" si="36"/>
        <v>10000</v>
      </c>
      <c r="R27" s="54">
        <f>ROUND((O27/Q27),1)</f>
        <v>93.8</v>
      </c>
      <c r="S27" s="61">
        <v>4</v>
      </c>
      <c r="T27" s="54">
        <f>ROUND((R27/S27),1)</f>
        <v>23.5</v>
      </c>
      <c r="U27" s="62">
        <f>ROUND((L27/S27),0)</f>
        <v>1563</v>
      </c>
      <c r="V27" s="63">
        <f>E27/S27</f>
        <v>762.5</v>
      </c>
      <c r="W27" s="1"/>
      <c r="X27" s="64" t="s">
        <v>53</v>
      </c>
      <c r="Y27" s="27"/>
    </row>
    <row r="30" spans="1:25">
      <c r="B30" s="67" t="s">
        <v>54</v>
      </c>
      <c r="C30" s="68">
        <v>0.1</v>
      </c>
      <c r="D30" s="67" t="s">
        <v>80</v>
      </c>
    </row>
    <row r="31" spans="1:25" ht="29">
      <c r="A31" s="3" t="s">
        <v>55</v>
      </c>
      <c r="B31" s="3"/>
      <c r="C31" s="4">
        <f>C$5/C30</f>
        <v>100000000</v>
      </c>
      <c r="D31" s="5" t="s">
        <v>2</v>
      </c>
      <c r="F31" s="6"/>
      <c r="S31" s="69" t="s">
        <v>56</v>
      </c>
      <c r="T31" s="2"/>
    </row>
    <row r="32" spans="1:25" ht="57">
      <c r="A32" s="8" t="s">
        <v>4</v>
      </c>
      <c r="B32" s="8" t="s">
        <v>5</v>
      </c>
      <c r="C32" s="8" t="s">
        <v>6</v>
      </c>
      <c r="D32" s="8" t="s">
        <v>7</v>
      </c>
      <c r="E32" s="9" t="s">
        <v>8</v>
      </c>
      <c r="F32" s="8" t="s">
        <v>9</v>
      </c>
      <c r="G32" s="8" t="s">
        <v>10</v>
      </c>
      <c r="H32" s="8" t="s">
        <v>11</v>
      </c>
      <c r="I32" s="8" t="s">
        <v>12</v>
      </c>
      <c r="J32" s="8" t="s">
        <v>13</v>
      </c>
      <c r="K32" s="8" t="s">
        <v>14</v>
      </c>
      <c r="L32" s="8" t="s">
        <v>15</v>
      </c>
      <c r="M32" s="8" t="s">
        <v>16</v>
      </c>
      <c r="N32" s="8" t="s">
        <v>17</v>
      </c>
      <c r="O32" s="8" t="s">
        <v>18</v>
      </c>
      <c r="P32" s="8" t="s">
        <v>19</v>
      </c>
      <c r="Q32" s="8" t="s">
        <v>20</v>
      </c>
      <c r="R32" s="8" t="s">
        <v>21</v>
      </c>
      <c r="S32" s="10" t="s">
        <v>22</v>
      </c>
      <c r="T32" s="8" t="s">
        <v>23</v>
      </c>
      <c r="U32" s="8" t="s">
        <v>24</v>
      </c>
      <c r="V32" s="70" t="s">
        <v>57</v>
      </c>
      <c r="W32" s="12"/>
      <c r="X32" s="13" t="s">
        <v>26</v>
      </c>
      <c r="Y32" s="12"/>
    </row>
    <row r="33" spans="1:25">
      <c r="A33" s="2" t="s">
        <v>27</v>
      </c>
      <c r="B33" s="2" t="s">
        <v>38</v>
      </c>
      <c r="C33" s="14" t="s">
        <v>41</v>
      </c>
      <c r="D33" s="15" t="s">
        <v>30</v>
      </c>
      <c r="E33" s="16">
        <v>5859</v>
      </c>
      <c r="F33" s="2" t="s">
        <v>31</v>
      </c>
      <c r="G33" s="14" t="s">
        <v>32</v>
      </c>
      <c r="H33" s="2">
        <v>400</v>
      </c>
      <c r="I33" s="2">
        <v>1200</v>
      </c>
      <c r="J33" s="17">
        <f t="shared" ref="J33" si="42">E33/I33</f>
        <v>4.8825000000000003</v>
      </c>
      <c r="K33" s="18">
        <v>2</v>
      </c>
      <c r="L33" s="19">
        <f t="shared" ref="L33:L34" si="43">I33*K33</f>
        <v>2400</v>
      </c>
      <c r="M33" s="20">
        <f t="shared" ref="M33:M34" si="44">ROUND((E33/(L33)),2)</f>
        <v>2.44</v>
      </c>
      <c r="N33" s="2">
        <v>140</v>
      </c>
      <c r="O33" s="19">
        <f t="shared" ref="O33:O34" si="45">L33*N33</f>
        <v>336000</v>
      </c>
      <c r="P33" s="21">
        <f t="shared" ref="P33:P34" si="46">E33/(O33/1000)</f>
        <v>17.4375</v>
      </c>
      <c r="Q33" s="19">
        <f>$C$31/1000000</f>
        <v>100</v>
      </c>
      <c r="R33" s="2">
        <f t="shared" ref="R33" si="47">ROUND((O33/Q33),1)</f>
        <v>3360</v>
      </c>
      <c r="S33" s="22">
        <f>3360/20</f>
        <v>168</v>
      </c>
      <c r="T33" s="2">
        <f t="shared" ref="T33" si="48">ROUND((R33/S33),1)</f>
        <v>20</v>
      </c>
      <c r="U33" s="23">
        <f t="shared" ref="U33" si="49">ROUND((L33/S33),0)</f>
        <v>14</v>
      </c>
      <c r="V33" s="71">
        <f t="shared" ref="V33:V34" si="50">E33/S33</f>
        <v>34.875</v>
      </c>
      <c r="X33" t="s">
        <v>40</v>
      </c>
    </row>
    <row r="34" spans="1:25">
      <c r="A34" s="2" t="s">
        <v>27</v>
      </c>
      <c r="B34" s="14" t="s">
        <v>42</v>
      </c>
      <c r="C34" s="2" t="s">
        <v>43</v>
      </c>
      <c r="D34" s="25" t="s">
        <v>30</v>
      </c>
      <c r="E34" s="16">
        <v>4500</v>
      </c>
      <c r="F34" s="14" t="s">
        <v>44</v>
      </c>
      <c r="G34" s="2" t="s">
        <v>32</v>
      </c>
      <c r="H34" s="2">
        <v>300</v>
      </c>
      <c r="I34" s="26">
        <v>2500</v>
      </c>
      <c r="J34" s="17">
        <f>E34/I34</f>
        <v>1.8</v>
      </c>
      <c r="K34" s="18">
        <v>2</v>
      </c>
      <c r="L34" s="19">
        <f t="shared" si="43"/>
        <v>5000</v>
      </c>
      <c r="M34" s="20">
        <f t="shared" si="44"/>
        <v>0.9</v>
      </c>
      <c r="N34" s="2">
        <v>140</v>
      </c>
      <c r="O34" s="19">
        <f t="shared" si="45"/>
        <v>700000</v>
      </c>
      <c r="P34" s="21">
        <f t="shared" si="46"/>
        <v>6.4285714285714288</v>
      </c>
      <c r="Q34" s="19">
        <f>$C$31/1000000</f>
        <v>100</v>
      </c>
      <c r="R34" s="2">
        <f>ROUND((O34/Q34),1)</f>
        <v>7000</v>
      </c>
      <c r="S34" s="22">
        <f>7000/20</f>
        <v>350</v>
      </c>
      <c r="T34" s="2">
        <f>ROUND((R34/S34),1)</f>
        <v>20</v>
      </c>
      <c r="U34" s="23">
        <f>ROUND((L34/S34),0)</f>
        <v>14</v>
      </c>
      <c r="V34" s="71">
        <f t="shared" si="50"/>
        <v>12.857142857142858</v>
      </c>
      <c r="X34" t="s">
        <v>45</v>
      </c>
      <c r="Y34" s="27"/>
    </row>
    <row r="35" spans="1:25">
      <c r="A35" s="14"/>
      <c r="B35" s="14"/>
      <c r="C35" s="14"/>
      <c r="D35" s="15"/>
      <c r="E35" s="28"/>
      <c r="F35" s="14"/>
      <c r="G35" s="14"/>
      <c r="H35" s="2"/>
      <c r="I35" s="26"/>
      <c r="J35" s="17"/>
      <c r="K35" s="18"/>
      <c r="L35" s="19"/>
      <c r="M35" s="29"/>
      <c r="N35" s="2"/>
      <c r="O35" s="19"/>
      <c r="P35" s="30"/>
      <c r="Q35" s="19"/>
      <c r="R35" s="2"/>
      <c r="S35" s="2"/>
      <c r="T35" s="2"/>
      <c r="U35" s="31"/>
      <c r="V35" s="72"/>
      <c r="X35" s="6"/>
      <c r="Y35" s="33"/>
    </row>
    <row r="36" spans="1:25">
      <c r="A36" s="14" t="s">
        <v>27</v>
      </c>
      <c r="B36" s="14" t="s">
        <v>46</v>
      </c>
      <c r="C36" s="14" t="s">
        <v>47</v>
      </c>
      <c r="D36" s="34" t="s">
        <v>48</v>
      </c>
      <c r="E36" s="35">
        <v>1500</v>
      </c>
      <c r="F36" s="14" t="s">
        <v>44</v>
      </c>
      <c r="G36" s="14" t="s">
        <v>32</v>
      </c>
      <c r="H36" s="2">
        <v>300</v>
      </c>
      <c r="I36" s="26">
        <v>800</v>
      </c>
      <c r="J36" s="17">
        <f t="shared" ref="J36:J37" si="51">E36/I36</f>
        <v>1.875</v>
      </c>
      <c r="K36" s="18">
        <v>2</v>
      </c>
      <c r="L36" s="19">
        <f t="shared" ref="L36:L38" si="52">I36*K36</f>
        <v>1600</v>
      </c>
      <c r="M36" s="20">
        <f t="shared" ref="M36:M38" si="53">ROUND((E36/(L36)),2)</f>
        <v>0.94</v>
      </c>
      <c r="N36" s="2">
        <v>150</v>
      </c>
      <c r="O36" s="19">
        <f t="shared" ref="O36:O38" si="54">L36*N36</f>
        <v>240000</v>
      </c>
      <c r="P36" s="21">
        <f t="shared" ref="P36:P38" si="55">E36/(O36/1000)</f>
        <v>6.25</v>
      </c>
      <c r="Q36" s="19">
        <f t="shared" ref="Q36:Q38" si="56">$C$31/1000000</f>
        <v>100</v>
      </c>
      <c r="R36" s="2">
        <f t="shared" ref="R36:R37" si="57">ROUND((O36/Q36),1)</f>
        <v>2400</v>
      </c>
      <c r="S36" s="22">
        <f>2400/20</f>
        <v>120</v>
      </c>
      <c r="T36" s="2">
        <f t="shared" ref="T36:T37" si="58">ROUND((R36/S36),1)</f>
        <v>20</v>
      </c>
      <c r="U36" s="23">
        <f t="shared" ref="U36:U37" si="59">ROUND((L36/S36),0)</f>
        <v>13</v>
      </c>
      <c r="V36" s="71">
        <f t="shared" ref="V36:V37" si="60">E36/S36</f>
        <v>12.5</v>
      </c>
      <c r="X36" s="6" t="s">
        <v>49</v>
      </c>
      <c r="Y36" s="27"/>
    </row>
    <row r="37" spans="1:25">
      <c r="A37" s="36" t="s">
        <v>27</v>
      </c>
      <c r="B37" s="36" t="s">
        <v>46</v>
      </c>
      <c r="C37" s="36" t="s">
        <v>50</v>
      </c>
      <c r="D37" s="37" t="s">
        <v>30</v>
      </c>
      <c r="E37" s="38">
        <v>1824</v>
      </c>
      <c r="F37" s="36" t="s">
        <v>44</v>
      </c>
      <c r="G37" s="36" t="s">
        <v>32</v>
      </c>
      <c r="H37" s="39">
        <v>300</v>
      </c>
      <c r="I37" s="40">
        <f t="shared" ref="I37" si="61">10000/8</f>
        <v>1250</v>
      </c>
      <c r="J37" s="41">
        <f t="shared" si="51"/>
        <v>1.4592000000000001</v>
      </c>
      <c r="K37" s="42">
        <v>2</v>
      </c>
      <c r="L37" s="43">
        <f t="shared" si="52"/>
        <v>2500</v>
      </c>
      <c r="M37" s="44">
        <f t="shared" si="53"/>
        <v>0.73</v>
      </c>
      <c r="N37" s="39">
        <v>150</v>
      </c>
      <c r="O37" s="43">
        <f t="shared" si="54"/>
        <v>375000</v>
      </c>
      <c r="P37" s="45">
        <f t="shared" si="55"/>
        <v>4.8639999999999999</v>
      </c>
      <c r="Q37" s="46">
        <f t="shared" si="56"/>
        <v>100</v>
      </c>
      <c r="R37" s="39">
        <f t="shared" si="57"/>
        <v>3750</v>
      </c>
      <c r="S37" s="73">
        <f>3750/20</f>
        <v>187.5</v>
      </c>
      <c r="T37" s="39">
        <f t="shared" si="58"/>
        <v>20</v>
      </c>
      <c r="U37" s="47">
        <f t="shared" si="59"/>
        <v>13</v>
      </c>
      <c r="V37" s="48">
        <f t="shared" si="60"/>
        <v>9.7279999999999998</v>
      </c>
      <c r="W37" s="49"/>
      <c r="X37" s="50" t="s">
        <v>51</v>
      </c>
    </row>
    <row r="38" spans="1:25">
      <c r="A38" s="51" t="s">
        <v>27</v>
      </c>
      <c r="B38" s="51" t="s">
        <v>46</v>
      </c>
      <c r="C38" s="51" t="s">
        <v>52</v>
      </c>
      <c r="D38" s="52" t="s">
        <v>30</v>
      </c>
      <c r="E38" s="53">
        <v>3050</v>
      </c>
      <c r="F38" s="51" t="s">
        <v>44</v>
      </c>
      <c r="G38" s="51" t="s">
        <v>32</v>
      </c>
      <c r="H38" s="54">
        <v>300</v>
      </c>
      <c r="I38" s="55">
        <f>25000/8</f>
        <v>3125</v>
      </c>
      <c r="J38" s="56">
        <f>E38/I38</f>
        <v>0.97599999999999998</v>
      </c>
      <c r="K38" s="57">
        <v>2</v>
      </c>
      <c r="L38" s="58">
        <f t="shared" si="52"/>
        <v>6250</v>
      </c>
      <c r="M38" s="59">
        <f t="shared" si="53"/>
        <v>0.49</v>
      </c>
      <c r="N38" s="54">
        <v>150</v>
      </c>
      <c r="O38" s="58">
        <f t="shared" si="54"/>
        <v>937500</v>
      </c>
      <c r="P38" s="60">
        <f t="shared" si="55"/>
        <v>3.2533333333333334</v>
      </c>
      <c r="Q38" s="58">
        <f t="shared" si="56"/>
        <v>100</v>
      </c>
      <c r="R38" s="54">
        <f>ROUND((O38/Q38),1)</f>
        <v>9375</v>
      </c>
      <c r="S38" s="74">
        <f>9375/20</f>
        <v>468.75</v>
      </c>
      <c r="T38" s="54">
        <f>ROUND((R38/S38),1)</f>
        <v>20</v>
      </c>
      <c r="U38" s="62">
        <f>ROUND((L38/S38),0)</f>
        <v>13</v>
      </c>
      <c r="V38" s="75">
        <f>E38/S38</f>
        <v>6.5066666666666668</v>
      </c>
      <c r="W38" s="1"/>
      <c r="X38" s="64" t="s">
        <v>53</v>
      </c>
      <c r="Y38" s="27"/>
    </row>
    <row r="42" spans="1:25" ht="21">
      <c r="A42" s="76" t="s">
        <v>58</v>
      </c>
    </row>
    <row r="43" spans="1:25" ht="34">
      <c r="B43" s="77" t="s">
        <v>59</v>
      </c>
      <c r="C43" s="77" t="s">
        <v>60</v>
      </c>
      <c r="D43" s="77" t="s">
        <v>61</v>
      </c>
      <c r="E43" s="77" t="s">
        <v>62</v>
      </c>
      <c r="F43" s="77" t="s">
        <v>63</v>
      </c>
      <c r="G43" s="77" t="s">
        <v>64</v>
      </c>
      <c r="H43" s="77" t="s">
        <v>65</v>
      </c>
      <c r="I43" s="77" t="s">
        <v>66</v>
      </c>
      <c r="J43" s="77" t="s">
        <v>67</v>
      </c>
      <c r="O43" s="77" t="s">
        <v>68</v>
      </c>
      <c r="P43" s="77" t="s">
        <v>69</v>
      </c>
      <c r="Q43" s="77" t="s">
        <v>70</v>
      </c>
    </row>
    <row r="44" spans="1:25" ht="18">
      <c r="A44" s="78" t="s">
        <v>71</v>
      </c>
      <c r="B44" s="79"/>
      <c r="C44" s="79"/>
      <c r="D44" s="79"/>
      <c r="E44" s="79"/>
      <c r="F44" s="79"/>
      <c r="G44" s="79"/>
      <c r="H44" s="79"/>
      <c r="I44" s="79"/>
      <c r="J44" s="79"/>
      <c r="O44" s="79"/>
      <c r="P44" s="79"/>
      <c r="Q44" s="79"/>
    </row>
    <row r="45" spans="1:25">
      <c r="A45" t="s">
        <v>72</v>
      </c>
      <c r="B45" s="80">
        <v>18000</v>
      </c>
      <c r="C45" s="2">
        <v>96</v>
      </c>
      <c r="D45" s="2">
        <v>4</v>
      </c>
      <c r="E45" s="2">
        <f>C45*D45</f>
        <v>384</v>
      </c>
      <c r="F45" s="81">
        <f>B45/E45</f>
        <v>46.875</v>
      </c>
      <c r="G45" s="81">
        <v>10</v>
      </c>
      <c r="H45" s="82">
        <f>F45+G45</f>
        <v>56.875</v>
      </c>
      <c r="I45" s="2">
        <v>8</v>
      </c>
      <c r="J45" s="83">
        <f>H45/I45</f>
        <v>7.109375</v>
      </c>
      <c r="M45" s="84" t="s">
        <v>73</v>
      </c>
      <c r="N45" s="84"/>
      <c r="O45" s="85">
        <v>0</v>
      </c>
      <c r="P45" s="85">
        <v>1</v>
      </c>
      <c r="Q45" s="86">
        <f>O45+P45</f>
        <v>1</v>
      </c>
    </row>
    <row r="46" spans="1:25">
      <c r="A46" s="1" t="s">
        <v>74</v>
      </c>
      <c r="B46" s="87">
        <v>18000</v>
      </c>
      <c r="C46" s="54">
        <v>96</v>
      </c>
      <c r="D46" s="54">
        <v>4</v>
      </c>
      <c r="E46" s="54">
        <f>C46*D46</f>
        <v>384</v>
      </c>
      <c r="F46" s="60">
        <f>B46/E46</f>
        <v>46.875</v>
      </c>
      <c r="G46" s="60">
        <v>10</v>
      </c>
      <c r="H46" s="88">
        <f>F46+G46</f>
        <v>56.875</v>
      </c>
      <c r="I46" s="54">
        <v>48</v>
      </c>
      <c r="J46" s="89">
        <f>H46/I46</f>
        <v>1.1848958333333333</v>
      </c>
      <c r="M46" t="s">
        <v>75</v>
      </c>
      <c r="O46" s="90">
        <v>0</v>
      </c>
      <c r="P46" s="90">
        <v>1000</v>
      </c>
      <c r="Q46" s="91">
        <f t="shared" ref="Q46:Q47" si="62">O46+P46</f>
        <v>1000</v>
      </c>
    </row>
    <row r="47" spans="1:25">
      <c r="A47" t="s">
        <v>76</v>
      </c>
      <c r="B47" s="81"/>
      <c r="C47" s="2"/>
      <c r="D47" s="2"/>
      <c r="E47" s="2"/>
      <c r="F47" s="2"/>
      <c r="G47" s="81"/>
      <c r="H47" s="81"/>
      <c r="J47" s="92">
        <f>SUM(J45:J46)</f>
        <v>8.2942708333333339</v>
      </c>
      <c r="M47" s="67" t="s">
        <v>75</v>
      </c>
      <c r="N47" s="67"/>
      <c r="O47" s="93">
        <v>10</v>
      </c>
      <c r="P47" s="93">
        <v>10</v>
      </c>
      <c r="Q47" s="94">
        <f t="shared" si="62"/>
        <v>20</v>
      </c>
    </row>
    <row r="50" spans="1:10" ht="18">
      <c r="A50" s="78" t="s">
        <v>77</v>
      </c>
      <c r="B50" s="79"/>
      <c r="C50" s="79"/>
      <c r="D50" s="79"/>
      <c r="E50" s="79"/>
      <c r="F50" s="79"/>
      <c r="G50" s="79"/>
      <c r="H50" s="79"/>
      <c r="I50" s="79"/>
      <c r="J50" s="79"/>
    </row>
    <row r="51" spans="1:10">
      <c r="A51" t="s">
        <v>72</v>
      </c>
      <c r="B51" s="95">
        <v>1500</v>
      </c>
      <c r="C51" s="2">
        <v>8</v>
      </c>
      <c r="D51" s="2">
        <v>4</v>
      </c>
      <c r="E51" s="2">
        <f>C51*D51</f>
        <v>32</v>
      </c>
      <c r="F51" s="81">
        <f>B51/E51</f>
        <v>46.875</v>
      </c>
      <c r="G51" s="81">
        <v>10</v>
      </c>
      <c r="H51" s="82">
        <f>F51+G51</f>
        <v>56.875</v>
      </c>
      <c r="I51" s="2">
        <v>8</v>
      </c>
      <c r="J51" s="83">
        <f>H51/I51</f>
        <v>7.109375</v>
      </c>
    </row>
    <row r="52" spans="1:10">
      <c r="A52" s="1" t="s">
        <v>74</v>
      </c>
      <c r="B52" s="96">
        <v>1500</v>
      </c>
      <c r="C52" s="54">
        <v>8</v>
      </c>
      <c r="D52" s="54">
        <v>4</v>
      </c>
      <c r="E52" s="54">
        <f>C52*D52</f>
        <v>32</v>
      </c>
      <c r="F52" s="60">
        <f>B52/E52</f>
        <v>46.875</v>
      </c>
      <c r="G52" s="60">
        <v>10</v>
      </c>
      <c r="H52" s="88">
        <f>F52+G52</f>
        <v>56.875</v>
      </c>
      <c r="I52" s="54">
        <v>48</v>
      </c>
      <c r="J52" s="89">
        <f>H52/I52</f>
        <v>1.1848958333333333</v>
      </c>
    </row>
    <row r="53" spans="1:10">
      <c r="A53" t="s">
        <v>76</v>
      </c>
      <c r="B53" s="81"/>
      <c r="C53" s="2"/>
      <c r="D53" s="2"/>
      <c r="E53" s="2"/>
      <c r="F53" s="2"/>
      <c r="G53" s="81"/>
      <c r="H53" s="81"/>
      <c r="J53" s="92">
        <f>SUM(J51:J52)</f>
        <v>8.2942708333333339</v>
      </c>
    </row>
    <row r="56" spans="1:10" ht="18">
      <c r="A56" s="78" t="s">
        <v>78</v>
      </c>
      <c r="B56" s="79"/>
      <c r="C56" s="79"/>
      <c r="D56" s="79"/>
      <c r="E56" s="79"/>
      <c r="F56" s="79"/>
      <c r="G56" s="79"/>
      <c r="H56" s="79"/>
      <c r="I56" s="79"/>
      <c r="J56" s="79"/>
    </row>
    <row r="57" spans="1:10">
      <c r="A57" t="s">
        <v>72</v>
      </c>
      <c r="B57" s="95">
        <v>5000</v>
      </c>
      <c r="C57" s="2">
        <v>48</v>
      </c>
      <c r="D57" s="2">
        <v>4</v>
      </c>
      <c r="E57" s="2">
        <f>C57*D57</f>
        <v>192</v>
      </c>
      <c r="F57" s="81">
        <f>B57/E57</f>
        <v>26.041666666666668</v>
      </c>
      <c r="G57" s="81">
        <v>10</v>
      </c>
      <c r="H57" s="82">
        <f>F57+G57</f>
        <v>36.041666666666671</v>
      </c>
      <c r="I57" s="2">
        <v>8</v>
      </c>
      <c r="J57" s="83">
        <f>H57/I57</f>
        <v>4.5052083333333339</v>
      </c>
    </row>
    <row r="58" spans="1:10">
      <c r="A58" s="1" t="s">
        <v>74</v>
      </c>
      <c r="B58" s="96">
        <v>5000</v>
      </c>
      <c r="C58" s="54">
        <v>48</v>
      </c>
      <c r="D58" s="54">
        <v>4</v>
      </c>
      <c r="E58" s="54">
        <f>C58*D58</f>
        <v>192</v>
      </c>
      <c r="F58" s="60">
        <f>B58/E58</f>
        <v>26.041666666666668</v>
      </c>
      <c r="G58" s="60">
        <v>10</v>
      </c>
      <c r="H58" s="88">
        <f>F58+G58</f>
        <v>36.041666666666671</v>
      </c>
      <c r="I58" s="54">
        <v>48</v>
      </c>
      <c r="J58" s="89">
        <f>H58/I58</f>
        <v>0.75086805555555569</v>
      </c>
    </row>
    <row r="59" spans="1:10">
      <c r="A59" t="s">
        <v>76</v>
      </c>
      <c r="B59" s="81"/>
      <c r="C59" s="2"/>
      <c r="D59" s="2"/>
      <c r="E59" s="2"/>
      <c r="F59" s="2"/>
      <c r="G59" s="81"/>
      <c r="H59" s="81"/>
      <c r="J59" s="92">
        <f>SUM(J57:J58)</f>
        <v>5.2560763888888893</v>
      </c>
    </row>
    <row r="62" spans="1:10" ht="18">
      <c r="A62" s="78" t="s">
        <v>79</v>
      </c>
      <c r="B62" s="79"/>
      <c r="C62" s="79"/>
      <c r="D62" s="79"/>
      <c r="E62" s="79"/>
      <c r="F62" s="79"/>
      <c r="G62" s="79"/>
      <c r="H62" s="79"/>
      <c r="I62" s="79"/>
      <c r="J62" s="79"/>
    </row>
    <row r="63" spans="1:10">
      <c r="A63" t="s">
        <v>72</v>
      </c>
      <c r="B63" s="95">
        <v>7500</v>
      </c>
      <c r="C63" s="2">
        <v>96</v>
      </c>
      <c r="D63" s="2">
        <v>4</v>
      </c>
      <c r="E63" s="2">
        <f>C63*D63</f>
        <v>384</v>
      </c>
      <c r="F63" s="81">
        <f>B63/E63</f>
        <v>19.53125</v>
      </c>
      <c r="G63" s="81">
        <v>10</v>
      </c>
      <c r="H63" s="82">
        <f>F63+G63</f>
        <v>29.53125</v>
      </c>
      <c r="I63" s="2">
        <v>8</v>
      </c>
      <c r="J63" s="83">
        <f>H63/I63</f>
        <v>3.69140625</v>
      </c>
    </row>
    <row r="64" spans="1:10">
      <c r="A64" s="1" t="s">
        <v>74</v>
      </c>
      <c r="B64" s="96">
        <v>7500</v>
      </c>
      <c r="C64" s="54">
        <v>96</v>
      </c>
      <c r="D64" s="54">
        <v>4</v>
      </c>
      <c r="E64" s="54">
        <f>C64*D64</f>
        <v>384</v>
      </c>
      <c r="F64" s="60">
        <f>B64/E64</f>
        <v>19.53125</v>
      </c>
      <c r="G64" s="60">
        <v>10</v>
      </c>
      <c r="H64" s="88">
        <f>F64+G64</f>
        <v>29.53125</v>
      </c>
      <c r="I64" s="54">
        <v>48</v>
      </c>
      <c r="J64" s="89">
        <f>H64/I64</f>
        <v>0.615234375</v>
      </c>
    </row>
    <row r="65" spans="1:10">
      <c r="A65" t="s">
        <v>76</v>
      </c>
      <c r="B65" s="81"/>
      <c r="C65" s="2"/>
      <c r="D65" s="2"/>
      <c r="E65" s="2"/>
      <c r="F65" s="2"/>
      <c r="G65" s="81"/>
      <c r="H65" s="81"/>
      <c r="J65" s="92">
        <f>SUM(J63:J64)</f>
        <v>4.306640625</v>
      </c>
    </row>
  </sheetData>
  <mergeCells count="1">
    <mergeCell ref="A1:X2"/>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Supplementary_Data_10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 Vasquez, Natalia</dc:creator>
  <cp:lastModifiedBy>Bayona Vasquez, Natalia</cp:lastModifiedBy>
  <cp:lastPrinted>2026-06-24T01:25:51Z</cp:lastPrinted>
  <dcterms:created xsi:type="dcterms:W3CDTF">2023-08-01T21:56:13Z</dcterms:created>
  <dcterms:modified xsi:type="dcterms:W3CDTF">2026-06-29T16:39:28Z</dcterms:modified>
</cp:coreProperties>
</file>