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.sharepoint.com/sites/bor-ResSed/Shared Documents/General/Ecklandetal_Nature/Revision2_NatComm/"/>
    </mc:Choice>
  </mc:AlternateContent>
  <xr:revisionPtr revIDLastSave="1789" documentId="11_674FC284E792FADE97222FE6DEFFC58102435FB1" xr6:coauthVersionLast="47" xr6:coauthVersionMax="47" xr10:uidLastSave="{B281493B-928E-4249-AA8A-5D4375080465}"/>
  <bookViews>
    <workbookView xWindow="1120" yWindow="780" windowWidth="34820" windowHeight="196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" i="1" l="1"/>
  <c r="O7" i="1"/>
  <c r="I7" i="1"/>
  <c r="J7" i="1" s="1"/>
  <c r="G7" i="1"/>
  <c r="K7" i="1" s="1"/>
  <c r="R12" i="1"/>
  <c r="O12" i="1"/>
  <c r="S12" i="1" s="1"/>
  <c r="I12" i="1"/>
  <c r="J12" i="1" s="1"/>
  <c r="G12" i="1"/>
  <c r="K12" i="1" s="1"/>
  <c r="Q11" i="1"/>
  <c r="R11" i="1" s="1"/>
  <c r="O11" i="1"/>
  <c r="F11" i="1"/>
  <c r="E11" i="1"/>
  <c r="I11" i="1"/>
  <c r="J11" i="1" s="1"/>
  <c r="F5" i="1"/>
  <c r="E5" i="1"/>
  <c r="I5" i="1"/>
  <c r="R5" i="1"/>
  <c r="Q8" i="1"/>
  <c r="R8" i="1" s="1"/>
  <c r="O8" i="1"/>
  <c r="Q10" i="1"/>
  <c r="R10" i="1" s="1"/>
  <c r="O10" i="1"/>
  <c r="Q6" i="1"/>
  <c r="R6" i="1" s="1"/>
  <c r="I9" i="1"/>
  <c r="J9" i="1" s="1"/>
  <c r="F9" i="1"/>
  <c r="E9" i="1"/>
  <c r="N9" i="1"/>
  <c r="M9" i="1"/>
  <c r="P9" i="1"/>
  <c r="Q9" i="1" s="1"/>
  <c r="R9" i="1" s="1"/>
  <c r="O6" i="1"/>
  <c r="O5" i="1"/>
  <c r="S5" i="1" s="1"/>
  <c r="F10" i="1"/>
  <c r="E10" i="1"/>
  <c r="I10" i="1"/>
  <c r="J10" i="1" s="1"/>
  <c r="I8" i="1"/>
  <c r="F6" i="1"/>
  <c r="E6" i="1"/>
  <c r="I6" i="1"/>
  <c r="J6" i="1" s="1"/>
  <c r="J5" i="1"/>
  <c r="J8" i="1"/>
  <c r="F8" i="1"/>
  <c r="E8" i="1"/>
  <c r="U12" i="1" l="1"/>
  <c r="T11" i="1"/>
  <c r="T9" i="1"/>
  <c r="U6" i="1"/>
  <c r="S11" i="1"/>
  <c r="U11" i="1"/>
  <c r="G11" i="1"/>
  <c r="K11" i="1" s="1"/>
  <c r="S7" i="1"/>
  <c r="U7" i="1"/>
  <c r="T7" i="1"/>
  <c r="T12" i="1"/>
  <c r="T8" i="1"/>
  <c r="T10" i="1"/>
  <c r="U5" i="1"/>
  <c r="T5" i="1"/>
  <c r="S8" i="1"/>
  <c r="U8" i="1"/>
  <c r="T6" i="1"/>
  <c r="U10" i="1"/>
  <c r="S10" i="1"/>
  <c r="S6" i="1"/>
  <c r="O9" i="1"/>
  <c r="U9" i="1" s="1"/>
  <c r="G5" i="1"/>
  <c r="K5" i="1" s="1"/>
  <c r="G9" i="1"/>
  <c r="K9" i="1" s="1"/>
  <c r="G10" i="1"/>
  <c r="K10" i="1" s="1"/>
  <c r="G6" i="1"/>
  <c r="K6" i="1" s="1"/>
  <c r="G8" i="1"/>
  <c r="K8" i="1" s="1"/>
  <c r="S9" i="1" l="1"/>
</calcChain>
</file>

<file path=xl/sharedStrings.xml><?xml version="1.0" encoding="utf-8"?>
<sst xmlns="http://schemas.openxmlformats.org/spreadsheetml/2006/main" count="116" uniqueCount="71">
  <si>
    <t>Delta Name</t>
  </si>
  <si>
    <t>Mississippi</t>
  </si>
  <si>
    <t>Mobile</t>
  </si>
  <si>
    <t>Brazos</t>
  </si>
  <si>
    <t>-</t>
  </si>
  <si>
    <t>Meade &amp; Parker, 1985</t>
  </si>
  <si>
    <t>Rio Grande</t>
  </si>
  <si>
    <t>Colorado</t>
  </si>
  <si>
    <t>Curtis et al., 1973</t>
  </si>
  <si>
    <t>1966-1969</t>
  </si>
  <si>
    <t>Apalachicola</t>
  </si>
  <si>
    <t>1952-1964</t>
  </si>
  <si>
    <t>Nueces</t>
  </si>
  <si>
    <t>Historic sediment flux source</t>
  </si>
  <si>
    <t>Outlet</t>
  </si>
  <si>
    <t>Mexico</t>
  </si>
  <si>
    <t>Pacific</t>
  </si>
  <si>
    <t>Gulf</t>
  </si>
  <si>
    <t>Historic</t>
  </si>
  <si>
    <t xml:space="preserve">Modern  </t>
  </si>
  <si>
    <t>2000-2008</t>
  </si>
  <si>
    <t>1942-1948</t>
  </si>
  <si>
    <t>Modern sediment flux source</t>
  </si>
  <si>
    <t>Ockerman &amp; Heitmuller, 2010</t>
  </si>
  <si>
    <t>1993-1999</t>
  </si>
  <si>
    <t>Windom &amp; Palmer, 2023</t>
  </si>
  <si>
    <t>Carriquiry et al., 2011</t>
  </si>
  <si>
    <t>1925-1940</t>
  </si>
  <si>
    <t>Carbajal et al., 2020</t>
  </si>
  <si>
    <t>Columbia</t>
  </si>
  <si>
    <t>Spahn et al. 2009</t>
  </si>
  <si>
    <t>Meade &amp; Moody, 2010</t>
  </si>
  <si>
    <t>Spahn et al. 2009; Milliman &amp; Meade, 1983</t>
  </si>
  <si>
    <t>%</t>
  </si>
  <si>
    <t>M m3 yr-1</t>
  </si>
  <si>
    <t>M short tons yr-1</t>
  </si>
  <si>
    <t>Year(s)</t>
  </si>
  <si>
    <t>M metric tons yr-1</t>
  </si>
  <si>
    <t>Unit:</t>
  </si>
  <si>
    <t>Definition:</t>
  </si>
  <si>
    <t>Sum of Ased / Sum area at delta</t>
  </si>
  <si>
    <t>Same parameter as in Table 1</t>
  </si>
  <si>
    <t>Taken from literature (sources to the right)</t>
  </si>
  <si>
    <t>(-)</t>
  </si>
  <si>
    <t>Metrics</t>
  </si>
  <si>
    <t>KEY:</t>
  </si>
  <si>
    <t>Green = INCREASE</t>
  </si>
  <si>
    <t>Red = DECREASE</t>
  </si>
  <si>
    <t>Delta Resnet #-Name</t>
  </si>
  <si>
    <t>Black = APPROX NO CHANGE</t>
  </si>
  <si>
    <t>Column F / E</t>
  </si>
  <si>
    <t>Column H, converted to metric units</t>
  </si>
  <si>
    <t>Column I, converted to volumetric flux using bulk density of 960 kg m-3</t>
  </si>
  <si>
    <t>Columns G- F</t>
  </si>
  <si>
    <t>Column N / M</t>
  </si>
  <si>
    <t>Column P, converted to metric units</t>
  </si>
  <si>
    <t>Column Q, converted to volumetric flux using bulk density of 960 kg m-3</t>
  </si>
  <si>
    <t>Columns O - N</t>
  </si>
  <si>
    <t>Column R / J</t>
  </si>
  <si>
    <t>Column O / J</t>
  </si>
  <si>
    <t>Fraction of upstream basin trapped (RATTES)</t>
  </si>
  <si>
    <t>Upstream basin sed. Rate (RATTES)</t>
  </si>
  <si>
    <t>Extrapolated total basin sed. Rate (RATTES)</t>
  </si>
  <si>
    <t>Estimated sediment flux to coast (RATTES)</t>
  </si>
  <si>
    <t>Measured sediment flux to coast (Ref. Column Y)</t>
  </si>
  <si>
    <t>Measured sediment flux to coast (Ref. Column X)</t>
  </si>
  <si>
    <t>Measured sediment flux to coast  (Ref. Column X)</t>
  </si>
  <si>
    <t>References for Historic Sediment Flux</t>
  </si>
  <si>
    <t>References for Modern Sediment Flux</t>
  </si>
  <si>
    <t>Modern-to-historic measured coastal sediment flux ratio (Ref. Column Y &amp; X)</t>
  </si>
  <si>
    <t>Extrapolated whole-basin sedimentation rate to historic measured coastal sediment flux ratio (RATTES &amp; Ref. Column 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</si>
</sst>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right" vertical="center"/>
    </xf>
    <xf numFmtId="164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wrapText="1"/>
    </xf>
    <xf numFmtId="0" fontId="1" fillId="0" borderId="3" xfId="0" applyFont="1" applyBorder="1"/>
    <xf numFmtId="0" fontId="1" fillId="0" borderId="5" xfId="0" applyFont="1" applyBorder="1"/>
    <xf numFmtId="164" fontId="1" fillId="0" borderId="3" xfId="0" applyNumberFormat="1" applyFont="1" applyBorder="1"/>
    <xf numFmtId="0" fontId="1" fillId="0" borderId="3" xfId="0" applyFont="1" applyBorder="1" applyAlignment="1">
      <alignment horizontal="center"/>
    </xf>
    <xf numFmtId="2" fontId="4" fillId="0" borderId="1" xfId="0" applyNumberFormat="1" applyFont="1" applyBorder="1"/>
    <xf numFmtId="2" fontId="5" fillId="0" borderId="2" xfId="0" applyNumberFormat="1" applyFont="1" applyBorder="1"/>
    <xf numFmtId="2" fontId="3" fillId="0" borderId="1" xfId="0" applyNumberFormat="1" applyFont="1" applyBorder="1"/>
    <xf numFmtId="2" fontId="4" fillId="0" borderId="2" xfId="0" applyNumberFormat="1" applyFont="1" applyBorder="1"/>
    <xf numFmtId="2" fontId="4" fillId="0" borderId="5" xfId="0" applyNumberFormat="1" applyFont="1" applyBorder="1"/>
    <xf numFmtId="0" fontId="1" fillId="0" borderId="0" xfId="0" applyFont="1" applyAlignment="1">
      <alignment wrapText="1"/>
    </xf>
    <xf numFmtId="0" fontId="1" fillId="0" borderId="5" xfId="0" applyFont="1" applyBorder="1" applyAlignment="1">
      <alignment wrapText="1"/>
    </xf>
    <xf numFmtId="0" fontId="1" fillId="0" borderId="3" xfId="0" applyFont="1" applyBorder="1" applyAlignment="1">
      <alignment wrapText="1"/>
    </xf>
    <xf numFmtId="165" fontId="1" fillId="0" borderId="0" xfId="0" applyNumberFormat="1" applyFont="1"/>
    <xf numFmtId="165" fontId="1" fillId="0" borderId="3" xfId="0" applyNumberFormat="1" applyFont="1" applyBorder="1"/>
    <xf numFmtId="164" fontId="1" fillId="0" borderId="0" xfId="0" quotePrefix="1" applyNumberFormat="1" applyFont="1"/>
    <xf numFmtId="164" fontId="1" fillId="0" borderId="0" xfId="0" applyNumberFormat="1" applyFont="1" applyAlignment="1">
      <alignment horizontal="right"/>
    </xf>
    <xf numFmtId="164" fontId="1" fillId="0" borderId="2" xfId="0" applyNumberFormat="1" applyFont="1" applyBorder="1"/>
    <xf numFmtId="164" fontId="1" fillId="0" borderId="4" xfId="0" applyNumberFormat="1" applyFont="1" applyBorder="1"/>
    <xf numFmtId="0" fontId="1" fillId="0" borderId="10" xfId="0" applyFont="1" applyBorder="1"/>
    <xf numFmtId="0" fontId="1" fillId="0" borderId="7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2" fontId="3" fillId="0" borderId="2" xfId="0" applyNumberFormat="1" applyFont="1" applyBorder="1"/>
    <xf numFmtId="2" fontId="5" fillId="0" borderId="4" xfId="0" applyNumberFormat="1" applyFont="1" applyBorder="1"/>
    <xf numFmtId="0" fontId="6" fillId="0" borderId="10" xfId="0" applyFont="1" applyBorder="1"/>
    <xf numFmtId="0" fontId="5" fillId="0" borderId="6" xfId="0" applyFont="1" applyBorder="1"/>
    <xf numFmtId="0" fontId="4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5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"/>
  <sheetViews>
    <sheetView tabSelected="1" workbookViewId="0">
      <selection activeCell="W19" sqref="W19"/>
    </sheetView>
  </sheetViews>
  <sheetFormatPr baseColWidth="10" defaultColWidth="8.83203125" defaultRowHeight="15" x14ac:dyDescent="0.2"/>
  <cols>
    <col min="1" max="1" width="11.33203125" customWidth="1"/>
    <col min="2" max="2" width="8.83203125" customWidth="1"/>
    <col min="3" max="3" width="8.1640625" customWidth="1"/>
    <col min="4" max="4" width="9.83203125" bestFit="1" customWidth="1"/>
    <col min="5" max="5" width="10.5" customWidth="1"/>
    <col min="6" max="6" width="11.6640625" customWidth="1"/>
    <col min="7" max="7" width="12.5" customWidth="1"/>
    <col min="8" max="8" width="11.5" customWidth="1"/>
    <col min="9" max="9" width="11.33203125" customWidth="1"/>
    <col min="10" max="10" width="12.83203125" customWidth="1"/>
    <col min="11" max="11" width="12.5" customWidth="1"/>
    <col min="12" max="12" width="10.5" customWidth="1"/>
    <col min="13" max="13" width="10.6640625" customWidth="1"/>
    <col min="14" max="14" width="11.5" customWidth="1"/>
    <col min="15" max="15" width="12.83203125" customWidth="1"/>
    <col min="16" max="16" width="11.33203125" customWidth="1"/>
    <col min="17" max="17" width="11.6640625" customWidth="1"/>
    <col min="18" max="18" width="12.5" customWidth="1"/>
    <col min="19" max="19" width="13" customWidth="1"/>
    <col min="20" max="20" width="19" customWidth="1"/>
    <col min="21" max="21" width="25.6640625" bestFit="1" customWidth="1"/>
    <col min="22" max="22" width="20.1640625" customWidth="1"/>
    <col min="23" max="23" width="23.33203125" customWidth="1"/>
    <col min="24" max="24" width="30.5" bestFit="1" customWidth="1"/>
    <col min="25" max="25" width="34.33203125" bestFit="1" customWidth="1"/>
  </cols>
  <sheetData>
    <row r="1" spans="1:23" ht="32" x14ac:dyDescent="0.2">
      <c r="A1" s="47"/>
      <c r="B1" s="47"/>
      <c r="C1" s="47"/>
      <c r="D1" s="35" t="s">
        <v>18</v>
      </c>
      <c r="E1" s="36"/>
      <c r="F1" s="36"/>
      <c r="G1" s="36"/>
      <c r="H1" s="36"/>
      <c r="I1" s="36"/>
      <c r="J1" s="36"/>
      <c r="K1" s="37"/>
      <c r="L1" s="35" t="s">
        <v>19</v>
      </c>
      <c r="M1" s="36"/>
      <c r="N1" s="36"/>
      <c r="O1" s="36"/>
      <c r="P1" s="36"/>
      <c r="Q1" s="36"/>
      <c r="R1" s="36"/>
      <c r="S1" s="37"/>
      <c r="T1" s="35" t="s">
        <v>44</v>
      </c>
      <c r="U1" s="37"/>
      <c r="V1" s="57" t="s">
        <v>67</v>
      </c>
      <c r="W1" s="58" t="s">
        <v>68</v>
      </c>
    </row>
    <row r="2" spans="1:23" ht="85" x14ac:dyDescent="0.2">
      <c r="A2" s="38" t="s">
        <v>0</v>
      </c>
      <c r="B2" s="44" t="s">
        <v>48</v>
      </c>
      <c r="C2" s="41" t="s">
        <v>14</v>
      </c>
      <c r="D2" s="31" t="s">
        <v>36</v>
      </c>
      <c r="E2" s="32" t="s">
        <v>60</v>
      </c>
      <c r="F2" s="32" t="s">
        <v>61</v>
      </c>
      <c r="G2" s="32" t="s">
        <v>62</v>
      </c>
      <c r="H2" s="32" t="s">
        <v>65</v>
      </c>
      <c r="I2" s="32" t="s">
        <v>66</v>
      </c>
      <c r="J2" s="32" t="s">
        <v>65</v>
      </c>
      <c r="K2" s="32" t="s">
        <v>63</v>
      </c>
      <c r="L2" s="33" t="s">
        <v>36</v>
      </c>
      <c r="M2" s="32" t="s">
        <v>60</v>
      </c>
      <c r="N2" s="32" t="s">
        <v>61</v>
      </c>
      <c r="O2" s="32" t="s">
        <v>62</v>
      </c>
      <c r="P2" s="32" t="s">
        <v>64</v>
      </c>
      <c r="Q2" s="32" t="s">
        <v>64</v>
      </c>
      <c r="R2" s="32" t="s">
        <v>64</v>
      </c>
      <c r="S2" s="12" t="s">
        <v>63</v>
      </c>
      <c r="T2" s="33" t="s">
        <v>69</v>
      </c>
      <c r="U2" s="12" t="s">
        <v>70</v>
      </c>
      <c r="V2" s="55"/>
      <c r="W2" s="59"/>
    </row>
    <row r="3" spans="1:23" ht="34" x14ac:dyDescent="0.2">
      <c r="A3" s="39"/>
      <c r="B3" s="45"/>
      <c r="C3" s="42"/>
      <c r="D3" s="2" t="s">
        <v>38</v>
      </c>
      <c r="E3" s="22" t="s">
        <v>33</v>
      </c>
      <c r="F3" s="22" t="s">
        <v>34</v>
      </c>
      <c r="G3" s="22" t="s">
        <v>34</v>
      </c>
      <c r="H3" s="22" t="s">
        <v>35</v>
      </c>
      <c r="I3" s="22" t="s">
        <v>37</v>
      </c>
      <c r="J3" s="22" t="s">
        <v>34</v>
      </c>
      <c r="K3" s="22" t="s">
        <v>34</v>
      </c>
      <c r="L3" s="3" t="s">
        <v>38</v>
      </c>
      <c r="M3" s="22" t="s">
        <v>33</v>
      </c>
      <c r="N3" s="22" t="s">
        <v>34</v>
      </c>
      <c r="O3" s="22" t="s">
        <v>34</v>
      </c>
      <c r="P3" s="22" t="s">
        <v>35</v>
      </c>
      <c r="Q3" s="22" t="s">
        <v>37</v>
      </c>
      <c r="R3" s="22" t="s">
        <v>34</v>
      </c>
      <c r="S3" s="4" t="s">
        <v>34</v>
      </c>
      <c r="T3" s="3" t="s">
        <v>43</v>
      </c>
      <c r="U3" s="4" t="s">
        <v>43</v>
      </c>
      <c r="V3" s="56"/>
      <c r="W3" s="60"/>
    </row>
    <row r="4" spans="1:23" ht="102" x14ac:dyDescent="0.2">
      <c r="A4" s="40"/>
      <c r="B4" s="46"/>
      <c r="C4" s="43"/>
      <c r="D4" s="14" t="s">
        <v>39</v>
      </c>
      <c r="E4" s="24" t="s">
        <v>40</v>
      </c>
      <c r="F4" s="24" t="s">
        <v>41</v>
      </c>
      <c r="G4" s="24" t="s">
        <v>50</v>
      </c>
      <c r="H4" s="24" t="s">
        <v>42</v>
      </c>
      <c r="I4" s="24" t="s">
        <v>51</v>
      </c>
      <c r="J4" s="24" t="s">
        <v>52</v>
      </c>
      <c r="K4" s="24" t="s">
        <v>53</v>
      </c>
      <c r="L4" s="23" t="s">
        <v>39</v>
      </c>
      <c r="M4" s="24" t="s">
        <v>40</v>
      </c>
      <c r="N4" s="24" t="s">
        <v>41</v>
      </c>
      <c r="O4" s="24" t="s">
        <v>54</v>
      </c>
      <c r="P4" s="24" t="s">
        <v>42</v>
      </c>
      <c r="Q4" s="24" t="s">
        <v>55</v>
      </c>
      <c r="R4" s="24" t="s">
        <v>56</v>
      </c>
      <c r="S4" s="34" t="s">
        <v>57</v>
      </c>
      <c r="T4" s="23" t="s">
        <v>58</v>
      </c>
      <c r="U4" s="34" t="s">
        <v>59</v>
      </c>
      <c r="V4" s="54" t="s">
        <v>13</v>
      </c>
      <c r="W4" s="61" t="s">
        <v>22</v>
      </c>
    </row>
    <row r="5" spans="1:23" ht="16" x14ac:dyDescent="0.2">
      <c r="A5" s="1" t="s">
        <v>10</v>
      </c>
      <c r="B5" s="1">
        <v>8</v>
      </c>
      <c r="C5" s="1" t="s">
        <v>17</v>
      </c>
      <c r="D5" s="8" t="s">
        <v>24</v>
      </c>
      <c r="E5" s="25">
        <f>AVERAGE(79.34661992%, 79.34449648%, 79.31250593%, 79.28221339%, 79.24910895%, 79.23953386%, 79.20623731%)</f>
        <v>0.79282959405714293</v>
      </c>
      <c r="F5" s="6">
        <f>AVERAGE(11.27147207, 11.22730628, 11.21860948, 11.19293372, 11.19055543, 11.17454103, 11.17559906)</f>
        <v>11.207288152857142</v>
      </c>
      <c r="G5" s="6">
        <f>F5/E5</f>
        <v>14.135809557140952</v>
      </c>
      <c r="H5" s="9" t="s">
        <v>4</v>
      </c>
      <c r="I5" s="6">
        <f>738000/1000000</f>
        <v>0.73799999999999999</v>
      </c>
      <c r="J5" s="6">
        <f>(I5)*(1000)*(1/960)</f>
        <v>0.76875000000000004</v>
      </c>
      <c r="K5" s="6">
        <f>G5-F5</f>
        <v>2.9285214042838099</v>
      </c>
      <c r="L5" s="2">
        <v>2025</v>
      </c>
      <c r="M5" s="25">
        <v>0.78313117064345406</v>
      </c>
      <c r="N5" s="6">
        <v>10.9931409601128</v>
      </c>
      <c r="O5" s="6">
        <f>N5/M5</f>
        <v>14.037419748061319</v>
      </c>
      <c r="P5" s="10" t="s">
        <v>4</v>
      </c>
      <c r="Q5" s="6">
        <v>0.53100000000000003</v>
      </c>
      <c r="R5" s="6">
        <f>(Q5)*(1000)*(1/960)</f>
        <v>0.55312499999999998</v>
      </c>
      <c r="S5" s="29">
        <f>O5-N5</f>
        <v>3.0442787879485191</v>
      </c>
      <c r="T5" s="17">
        <f>R5/J5</f>
        <v>0.71951219512195119</v>
      </c>
      <c r="U5" s="18">
        <f t="shared" ref="U5:U12" si="0">O5/J5</f>
        <v>18.260058208860251</v>
      </c>
      <c r="V5" s="62" t="s">
        <v>25</v>
      </c>
      <c r="W5" s="63" t="s">
        <v>25</v>
      </c>
    </row>
    <row r="6" spans="1:23" ht="16" x14ac:dyDescent="0.2">
      <c r="A6" s="1" t="s">
        <v>2</v>
      </c>
      <c r="B6" s="1">
        <v>12</v>
      </c>
      <c r="C6" s="1" t="s">
        <v>17</v>
      </c>
      <c r="D6" s="8" t="s">
        <v>11</v>
      </c>
      <c r="E6" s="25">
        <f>AVERAGE(30.25598505%, 30.28187294%, 30.34015132%, 63.84851791%, 63.85634874%, 63.88311774%, 64.21004712%, 64.23004001%, 64.30114431%, 64.75545848%, 71.70548395%, 71.71247228%, 72.04031152%)</f>
        <v>0.5810930395153846</v>
      </c>
      <c r="F6" s="6">
        <f>AVERAGE(4.490983964, 4.513523499, 4.508424886, 4.553219187, 4.625346127, 4.644086831, 4.644381347, 4.675515424, 4.672814405, 4.684584875, 7.343944409, 6.780523157, 6.362617459)</f>
        <v>5.1153819669230769</v>
      </c>
      <c r="G6" s="6">
        <f>F6/E6</f>
        <v>8.8030343147616481</v>
      </c>
      <c r="H6" s="9" t="s">
        <v>4</v>
      </c>
      <c r="I6" s="6">
        <f>((2226+2293)*1000)/1000000</f>
        <v>4.5190000000000001</v>
      </c>
      <c r="J6" s="6">
        <f>(I6)*(1000)*(1/960)</f>
        <v>4.7072916666666664</v>
      </c>
      <c r="K6" s="6">
        <f>G6-F6</f>
        <v>3.6876523478385712</v>
      </c>
      <c r="L6" s="2">
        <v>2025</v>
      </c>
      <c r="M6" s="25">
        <v>0.87926750155373501</v>
      </c>
      <c r="N6" s="6">
        <v>15.5961412320028</v>
      </c>
      <c r="O6" s="6">
        <f>N6/M6</f>
        <v>17.737652312229429</v>
      </c>
      <c r="P6" s="10" t="s">
        <v>4</v>
      </c>
      <c r="Q6" s="6">
        <f>((2226+2293)*1000)/1000000</f>
        <v>4.5190000000000001</v>
      </c>
      <c r="R6" s="6">
        <f>(Q6)*(1000)*(1/960)</f>
        <v>4.7072916666666664</v>
      </c>
      <c r="S6" s="29">
        <f>O6-N6</f>
        <v>2.1415110802266284</v>
      </c>
      <c r="T6" s="19">
        <f>R6/J6</f>
        <v>1</v>
      </c>
      <c r="U6" s="18">
        <f t="shared" si="0"/>
        <v>3.768122642119994</v>
      </c>
      <c r="V6" s="62" t="s">
        <v>8</v>
      </c>
      <c r="W6" s="63" t="s">
        <v>8</v>
      </c>
    </row>
    <row r="7" spans="1:23" ht="16" x14ac:dyDescent="0.2">
      <c r="A7" s="1" t="s">
        <v>1</v>
      </c>
      <c r="B7" s="1">
        <v>16</v>
      </c>
      <c r="C7" s="1" t="s">
        <v>17</v>
      </c>
      <c r="D7" s="2">
        <v>1900</v>
      </c>
      <c r="E7" s="25">
        <v>1.6654790869999998E-2</v>
      </c>
      <c r="F7" s="6">
        <v>4.0850393670000003</v>
      </c>
      <c r="G7" s="6">
        <f>F7/E7</f>
        <v>245.27713370200971</v>
      </c>
      <c r="H7" s="11">
        <v>400</v>
      </c>
      <c r="I7" s="6">
        <f>H7*0.907185</f>
        <v>362.87400000000002</v>
      </c>
      <c r="J7" s="6">
        <f>(I7)*(1000)*(1/960)</f>
        <v>377.99374999999998</v>
      </c>
      <c r="K7" s="6">
        <f>G7-F7</f>
        <v>241.1920943350097</v>
      </c>
      <c r="L7" s="2">
        <v>2025</v>
      </c>
      <c r="M7" s="25">
        <v>0.64106285646056305</v>
      </c>
      <c r="N7" s="6">
        <v>426.22199631459603</v>
      </c>
      <c r="O7" s="6">
        <f t="shared" ref="O7" si="1">N7/M7</f>
        <v>664.86771463855098</v>
      </c>
      <c r="P7" s="10" t="s">
        <v>4</v>
      </c>
      <c r="Q7" s="6">
        <v>153</v>
      </c>
      <c r="R7" s="6">
        <f>(Q7)*(1000)*(1/960)</f>
        <v>159.375</v>
      </c>
      <c r="S7" s="29">
        <f>O7-N7</f>
        <v>238.64571832395495</v>
      </c>
      <c r="T7" s="17">
        <f>R7/J7</f>
        <v>0.42163395558789002</v>
      </c>
      <c r="U7" s="18">
        <f t="shared" si="0"/>
        <v>1.7589383809614605</v>
      </c>
      <c r="V7" s="62" t="s">
        <v>31</v>
      </c>
      <c r="W7" s="63" t="s">
        <v>31</v>
      </c>
    </row>
    <row r="8" spans="1:23" ht="16" x14ac:dyDescent="0.2">
      <c r="A8" s="1" t="s">
        <v>3</v>
      </c>
      <c r="B8" s="1">
        <v>18</v>
      </c>
      <c r="C8" s="1" t="s">
        <v>17</v>
      </c>
      <c r="D8" s="8" t="s">
        <v>9</v>
      </c>
      <c r="E8" s="25">
        <f>AVERAGE(67.21161988%, 69.78598206%, 72.80102426%, 73.25224591%)</f>
        <v>0.70762718027500005</v>
      </c>
      <c r="F8" s="6">
        <f>AVERAGE(10.3684162, 10.3698455, 11.61730894, 12.1295318)</f>
        <v>11.121275610000001</v>
      </c>
      <c r="G8" s="6">
        <f>F8/E8</f>
        <v>15.716292307593415</v>
      </c>
      <c r="H8" s="9" t="s">
        <v>4</v>
      </c>
      <c r="I8" s="6">
        <f>(15893*1000)/1000000</f>
        <v>15.893000000000001</v>
      </c>
      <c r="J8" s="6">
        <f>(I8)*(1000)*(1/960)</f>
        <v>16.555208333333333</v>
      </c>
      <c r="K8" s="6">
        <f>G8-F8</f>
        <v>4.5950166975934135</v>
      </c>
      <c r="L8" s="2">
        <v>1980</v>
      </c>
      <c r="M8" s="25">
        <v>0.76587844170510999</v>
      </c>
      <c r="N8" s="6">
        <v>12.721629009999999</v>
      </c>
      <c r="O8" s="6">
        <f>N8/M8</f>
        <v>16.610506729602232</v>
      </c>
      <c r="P8" s="1">
        <v>11</v>
      </c>
      <c r="Q8" s="6">
        <f>P8*0.907185</f>
        <v>9.9790349999999997</v>
      </c>
      <c r="R8" s="6">
        <f t="shared" ref="R8" si="2">(Q8)*(1000)*(1/960)</f>
        <v>10.394828125</v>
      </c>
      <c r="S8" s="29">
        <f t="shared" ref="S8" si="3">O8-N8</f>
        <v>3.8888777196022328</v>
      </c>
      <c r="T8" s="17">
        <f>R8/J8</f>
        <v>0.62788869313534268</v>
      </c>
      <c r="U8" s="48">
        <f t="shared" si="0"/>
        <v>1.0033402416421155</v>
      </c>
      <c r="V8" s="62" t="s">
        <v>8</v>
      </c>
      <c r="W8" s="63" t="s">
        <v>5</v>
      </c>
    </row>
    <row r="9" spans="1:23" ht="16" x14ac:dyDescent="0.2">
      <c r="A9" s="1" t="s">
        <v>12</v>
      </c>
      <c r="B9" s="1">
        <v>21</v>
      </c>
      <c r="C9" s="1" t="s">
        <v>17</v>
      </c>
      <c r="D9" s="8" t="s">
        <v>21</v>
      </c>
      <c r="E9" s="25">
        <f>AVERAGE(2.977533898%, 2.969178667%, 3.010462866%, 3.002473844%, 2.997858365%, 7.083144683%, 7.046713339%)</f>
        <v>4.1553379517142865E-2</v>
      </c>
      <c r="F9" s="6">
        <f>AVERAGE(0.103226505, 0.095175993, 0.090042357, 0.098465281, 0.093814529, 0.091427302, 0.302202547)</f>
        <v>0.12490778771428571</v>
      </c>
      <c r="G9" s="6">
        <f>F9/E9</f>
        <v>3.0059597839149266</v>
      </c>
      <c r="H9" s="9" t="s">
        <v>4</v>
      </c>
      <c r="I9" s="6">
        <f>235749.14286/1000000</f>
        <v>0.23574914285999998</v>
      </c>
      <c r="J9" s="6">
        <f t="shared" ref="J9" si="4">(I9)*(1000)*(1/960)</f>
        <v>0.24557202381249998</v>
      </c>
      <c r="K9" s="6">
        <f>G9-F9</f>
        <v>2.8810519962006409</v>
      </c>
      <c r="L9" s="8" t="s">
        <v>20</v>
      </c>
      <c r="M9" s="25">
        <f>AVERAGE(76.0720277%, 76.03321489%, 75.99437206%, 75.95549766%, 75.91659022%, 75.8776484%, 75.83867093%, 75.79965662%, 75.76060434%)</f>
        <v>0.75916475868888889</v>
      </c>
      <c r="N9" s="6">
        <f>AVERAGE(2.477598042, 2.473617178, 2.469778293, 2.466065577, 2.462466276, 2.458969867, 2.455567502, 2.452251638, 2.449015758)</f>
        <v>2.4628144590000005</v>
      </c>
      <c r="O9" s="6">
        <f t="shared" ref="O9:O12" si="5">N9/M9</f>
        <v>3.2441106239617734</v>
      </c>
      <c r="P9" s="7">
        <f>62568.89/1000000</f>
        <v>6.2568890000000002E-2</v>
      </c>
      <c r="Q9" s="28">
        <f>P9*0.907185</f>
        <v>5.6761558474650003E-2</v>
      </c>
      <c r="R9" s="6">
        <f t="shared" ref="R9:R10" si="6">(Q9)*(1000)*(1/960)</f>
        <v>5.9126623411093752E-2</v>
      </c>
      <c r="S9" s="29">
        <f t="shared" ref="S9:S10" si="7">O9-N9</f>
        <v>0.7812961649617729</v>
      </c>
      <c r="T9" s="17">
        <f>R9/J9</f>
        <v>0.24077100678307853</v>
      </c>
      <c r="U9" s="18">
        <f t="shared" si="0"/>
        <v>13.210424272264532</v>
      </c>
      <c r="V9" s="62" t="s">
        <v>23</v>
      </c>
      <c r="W9" s="63" t="s">
        <v>23</v>
      </c>
    </row>
    <row r="10" spans="1:23" ht="16" x14ac:dyDescent="0.2">
      <c r="A10" s="1" t="s">
        <v>6</v>
      </c>
      <c r="B10" s="1">
        <v>22</v>
      </c>
      <c r="C10" s="1" t="s">
        <v>17</v>
      </c>
      <c r="D10" s="8" t="s">
        <v>9</v>
      </c>
      <c r="E10" s="25">
        <f>AVERAGE(65.4601852%, 65.45916391%, 65.45026848%, 78.49896615%)</f>
        <v>0.68717145935000001</v>
      </c>
      <c r="F10" s="6">
        <f>AVERAGE(14.35895667, 14.33255353, 14.33042916, 14.31533802)</f>
        <v>14.334319344999999</v>
      </c>
      <c r="G10" s="6">
        <f t="shared" ref="G10:G12" si="8">F10/E10</f>
        <v>20.859887514185942</v>
      </c>
      <c r="H10" s="9" t="s">
        <v>4</v>
      </c>
      <c r="I10" s="6">
        <f>(1229*1000)/1000000</f>
        <v>1.2290000000000001</v>
      </c>
      <c r="J10" s="6">
        <f t="shared" ref="J10:J12" si="9">(I10)*(1000)*(1/960)</f>
        <v>1.2802083333333334</v>
      </c>
      <c r="K10" s="6">
        <f t="shared" ref="K10:K12" si="10">G10-F10</f>
        <v>6.5255681691859433</v>
      </c>
      <c r="L10" s="2">
        <v>1980</v>
      </c>
      <c r="M10" s="25">
        <v>0.78552934774750505</v>
      </c>
      <c r="N10" s="6">
        <v>21.049762829999999</v>
      </c>
      <c r="O10" s="6">
        <f t="shared" si="5"/>
        <v>26.796914577870215</v>
      </c>
      <c r="P10" s="1">
        <v>0.8</v>
      </c>
      <c r="Q10" s="6">
        <f>P10*0.907185</f>
        <v>0.72574800000000006</v>
      </c>
      <c r="R10" s="6">
        <f t="shared" si="6"/>
        <v>0.75598750000000003</v>
      </c>
      <c r="S10" s="29">
        <f t="shared" si="7"/>
        <v>5.7471517478702161</v>
      </c>
      <c r="T10" s="17">
        <f t="shared" ref="T10:T12" si="11">R10/J10</f>
        <v>0.59051912123677786</v>
      </c>
      <c r="U10" s="18">
        <f t="shared" si="0"/>
        <v>20.931682664569085</v>
      </c>
      <c r="V10" s="62" t="s">
        <v>8</v>
      </c>
      <c r="W10" s="63" t="s">
        <v>5</v>
      </c>
    </row>
    <row r="11" spans="1:23" ht="16" x14ac:dyDescent="0.2">
      <c r="A11" s="1" t="s">
        <v>7</v>
      </c>
      <c r="B11" s="1">
        <v>23</v>
      </c>
      <c r="C11" s="1" t="s">
        <v>15</v>
      </c>
      <c r="D11" s="5" t="s">
        <v>27</v>
      </c>
      <c r="E11" s="25">
        <f>AVERAGE(4.111190103%, 4.166632227%, 4.173361761%, 9.873615399%, 9.981362784%, 10.01464112%, 10.01771093%, 10.01644155%, 10.02789844%, 10.04131738%, 10.04436389%, 78.37712839%, 78.39134044%, 80.54411228%, 82.455156%, 82.44799896%)</f>
        <v>0.30917766978375</v>
      </c>
      <c r="F11" s="27">
        <f>AVERAGE(2.021133497, 1.986030489, 2.130339167, 2.093642432, 6.000813394, 6.15453486, 6.137740061, 6.114122747, 6.094223285, 6.073132755, 6.096143851, 6.091581653, 79.26202952, 79.24841155, 81.70429466, 82.23836866)</f>
        <v>23.715408911312501</v>
      </c>
      <c r="G11" s="6">
        <f>F11/E11</f>
        <v>76.704792192463032</v>
      </c>
      <c r="H11" s="1">
        <v>195</v>
      </c>
      <c r="I11" s="6">
        <f>H11*0.907185</f>
        <v>176.90107499999999</v>
      </c>
      <c r="J11" s="6">
        <f>(I11)*(1000)*(1/960)</f>
        <v>184.27195312499998</v>
      </c>
      <c r="K11" s="6">
        <f>G11-F11</f>
        <v>52.989383281150531</v>
      </c>
      <c r="L11" s="2">
        <v>2025</v>
      </c>
      <c r="M11" s="25">
        <v>0.93184788370000005</v>
      </c>
      <c r="N11" s="6">
        <v>93.521089470000007</v>
      </c>
      <c r="O11" s="6">
        <f>N11/M11</f>
        <v>100.36089699390064</v>
      </c>
      <c r="P11" s="7">
        <v>0</v>
      </c>
      <c r="Q11" s="28">
        <f>P11*0.907185</f>
        <v>0</v>
      </c>
      <c r="R11" s="6">
        <f>(Q11)*(1000)*(1/960)</f>
        <v>0</v>
      </c>
      <c r="S11" s="29">
        <f>O11-N11</f>
        <v>6.8398075239006317</v>
      </c>
      <c r="T11" s="17">
        <f>R11/J11</f>
        <v>0</v>
      </c>
      <c r="U11" s="20">
        <f t="shared" si="0"/>
        <v>0.54463468418235794</v>
      </c>
      <c r="V11" s="62" t="s">
        <v>28</v>
      </c>
      <c r="W11" s="63" t="s">
        <v>26</v>
      </c>
    </row>
    <row r="12" spans="1:23" ht="16" x14ac:dyDescent="0.2">
      <c r="A12" s="13" t="s">
        <v>29</v>
      </c>
      <c r="B12" s="13">
        <v>25</v>
      </c>
      <c r="C12" s="13" t="s">
        <v>16</v>
      </c>
      <c r="D12" s="14">
        <v>1970</v>
      </c>
      <c r="E12" s="26">
        <v>0.8967825385</v>
      </c>
      <c r="F12" s="15">
        <v>43.539897699999997</v>
      </c>
      <c r="G12" s="15">
        <f t="shared" si="8"/>
        <v>48.551232691067831</v>
      </c>
      <c r="H12" s="13">
        <v>20</v>
      </c>
      <c r="I12" s="15">
        <f>H12*0.907185</f>
        <v>18.143699999999999</v>
      </c>
      <c r="J12" s="15">
        <f t="shared" si="9"/>
        <v>18.899687499999999</v>
      </c>
      <c r="K12" s="15">
        <f t="shared" si="10"/>
        <v>5.0113349910678338</v>
      </c>
      <c r="L12" s="14">
        <v>2025</v>
      </c>
      <c r="M12" s="26">
        <v>0.89964710189999997</v>
      </c>
      <c r="N12" s="15">
        <v>44.941399660000002</v>
      </c>
      <c r="O12" s="15">
        <f t="shared" si="5"/>
        <v>49.954476110784441</v>
      </c>
      <c r="P12" s="16" t="s">
        <v>4</v>
      </c>
      <c r="Q12" s="15">
        <v>8</v>
      </c>
      <c r="R12" s="15">
        <f t="shared" ref="R12" si="12">(Q12)*(1000)*(1/960)</f>
        <v>8.3333333333333339</v>
      </c>
      <c r="S12" s="30">
        <f t="shared" ref="S12" si="13">O12-N12</f>
        <v>5.013076450784439</v>
      </c>
      <c r="T12" s="21">
        <f t="shared" si="11"/>
        <v>0.44092439800040789</v>
      </c>
      <c r="U12" s="49">
        <f t="shared" si="0"/>
        <v>2.6431376767888062</v>
      </c>
      <c r="V12" s="64" t="s">
        <v>30</v>
      </c>
      <c r="W12" s="65" t="s">
        <v>32</v>
      </c>
    </row>
    <row r="14" spans="1:23" ht="19" x14ac:dyDescent="0.25">
      <c r="T14" s="50" t="s">
        <v>45</v>
      </c>
      <c r="U14" s="51" t="s">
        <v>46</v>
      </c>
    </row>
    <row r="15" spans="1:23" ht="16" x14ac:dyDescent="0.2">
      <c r="T15" s="52" t="s">
        <v>47</v>
      </c>
      <c r="U15" s="53" t="s">
        <v>49</v>
      </c>
    </row>
  </sheetData>
  <mergeCells count="8">
    <mergeCell ref="A2:A4"/>
    <mergeCell ref="C2:C4"/>
    <mergeCell ref="B2:B4"/>
    <mergeCell ref="L1:S1"/>
    <mergeCell ref="D1:K1"/>
    <mergeCell ref="A1:C1"/>
    <mergeCell ref="T1:U1"/>
    <mergeCell ref="V2:W3"/>
  </mergeCells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1a9fb9-92dc-485b-ba19-89a629e67e8e">
      <Terms xmlns="http://schemas.microsoft.com/office/infopath/2007/PartnerControls"/>
    </lcf76f155ced4ddcb4097134ff3c332f>
    <TaxCatchAll xmlns="5947b504-7309-4f97-b736-0be23ae9db1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F8B3F1311636488B1F325B1EE6FEEC" ma:contentTypeVersion="11" ma:contentTypeDescription="Create a new document." ma:contentTypeScope="" ma:versionID="f40b2e61bd8ab9da2d53effab72676d1">
  <xsd:schema xmlns:xsd="http://www.w3.org/2001/XMLSchema" xmlns:xs="http://www.w3.org/2001/XMLSchema" xmlns:p="http://schemas.microsoft.com/office/2006/metadata/properties" xmlns:ns2="6a1a9fb9-92dc-485b-ba19-89a629e67e8e" xmlns:ns3="5947b504-7309-4f97-b736-0be23ae9db13" targetNamespace="http://schemas.microsoft.com/office/2006/metadata/properties" ma:root="true" ma:fieldsID="38b918d5404d9dcc10cd7d3a2881a68e" ns2:_="" ns3:_="">
    <xsd:import namespace="6a1a9fb9-92dc-485b-ba19-89a629e67e8e"/>
    <xsd:import namespace="5947b504-7309-4f97-b736-0be23ae9db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a9fb9-92dc-485b-ba19-89a629e67e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7b504-7309-4f97-b736-0be23ae9db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a9fcafa-7d66-44a0-b238-6e1a0c199650}" ma:internalName="TaxCatchAll" ma:showField="CatchAllData" ma:web="5947b504-7309-4f97-b736-0be23ae9db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7DB58B-7371-4EC3-BF2E-18275191E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D0B351-7CA5-4571-9E08-2BDE960DF51D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5947b504-7309-4f97-b736-0be23ae9db13"/>
    <ds:schemaRef ds:uri="6a1a9fb9-92dc-485b-ba19-89a629e67e8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A92B358-5529-46C6-A5B6-B81B22EFF4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1a9fb9-92dc-485b-ba19-89a629e67e8e"/>
    <ds:schemaRef ds:uri="5947b504-7309-4f97-b736-0be23ae9db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Abby Eckland</cp:lastModifiedBy>
  <cp:revision/>
  <dcterms:created xsi:type="dcterms:W3CDTF">2026-07-24T20:45:17Z</dcterms:created>
  <dcterms:modified xsi:type="dcterms:W3CDTF">2026-07-30T19:53:39Z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0x0101007CF8B3F1311636488B1F325B1EE6FEEC</vt:lpwstr>
  </property>
  <property fmtid="{D5CDD505-2E9C-101B-9397-08002B2CF9AE}" pid="3" name="MediaServiceImageTags">
    <vt:lpwstr/>
  </property>
</Properties>
</file>