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u5774056\Desktop\Desktop\Final\"/>
    </mc:Choice>
  </mc:AlternateContent>
  <xr:revisionPtr revIDLastSave="0" documentId="13_ncr:1_{79A70DA8-3692-42A5-86DF-63697D9190CB}" xr6:coauthVersionLast="36" xr6:coauthVersionMax="47" xr10:uidLastSave="{00000000-0000-0000-0000-000000000000}"/>
  <bookViews>
    <workbookView xWindow="0" yWindow="0" windowWidth="38400" windowHeight="17625" tabRatio="884" activeTab="9" xr2:uid="{00000000-000D-0000-FFFF-FFFF00000000}"/>
  </bookViews>
  <sheets>
    <sheet name="Cotton 20090307" sheetId="1" r:id="rId1"/>
    <sheet name="Sunflower 20210218" sheetId="2" r:id="rId2"/>
    <sheet name="Cotton 20210318" sheetId="3" r:id="rId3"/>
    <sheet name="Cotton 20210329" sheetId="4" r:id="rId4"/>
    <sheet name="Cotton 20210219" sheetId="5" r:id="rId5"/>
    <sheet name="Sunflower 20180606" sheetId="6" r:id="rId6"/>
    <sheet name="Cotton 20180621" sheetId="7" r:id="rId7"/>
    <sheet name="E pauciflora 20090212" sheetId="8" r:id="rId8"/>
    <sheet name="Phaseolus vulgaris 20090319" sheetId="9" r:id="rId9"/>
    <sheet name="Xanthium 20100204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3" i="10" l="1"/>
  <c r="I33" i="10"/>
  <c r="H33" i="10"/>
  <c r="G33" i="10"/>
  <c r="F33" i="10"/>
  <c r="E33" i="10"/>
  <c r="AA32" i="10"/>
  <c r="X32" i="10"/>
  <c r="Y32" i="10" s="1"/>
  <c r="Z32" i="10" s="1"/>
  <c r="AB32" i="10" s="1"/>
  <c r="W32" i="10"/>
  <c r="AA31" i="10"/>
  <c r="Y31" i="10"/>
  <c r="Z31" i="10" s="1"/>
  <c r="AB31" i="10" s="1"/>
  <c r="X31" i="10"/>
  <c r="W31" i="10"/>
  <c r="J29" i="10"/>
  <c r="I29" i="10"/>
  <c r="H29" i="10"/>
  <c r="G29" i="10"/>
  <c r="F29" i="10"/>
  <c r="E29" i="10"/>
  <c r="AA28" i="10"/>
  <c r="X28" i="10"/>
  <c r="W28" i="10"/>
  <c r="Y28" i="10" s="1"/>
  <c r="Z28" i="10" s="1"/>
  <c r="AB28" i="10" s="1"/>
  <c r="AA27" i="10"/>
  <c r="AC27" i="10" s="1"/>
  <c r="AD27" i="10" s="1"/>
  <c r="X27" i="10"/>
  <c r="W27" i="10"/>
  <c r="Y27" i="10" s="1"/>
  <c r="Z27" i="10" s="1"/>
  <c r="AB27" i="10" s="1"/>
  <c r="J25" i="10"/>
  <c r="I25" i="10"/>
  <c r="H25" i="10"/>
  <c r="G25" i="10"/>
  <c r="F25" i="10"/>
  <c r="E25" i="10"/>
  <c r="AA24" i="10"/>
  <c r="X24" i="10"/>
  <c r="Y24" i="10" s="1"/>
  <c r="Z24" i="10" s="1"/>
  <c r="AB24" i="10" s="1"/>
  <c r="AC24" i="10" s="1"/>
  <c r="AD24" i="10" s="1"/>
  <c r="AE24" i="10" s="1"/>
  <c r="W24" i="10"/>
  <c r="AA23" i="10"/>
  <c r="X23" i="10"/>
  <c r="W23" i="10"/>
  <c r="Y23" i="10" s="1"/>
  <c r="Z23" i="10" s="1"/>
  <c r="AB23" i="10" s="1"/>
  <c r="AC23" i="10" s="1"/>
  <c r="AD23" i="10" s="1"/>
  <c r="AF21" i="10"/>
  <c r="J21" i="10"/>
  <c r="I21" i="10"/>
  <c r="H21" i="10"/>
  <c r="G21" i="10"/>
  <c r="F21" i="10"/>
  <c r="E21" i="10"/>
  <c r="AA20" i="10"/>
  <c r="X20" i="10"/>
  <c r="W20" i="10"/>
  <c r="Y20" i="10" s="1"/>
  <c r="Z20" i="10" s="1"/>
  <c r="AB20" i="10" s="1"/>
  <c r="AA19" i="10"/>
  <c r="AC19" i="10" s="1"/>
  <c r="AD19" i="10" s="1"/>
  <c r="X19" i="10"/>
  <c r="W19" i="10"/>
  <c r="Y19" i="10" s="1"/>
  <c r="Z19" i="10" s="1"/>
  <c r="AB19" i="10" s="1"/>
  <c r="J17" i="10"/>
  <c r="I17" i="10"/>
  <c r="H17" i="10"/>
  <c r="G17" i="10"/>
  <c r="F17" i="10"/>
  <c r="E17" i="10"/>
  <c r="AA16" i="10"/>
  <c r="X16" i="10"/>
  <c r="Y16" i="10" s="1"/>
  <c r="Z16" i="10" s="1"/>
  <c r="AB16" i="10" s="1"/>
  <c r="AC16" i="10" s="1"/>
  <c r="AD16" i="10" s="1"/>
  <c r="AE16" i="10" s="1"/>
  <c r="W16" i="10"/>
  <c r="AA15" i="10"/>
  <c r="Y15" i="10"/>
  <c r="Z15" i="10" s="1"/>
  <c r="AB15" i="10" s="1"/>
  <c r="X15" i="10"/>
  <c r="W15" i="10"/>
  <c r="J13" i="10"/>
  <c r="I13" i="10"/>
  <c r="H13" i="10"/>
  <c r="G13" i="10"/>
  <c r="F13" i="10"/>
  <c r="E13" i="10"/>
  <c r="AA12" i="10"/>
  <c r="Z12" i="10"/>
  <c r="AB12" i="10" s="1"/>
  <c r="Y12" i="10"/>
  <c r="X12" i="10"/>
  <c r="W12" i="10"/>
  <c r="AA11" i="10"/>
  <c r="X11" i="10"/>
  <c r="W11" i="10"/>
  <c r="Y11" i="10" s="1"/>
  <c r="Z11" i="10" s="1"/>
  <c r="AB11" i="10" s="1"/>
  <c r="J9" i="10"/>
  <c r="I9" i="10"/>
  <c r="H9" i="10"/>
  <c r="G9" i="10"/>
  <c r="AF33" i="10" s="1"/>
  <c r="F9" i="10"/>
  <c r="E9" i="10"/>
  <c r="AA8" i="10"/>
  <c r="X8" i="10"/>
  <c r="W8" i="10"/>
  <c r="Y8" i="10" s="1"/>
  <c r="Z8" i="10" s="1"/>
  <c r="AB8" i="10" s="1"/>
  <c r="AA7" i="10"/>
  <c r="X7" i="10"/>
  <c r="W7" i="10"/>
  <c r="Y7" i="10" s="1"/>
  <c r="Z7" i="10" s="1"/>
  <c r="AB7" i="10" s="1"/>
  <c r="AC7" i="10" s="1"/>
  <c r="AD7" i="10" s="1"/>
  <c r="AD21" i="10" l="1"/>
  <c r="AE19" i="10"/>
  <c r="AE27" i="10"/>
  <c r="AC32" i="10"/>
  <c r="AD32" i="10" s="1"/>
  <c r="AE32" i="10" s="1"/>
  <c r="AD25" i="10"/>
  <c r="AE23" i="10"/>
  <c r="AC12" i="10"/>
  <c r="AD12" i="10" s="1"/>
  <c r="AE12" i="10" s="1"/>
  <c r="AC8" i="10"/>
  <c r="AD8" i="10" s="1"/>
  <c r="AE8" i="10" s="1"/>
  <c r="AC15" i="10"/>
  <c r="AD15" i="10" s="1"/>
  <c r="AC28" i="10"/>
  <c r="AD28" i="10" s="1"/>
  <c r="AE28" i="10" s="1"/>
  <c r="AC20" i="10"/>
  <c r="AD20" i="10" s="1"/>
  <c r="AE20" i="10" s="1"/>
  <c r="AC11" i="10"/>
  <c r="AD11" i="10" s="1"/>
  <c r="AC31" i="10"/>
  <c r="AD31" i="10" s="1"/>
  <c r="AE7" i="10"/>
  <c r="AF25" i="10"/>
  <c r="AF13" i="10"/>
  <c r="AF29" i="10"/>
  <c r="AF17" i="10"/>
  <c r="AD9" i="10" l="1"/>
  <c r="AD17" i="10"/>
  <c r="AE15" i="10"/>
  <c r="AD33" i="10"/>
  <c r="AE31" i="10"/>
  <c r="AE11" i="10"/>
  <c r="AD13" i="10"/>
  <c r="AD29" i="10"/>
  <c r="AF26" i="9"/>
  <c r="O26" i="9"/>
  <c r="N26" i="9"/>
  <c r="M26" i="9"/>
  <c r="L26" i="9"/>
  <c r="K26" i="9"/>
  <c r="J26" i="9"/>
  <c r="I26" i="9"/>
  <c r="H26" i="9"/>
  <c r="G26" i="9"/>
  <c r="F26" i="9"/>
  <c r="E26" i="9"/>
  <c r="D26" i="9"/>
  <c r="AA25" i="9"/>
  <c r="Y25" i="9"/>
  <c r="Z25" i="9" s="1"/>
  <c r="AB25" i="9" s="1"/>
  <c r="AC25" i="9" s="1"/>
  <c r="AD25" i="9" s="1"/>
  <c r="AE25" i="9" s="1"/>
  <c r="X25" i="9"/>
  <c r="W25" i="9"/>
  <c r="AA24" i="9"/>
  <c r="X24" i="9"/>
  <c r="W24" i="9"/>
  <c r="Y24" i="9" s="1"/>
  <c r="Z24" i="9" s="1"/>
  <c r="AB24" i="9" s="1"/>
  <c r="AF21" i="9"/>
  <c r="O21" i="9"/>
  <c r="N21" i="9"/>
  <c r="M21" i="9"/>
  <c r="L21" i="9"/>
  <c r="K21" i="9"/>
  <c r="J21" i="9"/>
  <c r="I21" i="9"/>
  <c r="H21" i="9"/>
  <c r="G21" i="9"/>
  <c r="F21" i="9"/>
  <c r="E21" i="9"/>
  <c r="D21" i="9"/>
  <c r="AA20" i="9"/>
  <c r="Y20" i="9"/>
  <c r="Z20" i="9" s="1"/>
  <c r="AB20" i="9" s="1"/>
  <c r="AC20" i="9" s="1"/>
  <c r="AD20" i="9" s="1"/>
  <c r="AE20" i="9" s="1"/>
  <c r="X20" i="9"/>
  <c r="W20" i="9"/>
  <c r="AA19" i="9"/>
  <c r="X19" i="9"/>
  <c r="W19" i="9"/>
  <c r="Y19" i="9" s="1"/>
  <c r="Z19" i="9" s="1"/>
  <c r="AB19" i="9" s="1"/>
  <c r="AF16" i="9"/>
  <c r="O16" i="9"/>
  <c r="N16" i="9"/>
  <c r="M16" i="9"/>
  <c r="L16" i="9"/>
  <c r="K16" i="9"/>
  <c r="J16" i="9"/>
  <c r="I16" i="9"/>
  <c r="H16" i="9"/>
  <c r="G16" i="9"/>
  <c r="F16" i="9"/>
  <c r="E16" i="9"/>
  <c r="D16" i="9"/>
  <c r="AA15" i="9"/>
  <c r="Y15" i="9"/>
  <c r="Z15" i="9" s="1"/>
  <c r="AB15" i="9" s="1"/>
  <c r="AC15" i="9" s="1"/>
  <c r="AD15" i="9" s="1"/>
  <c r="AE15" i="9" s="1"/>
  <c r="X15" i="9"/>
  <c r="W15" i="9"/>
  <c r="AA14" i="9"/>
  <c r="X14" i="9"/>
  <c r="W14" i="9"/>
  <c r="Y14" i="9" s="1"/>
  <c r="Z14" i="9" s="1"/>
  <c r="AB14" i="9" s="1"/>
  <c r="O11" i="9"/>
  <c r="N11" i="9"/>
  <c r="M11" i="9"/>
  <c r="L11" i="9"/>
  <c r="K11" i="9"/>
  <c r="J11" i="9"/>
  <c r="I11" i="9"/>
  <c r="H11" i="9"/>
  <c r="G11" i="9"/>
  <c r="F11" i="9"/>
  <c r="E11" i="9"/>
  <c r="D11" i="9"/>
  <c r="AA10" i="9"/>
  <c r="X10" i="9"/>
  <c r="W10" i="9"/>
  <c r="Y10" i="9" s="1"/>
  <c r="Z10" i="9" s="1"/>
  <c r="AB10" i="9" s="1"/>
  <c r="AC10" i="9" s="1"/>
  <c r="AD10" i="9" s="1"/>
  <c r="AE10" i="9" s="1"/>
  <c r="AA9" i="9"/>
  <c r="Y9" i="9"/>
  <c r="Z9" i="9" s="1"/>
  <c r="AB9" i="9" s="1"/>
  <c r="AC9" i="9" s="1"/>
  <c r="AD9" i="9" s="1"/>
  <c r="X9" i="9"/>
  <c r="W9" i="9"/>
  <c r="AC19" i="9" l="1"/>
  <c r="AD19" i="9" s="1"/>
  <c r="AD11" i="9"/>
  <c r="AE9" i="9"/>
  <c r="AC14" i="9"/>
  <c r="AD14" i="9" s="1"/>
  <c r="AC24" i="9"/>
  <c r="AD24" i="9" s="1"/>
  <c r="AD26" i="9" l="1"/>
  <c r="AE24" i="9"/>
  <c r="AD21" i="9"/>
  <c r="AE19" i="9"/>
  <c r="AD16" i="9"/>
  <c r="AE14" i="9"/>
  <c r="J26" i="8"/>
  <c r="I26" i="8"/>
  <c r="H26" i="8"/>
  <c r="G26" i="8"/>
  <c r="F26" i="8"/>
  <c r="E26" i="8"/>
  <c r="X25" i="8"/>
  <c r="W25" i="8"/>
  <c r="Y25" i="8" s="1"/>
  <c r="Z25" i="8" s="1"/>
  <c r="AB25" i="8" s="1"/>
  <c r="AC25" i="8" s="1"/>
  <c r="AD25" i="8" s="1"/>
  <c r="AE25" i="8" s="1"/>
  <c r="S25" i="8"/>
  <c r="Y24" i="8"/>
  <c r="Z24" i="8" s="1"/>
  <c r="AB24" i="8" s="1"/>
  <c r="AC24" i="8" s="1"/>
  <c r="AD24" i="8" s="1"/>
  <c r="X24" i="8"/>
  <c r="W24" i="8"/>
  <c r="S24" i="8"/>
  <c r="J22" i="8"/>
  <c r="I22" i="8"/>
  <c r="H22" i="8"/>
  <c r="G22" i="8"/>
  <c r="F22" i="8"/>
  <c r="E22" i="8"/>
  <c r="X21" i="8"/>
  <c r="W21" i="8"/>
  <c r="Y21" i="8" s="1"/>
  <c r="Z21" i="8" s="1"/>
  <c r="AB21" i="8" s="1"/>
  <c r="AC21" i="8" s="1"/>
  <c r="AD21" i="8" s="1"/>
  <c r="AE21" i="8" s="1"/>
  <c r="S21" i="8"/>
  <c r="X20" i="8"/>
  <c r="W20" i="8"/>
  <c r="Y20" i="8" s="1"/>
  <c r="Z20" i="8" s="1"/>
  <c r="AB20" i="8" s="1"/>
  <c r="AC20" i="8" s="1"/>
  <c r="AD20" i="8" s="1"/>
  <c r="S20" i="8"/>
  <c r="J18" i="8"/>
  <c r="I18" i="8"/>
  <c r="H18" i="8"/>
  <c r="G18" i="8"/>
  <c r="F18" i="8"/>
  <c r="E18" i="8"/>
  <c r="X17" i="8"/>
  <c r="W17" i="8"/>
  <c r="Y17" i="8" s="1"/>
  <c r="Z17" i="8" s="1"/>
  <c r="AB17" i="8" s="1"/>
  <c r="AC17" i="8" s="1"/>
  <c r="AD17" i="8" s="1"/>
  <c r="AE17" i="8" s="1"/>
  <c r="S17" i="8"/>
  <c r="Y16" i="8"/>
  <c r="Z16" i="8" s="1"/>
  <c r="AB16" i="8" s="1"/>
  <c r="AC16" i="8" s="1"/>
  <c r="AD16" i="8" s="1"/>
  <c r="X16" i="8"/>
  <c r="W16" i="8"/>
  <c r="S16" i="8"/>
  <c r="J14" i="8"/>
  <c r="I14" i="8"/>
  <c r="H14" i="8"/>
  <c r="G14" i="8"/>
  <c r="F14" i="8"/>
  <c r="E14" i="8"/>
  <c r="Y13" i="8"/>
  <c r="Z13" i="8" s="1"/>
  <c r="AB13" i="8" s="1"/>
  <c r="AC13" i="8" s="1"/>
  <c r="AD13" i="8" s="1"/>
  <c r="AE13" i="8" s="1"/>
  <c r="X13" i="8"/>
  <c r="W13" i="8"/>
  <c r="S13" i="8"/>
  <c r="X12" i="8"/>
  <c r="W12" i="8"/>
  <c r="Y12" i="8" s="1"/>
  <c r="Z12" i="8" s="1"/>
  <c r="AB12" i="8" s="1"/>
  <c r="AC12" i="8" s="1"/>
  <c r="AD12" i="8" s="1"/>
  <c r="S12" i="8"/>
  <c r="J10" i="8"/>
  <c r="I10" i="8"/>
  <c r="H10" i="8"/>
  <c r="G10" i="8"/>
  <c r="AF26" i="8" s="1"/>
  <c r="F10" i="8"/>
  <c r="E10" i="8"/>
  <c r="X9" i="8"/>
  <c r="W9" i="8"/>
  <c r="Y9" i="8" s="1"/>
  <c r="Z9" i="8" s="1"/>
  <c r="AB9" i="8" s="1"/>
  <c r="AC9" i="8" s="1"/>
  <c r="AD9" i="8" s="1"/>
  <c r="AE9" i="8" s="1"/>
  <c r="S9" i="8"/>
  <c r="X8" i="8"/>
  <c r="W8" i="8"/>
  <c r="Y8" i="8" s="1"/>
  <c r="Z8" i="8" s="1"/>
  <c r="AB8" i="8" s="1"/>
  <c r="AC8" i="8" s="1"/>
  <c r="AD8" i="8" s="1"/>
  <c r="S8" i="8"/>
  <c r="AD10" i="8" l="1"/>
  <c r="AE8" i="8"/>
  <c r="AE10" i="8" s="1"/>
  <c r="AD18" i="8"/>
  <c r="AE16" i="8"/>
  <c r="AE18" i="8" s="1"/>
  <c r="AD22" i="8"/>
  <c r="AE20" i="8"/>
  <c r="AE22" i="8" s="1"/>
  <c r="AD14" i="8"/>
  <c r="AE12" i="8"/>
  <c r="AE14" i="8" s="1"/>
  <c r="AD26" i="8"/>
  <c r="AE24" i="8"/>
  <c r="AE26" i="8" s="1"/>
  <c r="AF18" i="8"/>
  <c r="AF22" i="8"/>
  <c r="AF14" i="8"/>
  <c r="J30" i="7"/>
  <c r="G30" i="7"/>
  <c r="AI29" i="7"/>
  <c r="AJ29" i="7" s="1"/>
  <c r="AA29" i="7"/>
  <c r="X29" i="7"/>
  <c r="W29" i="7"/>
  <c r="AI28" i="7"/>
  <c r="AJ28" i="7" s="1"/>
  <c r="AA28" i="7"/>
  <c r="AB28" i="7" s="1"/>
  <c r="AC28" i="7" s="1"/>
  <c r="X28" i="7"/>
  <c r="W28" i="7"/>
  <c r="J26" i="7"/>
  <c r="G26" i="7"/>
  <c r="AI25" i="7"/>
  <c r="AJ25" i="7" s="1"/>
  <c r="AA25" i="7"/>
  <c r="X25" i="7"/>
  <c r="W25" i="7"/>
  <c r="AI24" i="7"/>
  <c r="AJ24" i="7" s="1"/>
  <c r="AA24" i="7"/>
  <c r="AB24" i="7" s="1"/>
  <c r="AC24" i="7" s="1"/>
  <c r="X24" i="7"/>
  <c r="W24" i="7"/>
  <c r="J22" i="7"/>
  <c r="G22" i="7"/>
  <c r="AI21" i="7"/>
  <c r="AJ21" i="7" s="1"/>
  <c r="AA21" i="7"/>
  <c r="AB21" i="7" s="1"/>
  <c r="AC21" i="7" s="1"/>
  <c r="AE21" i="7" s="1"/>
  <c r="X21" i="7"/>
  <c r="W21" i="7"/>
  <c r="AI20" i="7"/>
  <c r="AJ20" i="7" s="1"/>
  <c r="AA20" i="7"/>
  <c r="AB20" i="7" s="1"/>
  <c r="AC20" i="7" s="1"/>
  <c r="X20" i="7"/>
  <c r="W20" i="7"/>
  <c r="G18" i="7"/>
  <c r="AI17" i="7"/>
  <c r="AJ17" i="7" s="1"/>
  <c r="AA17" i="7"/>
  <c r="X17" i="7"/>
  <c r="W17" i="7"/>
  <c r="J17" i="7"/>
  <c r="J18" i="7" s="1"/>
  <c r="AI16" i="7"/>
  <c r="AJ16" i="7" s="1"/>
  <c r="AA16" i="7"/>
  <c r="X16" i="7"/>
  <c r="W16" i="7"/>
  <c r="J14" i="7"/>
  <c r="G14" i="7"/>
  <c r="AI13" i="7"/>
  <c r="AJ13" i="7" s="1"/>
  <c r="AA13" i="7"/>
  <c r="AB13" i="7" s="1"/>
  <c r="AC13" i="7" s="1"/>
  <c r="AE13" i="7" s="1"/>
  <c r="X13" i="7"/>
  <c r="W13" i="7"/>
  <c r="AI12" i="7"/>
  <c r="AJ12" i="7" s="1"/>
  <c r="AA12" i="7"/>
  <c r="X12" i="7"/>
  <c r="W12" i="7"/>
  <c r="J10" i="7"/>
  <c r="G10" i="7"/>
  <c r="AI9" i="7"/>
  <c r="AJ9" i="7" s="1"/>
  <c r="AA9" i="7"/>
  <c r="X9" i="7"/>
  <c r="W9" i="7"/>
  <c r="AJ8" i="7"/>
  <c r="AI8" i="7"/>
  <c r="AA8" i="7"/>
  <c r="X8" i="7"/>
  <c r="AB8" i="7" s="1"/>
  <c r="AC8" i="7" s="1"/>
  <c r="W8" i="7"/>
  <c r="AD12" i="7" l="1"/>
  <c r="AE28" i="7"/>
  <c r="AD28" i="7"/>
  <c r="AE24" i="7"/>
  <c r="AD24" i="7"/>
  <c r="AE8" i="7"/>
  <c r="AD8" i="7"/>
  <c r="AG13" i="7"/>
  <c r="AH13" i="7" s="1"/>
  <c r="AF13" i="7"/>
  <c r="AE20" i="7"/>
  <c r="AD20" i="7"/>
  <c r="AD29" i="7"/>
  <c r="AG21" i="7"/>
  <c r="AH21" i="7" s="1"/>
  <c r="AK21" i="7" s="1"/>
  <c r="AL21" i="7" s="1"/>
  <c r="AF21" i="7"/>
  <c r="AK13" i="7"/>
  <c r="AL13" i="7" s="1"/>
  <c r="AB9" i="7"/>
  <c r="AC9" i="7" s="1"/>
  <c r="AE9" i="7" s="1"/>
  <c r="AB12" i="7"/>
  <c r="AC12" i="7" s="1"/>
  <c r="AE12" i="7" s="1"/>
  <c r="AD13" i="7"/>
  <c r="AB16" i="7"/>
  <c r="AC16" i="7" s="1"/>
  <c r="AE16" i="7" s="1"/>
  <c r="AB17" i="7"/>
  <c r="AC17" i="7" s="1"/>
  <c r="AE17" i="7" s="1"/>
  <c r="AB25" i="7"/>
  <c r="AC25" i="7" s="1"/>
  <c r="AE25" i="7" s="1"/>
  <c r="AB29" i="7"/>
  <c r="AC29" i="7" s="1"/>
  <c r="AE29" i="7" s="1"/>
  <c r="AD21" i="7"/>
  <c r="AD16" i="7" l="1"/>
  <c r="AG8" i="7"/>
  <c r="AH8" i="7" s="1"/>
  <c r="AK8" i="7" s="1"/>
  <c r="AF8" i="7"/>
  <c r="AG12" i="7"/>
  <c r="AH12" i="7" s="1"/>
  <c r="AK12" i="7" s="1"/>
  <c r="AF12" i="7"/>
  <c r="AG9" i="7"/>
  <c r="AH9" i="7" s="1"/>
  <c r="AK9" i="7" s="1"/>
  <c r="AL9" i="7" s="1"/>
  <c r="AF9" i="7"/>
  <c r="AF20" i="7"/>
  <c r="AG20" i="7"/>
  <c r="AH20" i="7" s="1"/>
  <c r="AK20" i="7" s="1"/>
  <c r="AD9" i="7"/>
  <c r="AF28" i="7"/>
  <c r="AG28" i="7"/>
  <c r="AH28" i="7" s="1"/>
  <c r="AK28" i="7" s="1"/>
  <c r="AF24" i="7"/>
  <c r="AG24" i="7"/>
  <c r="AH24" i="7" s="1"/>
  <c r="AK24" i="7" s="1"/>
  <c r="AF16" i="7"/>
  <c r="AG16" i="7"/>
  <c r="AH16" i="7" s="1"/>
  <c r="AK16" i="7" s="1"/>
  <c r="AD25" i="7"/>
  <c r="AG29" i="7"/>
  <c r="AH29" i="7" s="1"/>
  <c r="AK29" i="7" s="1"/>
  <c r="AL29" i="7" s="1"/>
  <c r="AF29" i="7"/>
  <c r="AG17" i="7"/>
  <c r="AH17" i="7" s="1"/>
  <c r="AK17" i="7" s="1"/>
  <c r="AL17" i="7" s="1"/>
  <c r="AF17" i="7"/>
  <c r="AG25" i="7"/>
  <c r="AH25" i="7" s="1"/>
  <c r="AK25" i="7" s="1"/>
  <c r="AL25" i="7" s="1"/>
  <c r="AF25" i="7"/>
  <c r="AD17" i="7"/>
  <c r="AM30" i="7" l="1"/>
  <c r="AM14" i="7"/>
  <c r="AK10" i="7"/>
  <c r="AL8" i="7"/>
  <c r="AM26" i="7"/>
  <c r="AM22" i="7"/>
  <c r="AM18" i="7"/>
  <c r="AK18" i="7"/>
  <c r="AL16" i="7"/>
  <c r="AK26" i="7"/>
  <c r="AL24" i="7"/>
  <c r="AK30" i="7"/>
  <c r="AL28" i="7"/>
  <c r="AK14" i="7"/>
  <c r="AL12" i="7"/>
  <c r="AK22" i="7"/>
  <c r="AL20" i="7"/>
  <c r="AJ32" i="6"/>
  <c r="AI32" i="6"/>
  <c r="AB32" i="6"/>
  <c r="AC32" i="6" s="1"/>
  <c r="AA32" i="6"/>
  <c r="X32" i="6"/>
  <c r="W32" i="6"/>
  <c r="AJ31" i="6"/>
  <c r="AI31" i="6"/>
  <c r="AB31" i="6"/>
  <c r="AC31" i="6" s="1"/>
  <c r="AA31" i="6"/>
  <c r="X31" i="6"/>
  <c r="W31" i="6"/>
  <c r="AJ28" i="6"/>
  <c r="AI28" i="6"/>
  <c r="AB28" i="6"/>
  <c r="AC28" i="6" s="1"/>
  <c r="AA28" i="6"/>
  <c r="X28" i="6"/>
  <c r="W28" i="6"/>
  <c r="AJ27" i="6"/>
  <c r="AI27" i="6"/>
  <c r="AB27" i="6"/>
  <c r="AC27" i="6" s="1"/>
  <c r="AE27" i="6" s="1"/>
  <c r="AA27" i="6"/>
  <c r="X27" i="6"/>
  <c r="AD27" i="6" s="1"/>
  <c r="W27" i="6"/>
  <c r="AJ24" i="6"/>
  <c r="AI24" i="6"/>
  <c r="AA24" i="6"/>
  <c r="X24" i="6"/>
  <c r="AB24" i="6" s="1"/>
  <c r="AC24" i="6" s="1"/>
  <c r="AE24" i="6" s="1"/>
  <c r="W24" i="6"/>
  <c r="AI23" i="6"/>
  <c r="AJ23" i="6" s="1"/>
  <c r="AA23" i="6"/>
  <c r="X23" i="6"/>
  <c r="W23" i="6"/>
  <c r="AJ20" i="6"/>
  <c r="AI20" i="6"/>
  <c r="AA20" i="6"/>
  <c r="X20" i="6"/>
  <c r="AB20" i="6" s="1"/>
  <c r="AC20" i="6" s="1"/>
  <c r="AE20" i="6" s="1"/>
  <c r="W20" i="6"/>
  <c r="AI19" i="6"/>
  <c r="AJ19" i="6" s="1"/>
  <c r="AA19" i="6"/>
  <c r="X19" i="6"/>
  <c r="W19" i="6"/>
  <c r="AI13" i="6"/>
  <c r="AJ13" i="6" s="1"/>
  <c r="AA13" i="6"/>
  <c r="X13" i="6"/>
  <c r="W13" i="6"/>
  <c r="AI12" i="6"/>
  <c r="AJ12" i="6" s="1"/>
  <c r="AA12" i="6"/>
  <c r="AB12" i="6" s="1"/>
  <c r="AC12" i="6" s="1"/>
  <c r="AE12" i="6" s="1"/>
  <c r="X12" i="6"/>
  <c r="W12" i="6"/>
  <c r="AJ9" i="6"/>
  <c r="AI9" i="6"/>
  <c r="AA9" i="6"/>
  <c r="X9" i="6"/>
  <c r="AB9" i="6" s="1"/>
  <c r="AC9" i="6" s="1"/>
  <c r="AE9" i="6" s="1"/>
  <c r="W9" i="6"/>
  <c r="AI8" i="6"/>
  <c r="AJ8" i="6" s="1"/>
  <c r="AA8" i="6"/>
  <c r="X8" i="6"/>
  <c r="W8" i="6"/>
  <c r="AG12" i="6" l="1"/>
  <c r="AH12" i="6" s="1"/>
  <c r="AF12" i="6"/>
  <c r="AE28" i="6"/>
  <c r="AD28" i="6"/>
  <c r="AD20" i="6"/>
  <c r="AG27" i="6"/>
  <c r="AH27" i="6" s="1"/>
  <c r="AK27" i="6" s="1"/>
  <c r="AF27" i="6"/>
  <c r="AK12" i="6"/>
  <c r="AF20" i="6"/>
  <c r="AG20" i="6"/>
  <c r="AH20" i="6" s="1"/>
  <c r="AK20" i="6" s="1"/>
  <c r="AL20" i="6" s="1"/>
  <c r="AE32" i="6"/>
  <c r="AD32" i="6"/>
  <c r="AG9" i="6"/>
  <c r="AH9" i="6" s="1"/>
  <c r="AK9" i="6" s="1"/>
  <c r="AL9" i="6" s="1"/>
  <c r="AF9" i="6"/>
  <c r="AD9" i="6"/>
  <c r="AG24" i="6"/>
  <c r="AH24" i="6" s="1"/>
  <c r="AF24" i="6"/>
  <c r="AD8" i="6"/>
  <c r="AK24" i="6"/>
  <c r="AL24" i="6" s="1"/>
  <c r="AD31" i="6"/>
  <c r="AE31" i="6"/>
  <c r="AB8" i="6"/>
  <c r="AC8" i="6" s="1"/>
  <c r="AE8" i="6" s="1"/>
  <c r="AB23" i="6"/>
  <c r="AC23" i="6" s="1"/>
  <c r="AE23" i="6" s="1"/>
  <c r="AD24" i="6"/>
  <c r="AD12" i="6"/>
  <c r="AB13" i="6"/>
  <c r="AC13" i="6" s="1"/>
  <c r="AE13" i="6" s="1"/>
  <c r="AB19" i="6"/>
  <c r="AC19" i="6" s="1"/>
  <c r="AE19" i="6" s="1"/>
  <c r="AL27" i="6" l="1"/>
  <c r="AF19" i="6"/>
  <c r="AG19" i="6"/>
  <c r="AH19" i="6" s="1"/>
  <c r="AK19" i="6" s="1"/>
  <c r="AF13" i="6"/>
  <c r="AG13" i="6"/>
  <c r="AH13" i="6" s="1"/>
  <c r="AK13" i="6" s="1"/>
  <c r="AL13" i="6" s="1"/>
  <c r="AF32" i="6"/>
  <c r="AG32" i="6"/>
  <c r="AH32" i="6" s="1"/>
  <c r="AK32" i="6" s="1"/>
  <c r="AL32" i="6" s="1"/>
  <c r="AG28" i="6"/>
  <c r="AH28" i="6" s="1"/>
  <c r="AK28" i="6" s="1"/>
  <c r="AL28" i="6" s="1"/>
  <c r="AF28" i="6"/>
  <c r="AG23" i="6"/>
  <c r="AH23" i="6" s="1"/>
  <c r="AK23" i="6" s="1"/>
  <c r="AF23" i="6"/>
  <c r="AD19" i="6"/>
  <c r="AG31" i="6"/>
  <c r="AH31" i="6" s="1"/>
  <c r="AK31" i="6" s="1"/>
  <c r="AF31" i="6"/>
  <c r="AG8" i="6"/>
  <c r="AH8" i="6" s="1"/>
  <c r="AK8" i="6" s="1"/>
  <c r="AF8" i="6"/>
  <c r="AD13" i="6"/>
  <c r="AL12" i="6"/>
  <c r="AD23" i="6"/>
  <c r="AL8" i="6" l="1"/>
  <c r="AK10" i="6"/>
  <c r="AM14" i="6"/>
  <c r="AK29" i="6"/>
  <c r="AK33" i="6"/>
  <c r="AL31" i="6"/>
  <c r="AK14" i="6"/>
  <c r="AL19" i="6"/>
  <c r="AK21" i="6"/>
  <c r="AM25" i="6"/>
  <c r="AM29" i="6"/>
  <c r="AM33" i="6"/>
  <c r="AL23" i="6"/>
  <c r="AK25" i="6"/>
  <c r="J26" i="5"/>
  <c r="I26" i="5"/>
  <c r="H26" i="5"/>
  <c r="G26" i="5"/>
  <c r="AT25" i="5"/>
  <c r="AQ25" i="5"/>
  <c r="AI25" i="5"/>
  <c r="AJ25" i="5" s="1"/>
  <c r="AA25" i="5"/>
  <c r="X25" i="5"/>
  <c r="W25" i="5"/>
  <c r="AX24" i="5"/>
  <c r="AT24" i="5"/>
  <c r="AQ24" i="5"/>
  <c r="AR24" i="5" s="1"/>
  <c r="AS24" i="5" s="1"/>
  <c r="AU24" i="5" s="1"/>
  <c r="AV24" i="5" s="1"/>
  <c r="AW24" i="5" s="1"/>
  <c r="AI24" i="5"/>
  <c r="AJ24" i="5" s="1"/>
  <c r="AA24" i="5"/>
  <c r="X24" i="5"/>
  <c r="W24" i="5"/>
  <c r="J22" i="5"/>
  <c r="I22" i="5"/>
  <c r="H22" i="5"/>
  <c r="G22" i="5"/>
  <c r="AT21" i="5"/>
  <c r="AQ21" i="5"/>
  <c r="AJ21" i="5"/>
  <c r="AI21" i="5"/>
  <c r="AB21" i="5"/>
  <c r="AC21" i="5" s="1"/>
  <c r="AA21" i="5"/>
  <c r="X21" i="5"/>
  <c r="W21" i="5"/>
  <c r="AX20" i="5"/>
  <c r="AT20" i="5"/>
  <c r="AQ20" i="5"/>
  <c r="AR20" i="5" s="1"/>
  <c r="AS20" i="5" s="1"/>
  <c r="AU20" i="5" s="1"/>
  <c r="AV20" i="5" s="1"/>
  <c r="AW20" i="5" s="1"/>
  <c r="AJ20" i="5"/>
  <c r="AI20" i="5"/>
  <c r="AC20" i="5"/>
  <c r="AD20" i="5" s="1"/>
  <c r="AB20" i="5"/>
  <c r="AA20" i="5"/>
  <c r="X20" i="5"/>
  <c r="W20" i="5"/>
  <c r="J18" i="5"/>
  <c r="I18" i="5"/>
  <c r="H18" i="5"/>
  <c r="G18" i="5"/>
  <c r="AT17" i="5"/>
  <c r="AQ17" i="5"/>
  <c r="AI17" i="5"/>
  <c r="AJ17" i="5" s="1"/>
  <c r="AA17" i="5"/>
  <c r="AB17" i="5" s="1"/>
  <c r="AC17" i="5" s="1"/>
  <c r="X17" i="5"/>
  <c r="W17" i="5"/>
  <c r="AX16" i="5"/>
  <c r="AT16" i="5"/>
  <c r="AQ16" i="5"/>
  <c r="AR16" i="5" s="1"/>
  <c r="AS16" i="5" s="1"/>
  <c r="AU16" i="5" s="1"/>
  <c r="AV16" i="5" s="1"/>
  <c r="AW16" i="5" s="1"/>
  <c r="AI16" i="5"/>
  <c r="AJ16" i="5" s="1"/>
  <c r="AA16" i="5"/>
  <c r="X16" i="5"/>
  <c r="W16" i="5"/>
  <c r="J14" i="5"/>
  <c r="I14" i="5"/>
  <c r="H14" i="5"/>
  <c r="G14" i="5"/>
  <c r="AT13" i="5"/>
  <c r="AQ13" i="5"/>
  <c r="AJ13" i="5"/>
  <c r="AI13" i="5"/>
  <c r="AB13" i="5"/>
  <c r="AC13" i="5" s="1"/>
  <c r="AE13" i="5" s="1"/>
  <c r="AA13" i="5"/>
  <c r="AD13" i="5" s="1"/>
  <c r="AY13" i="5" s="1"/>
  <c r="X13" i="5"/>
  <c r="W13" i="5"/>
  <c r="AX12" i="5"/>
  <c r="AT12" i="5"/>
  <c r="AS12" i="5"/>
  <c r="AU12" i="5" s="1"/>
  <c r="AV12" i="5" s="1"/>
  <c r="AW12" i="5" s="1"/>
  <c r="AR12" i="5"/>
  <c r="AQ12" i="5"/>
  <c r="AI12" i="5"/>
  <c r="AJ12" i="5" s="1"/>
  <c r="AA12" i="5"/>
  <c r="X12" i="5"/>
  <c r="W12" i="5"/>
  <c r="J10" i="5"/>
  <c r="I10" i="5"/>
  <c r="H10" i="5"/>
  <c r="G10" i="5"/>
  <c r="AI9" i="5"/>
  <c r="AJ9" i="5" s="1"/>
  <c r="AA9" i="5"/>
  <c r="X9" i="5"/>
  <c r="W9" i="5"/>
  <c r="AX8" i="5"/>
  <c r="AI8" i="5"/>
  <c r="AJ8" i="5" s="1"/>
  <c r="AA8" i="5"/>
  <c r="X8" i="5"/>
  <c r="W8" i="5"/>
  <c r="AZ20" i="5" l="1"/>
  <c r="AD17" i="5"/>
  <c r="AY17" i="5" s="1"/>
  <c r="AE17" i="5"/>
  <c r="AZ24" i="5"/>
  <c r="AZ16" i="5"/>
  <c r="AY20" i="5"/>
  <c r="AE21" i="5"/>
  <c r="AD21" i="5"/>
  <c r="AY21" i="5" s="1"/>
  <c r="AZ12" i="5"/>
  <c r="AD12" i="5"/>
  <c r="AF13" i="5"/>
  <c r="AG13" i="5"/>
  <c r="AH13" i="5" s="1"/>
  <c r="AK13" i="5" s="1"/>
  <c r="AB24" i="5"/>
  <c r="AC24" i="5" s="1"/>
  <c r="AE24" i="5" s="1"/>
  <c r="AE20" i="5"/>
  <c r="AB25" i="5"/>
  <c r="AC25" i="5" s="1"/>
  <c r="AE25" i="5" s="1"/>
  <c r="AB12" i="5"/>
  <c r="AC12" i="5" s="1"/>
  <c r="AE12" i="5" s="1"/>
  <c r="AB8" i="5"/>
  <c r="AC8" i="5" s="1"/>
  <c r="AE8" i="5" s="1"/>
  <c r="AB9" i="5"/>
  <c r="AC9" i="5" s="1"/>
  <c r="AE9" i="5" s="1"/>
  <c r="AB16" i="5"/>
  <c r="AC16" i="5" s="1"/>
  <c r="AE16" i="5" s="1"/>
  <c r="AL13" i="5" l="1"/>
  <c r="AG16" i="5"/>
  <c r="AH16" i="5" s="1"/>
  <c r="AK16" i="5" s="1"/>
  <c r="AL16" i="5" s="1"/>
  <c r="AF16" i="5"/>
  <c r="AF9" i="5"/>
  <c r="AG9" i="5"/>
  <c r="AH9" i="5" s="1"/>
  <c r="AK9" i="5" s="1"/>
  <c r="AD9" i="5"/>
  <c r="AY9" i="5" s="1"/>
  <c r="AD25" i="5"/>
  <c r="AY25" i="5" s="1"/>
  <c r="AD16" i="5"/>
  <c r="AD22" i="5"/>
  <c r="AD14" i="5"/>
  <c r="AY12" i="5"/>
  <c r="AY14" i="5" s="1"/>
  <c r="BA12" i="5" s="1"/>
  <c r="AG21" i="5"/>
  <c r="AH21" i="5" s="1"/>
  <c r="AK21" i="5" s="1"/>
  <c r="AF21" i="5"/>
  <c r="AF12" i="5"/>
  <c r="AG12" i="5"/>
  <c r="AH12" i="5" s="1"/>
  <c r="AK12" i="5" s="1"/>
  <c r="AL12" i="5" s="1"/>
  <c r="AD24" i="5"/>
  <c r="AG24" i="5"/>
  <c r="AH24" i="5" s="1"/>
  <c r="AK24" i="5" s="1"/>
  <c r="AL24" i="5" s="1"/>
  <c r="AF24" i="5"/>
  <c r="AF8" i="5"/>
  <c r="AG8" i="5"/>
  <c r="AH8" i="5" s="1"/>
  <c r="AK8" i="5" s="1"/>
  <c r="AL8" i="5" s="1"/>
  <c r="AG25" i="5"/>
  <c r="AH25" i="5" s="1"/>
  <c r="AK25" i="5" s="1"/>
  <c r="AF25" i="5"/>
  <c r="AD8" i="5"/>
  <c r="AG20" i="5"/>
  <c r="AH20" i="5" s="1"/>
  <c r="AK20" i="5" s="1"/>
  <c r="AL20" i="5" s="1"/>
  <c r="AF20" i="5"/>
  <c r="AY22" i="5"/>
  <c r="BA20" i="5" s="1"/>
  <c r="AG17" i="5"/>
  <c r="AH17" i="5" s="1"/>
  <c r="AK17" i="5" s="1"/>
  <c r="AF17" i="5"/>
  <c r="AL25" i="5" l="1"/>
  <c r="AK26" i="5"/>
  <c r="AL9" i="5"/>
  <c r="AM26" i="5"/>
  <c r="AK10" i="5"/>
  <c r="AM22" i="5"/>
  <c r="AM18" i="5"/>
  <c r="AM14" i="5"/>
  <c r="AK22" i="5"/>
  <c r="AL21" i="5"/>
  <c r="AL17" i="5"/>
  <c r="AK18" i="5"/>
  <c r="AY8" i="5"/>
  <c r="AY10" i="5" s="1"/>
  <c r="AD10" i="5"/>
  <c r="AY24" i="5"/>
  <c r="AY26" i="5" s="1"/>
  <c r="BA24" i="5" s="1"/>
  <c r="AD26" i="5"/>
  <c r="AD18" i="5"/>
  <c r="AY16" i="5"/>
  <c r="AY18" i="5" s="1"/>
  <c r="BA16" i="5" s="1"/>
  <c r="AK14" i="5"/>
  <c r="N30" i="4"/>
  <c r="J30" i="4"/>
  <c r="I30" i="4"/>
  <c r="H30" i="4"/>
  <c r="G30" i="4"/>
  <c r="AX29" i="4"/>
  <c r="AT29" i="4"/>
  <c r="AR29" i="4"/>
  <c r="AS29" i="4" s="1"/>
  <c r="AU29" i="4" s="1"/>
  <c r="AV29" i="4" s="1"/>
  <c r="AW29" i="4" s="1"/>
  <c r="AQ29" i="4"/>
  <c r="AI29" i="4"/>
  <c r="AJ29" i="4" s="1"/>
  <c r="AA29" i="4"/>
  <c r="X29" i="4"/>
  <c r="W29" i="4"/>
  <c r="AT28" i="4"/>
  <c r="AQ28" i="4"/>
  <c r="AJ28" i="4"/>
  <c r="AI28" i="4"/>
  <c r="AB28" i="4"/>
  <c r="AC28" i="4" s="1"/>
  <c r="AE28" i="4" s="1"/>
  <c r="AA28" i="4"/>
  <c r="AD28" i="4" s="1"/>
  <c r="X28" i="4"/>
  <c r="W28" i="4"/>
  <c r="N26" i="4"/>
  <c r="J26" i="4"/>
  <c r="I26" i="4"/>
  <c r="H26" i="4"/>
  <c r="G26" i="4"/>
  <c r="AX25" i="4"/>
  <c r="AU25" i="4"/>
  <c r="AV25" i="4" s="1"/>
  <c r="AW25" i="4" s="1"/>
  <c r="AT25" i="4"/>
  <c r="AS25" i="4"/>
  <c r="AR25" i="4"/>
  <c r="AQ25" i="4"/>
  <c r="AI25" i="4"/>
  <c r="AJ25" i="4" s="1"/>
  <c r="AA25" i="4"/>
  <c r="AB25" i="4" s="1"/>
  <c r="AC25" i="4" s="1"/>
  <c r="X25" i="4"/>
  <c r="W25" i="4"/>
  <c r="AT24" i="4"/>
  <c r="AQ24" i="4"/>
  <c r="AJ24" i="4"/>
  <c r="AI24" i="4"/>
  <c r="AB24" i="4"/>
  <c r="AC24" i="4" s="1"/>
  <c r="AA24" i="4"/>
  <c r="X24" i="4"/>
  <c r="W24" i="4"/>
  <c r="J22" i="4"/>
  <c r="I22" i="4"/>
  <c r="H22" i="4"/>
  <c r="G22" i="4"/>
  <c r="AX21" i="4"/>
  <c r="AT21" i="4"/>
  <c r="AJ21" i="4"/>
  <c r="AI21" i="4"/>
  <c r="AA21" i="4"/>
  <c r="W21" i="4"/>
  <c r="N21" i="4"/>
  <c r="AQ21" i="4" s="1"/>
  <c r="AR21" i="4" s="1"/>
  <c r="AS21" i="4" s="1"/>
  <c r="AU21" i="4" s="1"/>
  <c r="AV21" i="4" s="1"/>
  <c r="AW21" i="4" s="1"/>
  <c r="AT20" i="4"/>
  <c r="AQ20" i="4"/>
  <c r="AI20" i="4"/>
  <c r="AJ20" i="4" s="1"/>
  <c r="AA20" i="4"/>
  <c r="X20" i="4"/>
  <c r="W20" i="4"/>
  <c r="N18" i="4"/>
  <c r="J18" i="4"/>
  <c r="I18" i="4"/>
  <c r="H18" i="4"/>
  <c r="G18" i="4"/>
  <c r="AX17" i="4"/>
  <c r="AT17" i="4"/>
  <c r="AU17" i="4" s="1"/>
  <c r="AV17" i="4" s="1"/>
  <c r="AW17" i="4" s="1"/>
  <c r="AS17" i="4"/>
  <c r="AR17" i="4"/>
  <c r="AQ17" i="4"/>
  <c r="AJ17" i="4"/>
  <c r="AI17" i="4"/>
  <c r="AA17" i="4"/>
  <c r="X17" i="4"/>
  <c r="AB17" i="4" s="1"/>
  <c r="AC17" i="4" s="1"/>
  <c r="AE17" i="4" s="1"/>
  <c r="W17" i="4"/>
  <c r="AT16" i="4"/>
  <c r="AQ16" i="4"/>
  <c r="AI16" i="4"/>
  <c r="AJ16" i="4" s="1"/>
  <c r="AA16" i="4"/>
  <c r="AB16" i="4" s="1"/>
  <c r="AC16" i="4" s="1"/>
  <c r="X16" i="4"/>
  <c r="W16" i="4"/>
  <c r="N14" i="4"/>
  <c r="J14" i="4"/>
  <c r="I14" i="4"/>
  <c r="H14" i="4"/>
  <c r="G14" i="4"/>
  <c r="AX13" i="4"/>
  <c r="AT13" i="4"/>
  <c r="AR13" i="4"/>
  <c r="AS13" i="4" s="1"/>
  <c r="AU13" i="4" s="1"/>
  <c r="AV13" i="4" s="1"/>
  <c r="AW13" i="4" s="1"/>
  <c r="AQ13" i="4"/>
  <c r="AJ13" i="4"/>
  <c r="AI13" i="4"/>
  <c r="AE13" i="4"/>
  <c r="AF13" i="4" s="1"/>
  <c r="AC13" i="4"/>
  <c r="AD13" i="4" s="1"/>
  <c r="AY13" i="4" s="1"/>
  <c r="AB13" i="4"/>
  <c r="AA13" i="4"/>
  <c r="X13" i="4"/>
  <c r="W13" i="4"/>
  <c r="AT12" i="4"/>
  <c r="AQ12" i="4"/>
  <c r="AI12" i="4"/>
  <c r="AJ12" i="4" s="1"/>
  <c r="AA12" i="4"/>
  <c r="AB12" i="4" s="1"/>
  <c r="AC12" i="4" s="1"/>
  <c r="X12" i="4"/>
  <c r="W12" i="4"/>
  <c r="N10" i="4"/>
  <c r="J10" i="4"/>
  <c r="I10" i="4"/>
  <c r="H10" i="4"/>
  <c r="G10" i="4"/>
  <c r="AX9" i="4"/>
  <c r="AT9" i="4"/>
  <c r="AQ9" i="4"/>
  <c r="AR9" i="4" s="1"/>
  <c r="AS9" i="4" s="1"/>
  <c r="AU9" i="4" s="1"/>
  <c r="AV9" i="4" s="1"/>
  <c r="AW9" i="4" s="1"/>
  <c r="AI9" i="4"/>
  <c r="AJ9" i="4" s="1"/>
  <c r="AA9" i="4"/>
  <c r="AB9" i="4" s="1"/>
  <c r="AC9" i="4" s="1"/>
  <c r="AE9" i="4" s="1"/>
  <c r="X9" i="4"/>
  <c r="W9" i="4"/>
  <c r="AT8" i="4"/>
  <c r="AQ8" i="4"/>
  <c r="AI8" i="4"/>
  <c r="AJ8" i="4" s="1"/>
  <c r="AA8" i="4"/>
  <c r="X8" i="4"/>
  <c r="W8" i="4"/>
  <c r="AZ21" i="4" l="1"/>
  <c r="AD16" i="4"/>
  <c r="AE16" i="4"/>
  <c r="AE12" i="4"/>
  <c r="AD12" i="4"/>
  <c r="AD9" i="4"/>
  <c r="AY9" i="4" s="1"/>
  <c r="AZ17" i="4"/>
  <c r="AZ25" i="4"/>
  <c r="AF9" i="4"/>
  <c r="AG9" i="4"/>
  <c r="AH9" i="4" s="1"/>
  <c r="AG17" i="4"/>
  <c r="AH17" i="4" s="1"/>
  <c r="AK17" i="4" s="1"/>
  <c r="AL17" i="4" s="1"/>
  <c r="AF17" i="4"/>
  <c r="AY28" i="4"/>
  <c r="AD29" i="4"/>
  <c r="AY29" i="4" s="1"/>
  <c r="AZ13" i="4"/>
  <c r="AD17" i="4"/>
  <c r="AY17" i="4" s="1"/>
  <c r="AE25" i="4"/>
  <c r="AD25" i="4"/>
  <c r="AY25" i="4" s="1"/>
  <c r="AG28" i="4"/>
  <c r="AH28" i="4" s="1"/>
  <c r="AK28" i="4" s="1"/>
  <c r="AF28" i="4"/>
  <c r="AZ29" i="4"/>
  <c r="AK9" i="4"/>
  <c r="AL9" i="4" s="1"/>
  <c r="AZ9" i="4"/>
  <c r="AD24" i="4"/>
  <c r="AE24" i="4"/>
  <c r="AB8" i="4"/>
  <c r="AC8" i="4" s="1"/>
  <c r="AE8" i="4" s="1"/>
  <c r="AG13" i="4"/>
  <c r="AH13" i="4" s="1"/>
  <c r="AK13" i="4" s="1"/>
  <c r="AL13" i="4" s="1"/>
  <c r="AB20" i="4"/>
  <c r="AC20" i="4" s="1"/>
  <c r="AE20" i="4" s="1"/>
  <c r="X21" i="4"/>
  <c r="AB29" i="4"/>
  <c r="AC29" i="4" s="1"/>
  <c r="AE29" i="4" s="1"/>
  <c r="N22" i="4"/>
  <c r="AL28" i="4" l="1"/>
  <c r="AG29" i="4"/>
  <c r="AH29" i="4" s="1"/>
  <c r="AK29" i="4" s="1"/>
  <c r="AL29" i="4" s="1"/>
  <c r="AF29" i="4"/>
  <c r="AD30" i="4"/>
  <c r="AF12" i="4"/>
  <c r="AG12" i="4"/>
  <c r="AH12" i="4" s="1"/>
  <c r="AK12" i="4" s="1"/>
  <c r="AY24" i="4"/>
  <c r="AY26" i="4" s="1"/>
  <c r="BA25" i="4" s="1"/>
  <c r="AD26" i="4"/>
  <c r="AB21" i="4"/>
  <c r="AC21" i="4" s="1"/>
  <c r="AE21" i="4" s="1"/>
  <c r="AY30" i="4"/>
  <c r="BA29" i="4" s="1"/>
  <c r="AG16" i="4"/>
  <c r="AH16" i="4" s="1"/>
  <c r="AK16" i="4" s="1"/>
  <c r="AF16" i="4"/>
  <c r="AG24" i="4"/>
  <c r="AH24" i="4" s="1"/>
  <c r="AK24" i="4" s="1"/>
  <c r="AF24" i="4"/>
  <c r="AG20" i="4"/>
  <c r="AH20" i="4" s="1"/>
  <c r="AK20" i="4" s="1"/>
  <c r="AF20" i="4"/>
  <c r="AD8" i="4"/>
  <c r="AG25" i="4"/>
  <c r="AH25" i="4" s="1"/>
  <c r="AK25" i="4" s="1"/>
  <c r="AL25" i="4" s="1"/>
  <c r="AF25" i="4"/>
  <c r="AD20" i="4"/>
  <c r="AY16" i="4"/>
  <c r="AY18" i="4" s="1"/>
  <c r="BA17" i="4" s="1"/>
  <c r="AD18" i="4"/>
  <c r="AD14" i="4"/>
  <c r="AY12" i="4"/>
  <c r="AY14" i="4" s="1"/>
  <c r="BA13" i="4" s="1"/>
  <c r="AG8" i="4"/>
  <c r="AH8" i="4" s="1"/>
  <c r="AK8" i="4" s="1"/>
  <c r="AF8" i="4"/>
  <c r="AM30" i="4" l="1"/>
  <c r="AK10" i="4"/>
  <c r="AM18" i="4"/>
  <c r="AM26" i="4"/>
  <c r="AL8" i="4"/>
  <c r="AM22" i="4"/>
  <c r="AM14" i="4"/>
  <c r="AF21" i="4"/>
  <c r="AG21" i="4"/>
  <c r="AH21" i="4" s="1"/>
  <c r="AK21" i="4" s="1"/>
  <c r="AL21" i="4" s="1"/>
  <c r="AD21" i="4"/>
  <c r="AY21" i="4" s="1"/>
  <c r="AK30" i="4"/>
  <c r="AL24" i="4"/>
  <c r="AK26" i="4"/>
  <c r="AL12" i="4"/>
  <c r="AK14" i="4"/>
  <c r="AD22" i="4"/>
  <c r="AY20" i="4"/>
  <c r="AY22" i="4" s="1"/>
  <c r="BA21" i="4" s="1"/>
  <c r="AY8" i="4"/>
  <c r="AY10" i="4" s="1"/>
  <c r="BA9" i="4" s="1"/>
  <c r="AD10" i="4"/>
  <c r="AL20" i="4"/>
  <c r="AK18" i="4"/>
  <c r="AL16" i="4"/>
  <c r="N30" i="3"/>
  <c r="J30" i="3"/>
  <c r="I30" i="3"/>
  <c r="G30" i="3"/>
  <c r="AX29" i="3"/>
  <c r="AT29" i="3"/>
  <c r="AQ29" i="3"/>
  <c r="AR29" i="3" s="1"/>
  <c r="AS29" i="3" s="1"/>
  <c r="AU29" i="3" s="1"/>
  <c r="AV29" i="3" s="1"/>
  <c r="AW29" i="3" s="1"/>
  <c r="AI29" i="3"/>
  <c r="AJ29" i="3" s="1"/>
  <c r="AA29" i="3"/>
  <c r="AB29" i="3" s="1"/>
  <c r="AC29" i="3" s="1"/>
  <c r="X29" i="3"/>
  <c r="W29" i="3"/>
  <c r="AT28" i="3"/>
  <c r="AQ28" i="3"/>
  <c r="AI28" i="3"/>
  <c r="AJ28" i="3" s="1"/>
  <c r="AA28" i="3"/>
  <c r="X28" i="3"/>
  <c r="W28" i="3"/>
  <c r="N26" i="3"/>
  <c r="J26" i="3"/>
  <c r="I26" i="3"/>
  <c r="G26" i="3"/>
  <c r="AX25" i="3"/>
  <c r="AT25" i="3"/>
  <c r="AQ25" i="3"/>
  <c r="AR25" i="3" s="1"/>
  <c r="AS25" i="3" s="1"/>
  <c r="AU25" i="3" s="1"/>
  <c r="AV25" i="3" s="1"/>
  <c r="AW25" i="3" s="1"/>
  <c r="AI25" i="3"/>
  <c r="AJ25" i="3" s="1"/>
  <c r="AA25" i="3"/>
  <c r="X25" i="3"/>
  <c r="W25" i="3"/>
  <c r="AT24" i="3"/>
  <c r="AQ24" i="3"/>
  <c r="AI24" i="3"/>
  <c r="AJ24" i="3" s="1"/>
  <c r="AA24" i="3"/>
  <c r="X24" i="3"/>
  <c r="W24" i="3"/>
  <c r="N22" i="3"/>
  <c r="J22" i="3"/>
  <c r="I22" i="3"/>
  <c r="G22" i="3"/>
  <c r="AX21" i="3"/>
  <c r="AT21" i="3"/>
  <c r="AR21" i="3"/>
  <c r="AS21" i="3" s="1"/>
  <c r="AU21" i="3" s="1"/>
  <c r="AV21" i="3" s="1"/>
  <c r="AW21" i="3" s="1"/>
  <c r="AQ21" i="3"/>
  <c r="AI21" i="3"/>
  <c r="AJ21" i="3" s="1"/>
  <c r="AA21" i="3"/>
  <c r="X21" i="3"/>
  <c r="W21" i="3"/>
  <c r="AT20" i="3"/>
  <c r="AQ20" i="3"/>
  <c r="AI20" i="3"/>
  <c r="AJ20" i="3" s="1"/>
  <c r="AA20" i="3"/>
  <c r="X20" i="3"/>
  <c r="W20" i="3"/>
  <c r="N18" i="3"/>
  <c r="J18" i="3"/>
  <c r="I18" i="3"/>
  <c r="G18" i="3"/>
  <c r="AX17" i="3"/>
  <c r="AT17" i="3"/>
  <c r="AS17" i="3"/>
  <c r="AU17" i="3" s="1"/>
  <c r="AV17" i="3" s="1"/>
  <c r="AW17" i="3" s="1"/>
  <c r="AR17" i="3"/>
  <c r="AQ17" i="3"/>
  <c r="AI17" i="3"/>
  <c r="AJ17" i="3" s="1"/>
  <c r="AA17" i="3"/>
  <c r="AB17" i="3" s="1"/>
  <c r="AC17" i="3" s="1"/>
  <c r="AE17" i="3" s="1"/>
  <c r="X17" i="3"/>
  <c r="W17" i="3"/>
  <c r="AT16" i="3"/>
  <c r="AQ16" i="3"/>
  <c r="AI16" i="3"/>
  <c r="AJ16" i="3" s="1"/>
  <c r="AA16" i="3"/>
  <c r="AB16" i="3" s="1"/>
  <c r="AC16" i="3" s="1"/>
  <c r="AE16" i="3" s="1"/>
  <c r="X16" i="3"/>
  <c r="W16" i="3"/>
  <c r="N14" i="3"/>
  <c r="J14" i="3"/>
  <c r="I14" i="3"/>
  <c r="G14" i="3"/>
  <c r="AX13" i="3"/>
  <c r="AT13" i="3"/>
  <c r="AQ13" i="3"/>
  <c r="AR13" i="3" s="1"/>
  <c r="AS13" i="3" s="1"/>
  <c r="AU13" i="3" s="1"/>
  <c r="AV13" i="3" s="1"/>
  <c r="AW13" i="3" s="1"/>
  <c r="AI13" i="3"/>
  <c r="AJ13" i="3" s="1"/>
  <c r="AA13" i="3"/>
  <c r="AB13" i="3" s="1"/>
  <c r="AC13" i="3" s="1"/>
  <c r="AE13" i="3" s="1"/>
  <c r="X13" i="3"/>
  <c r="W13" i="3"/>
  <c r="AT12" i="3"/>
  <c r="AQ12" i="3"/>
  <c r="AI12" i="3"/>
  <c r="AJ12" i="3" s="1"/>
  <c r="AA12" i="3"/>
  <c r="AB12" i="3" s="1"/>
  <c r="AC12" i="3" s="1"/>
  <c r="AE12" i="3" s="1"/>
  <c r="X12" i="3"/>
  <c r="W12" i="3"/>
  <c r="N10" i="3"/>
  <c r="J10" i="3"/>
  <c r="I10" i="3"/>
  <c r="G10" i="3"/>
  <c r="AX9" i="3"/>
  <c r="AT9" i="3"/>
  <c r="AQ9" i="3"/>
  <c r="AR9" i="3" s="1"/>
  <c r="AS9" i="3" s="1"/>
  <c r="AU9" i="3" s="1"/>
  <c r="AV9" i="3" s="1"/>
  <c r="AW9" i="3" s="1"/>
  <c r="AI9" i="3"/>
  <c r="AJ9" i="3" s="1"/>
  <c r="AA9" i="3"/>
  <c r="AB9" i="3" s="1"/>
  <c r="AC9" i="3" s="1"/>
  <c r="AE9" i="3" s="1"/>
  <c r="X9" i="3"/>
  <c r="W9" i="3"/>
  <c r="AT8" i="3"/>
  <c r="AQ8" i="3"/>
  <c r="AI8" i="3"/>
  <c r="AJ8" i="3" s="1"/>
  <c r="AA8" i="3"/>
  <c r="AB8" i="3" s="1"/>
  <c r="AC8" i="3" s="1"/>
  <c r="AE8" i="3" s="1"/>
  <c r="X8" i="3"/>
  <c r="W8" i="3"/>
  <c r="AK22" i="4" l="1"/>
  <c r="AD25" i="3"/>
  <c r="AY25" i="3" s="1"/>
  <c r="AZ21" i="3"/>
  <c r="AZ9" i="3"/>
  <c r="AG17" i="3"/>
  <c r="AH17" i="3" s="1"/>
  <c r="AK17" i="3" s="1"/>
  <c r="AL17" i="3" s="1"/>
  <c r="AF17" i="3"/>
  <c r="AZ29" i="3"/>
  <c r="AG9" i="3"/>
  <c r="AH9" i="3" s="1"/>
  <c r="AK9" i="3" s="1"/>
  <c r="AL9" i="3" s="1"/>
  <c r="AF9" i="3"/>
  <c r="AE29" i="3"/>
  <c r="AD29" i="3"/>
  <c r="AY29" i="3" s="1"/>
  <c r="AZ13" i="3"/>
  <c r="AG13" i="3"/>
  <c r="AH13" i="3" s="1"/>
  <c r="AK13" i="3" s="1"/>
  <c r="AL13" i="3" s="1"/>
  <c r="AF13" i="3"/>
  <c r="AG8" i="3"/>
  <c r="AH8" i="3" s="1"/>
  <c r="AK8" i="3" s="1"/>
  <c r="AF8" i="3"/>
  <c r="AG16" i="3"/>
  <c r="AH16" i="3" s="1"/>
  <c r="AK16" i="3" s="1"/>
  <c r="AF16" i="3"/>
  <c r="AD20" i="3"/>
  <c r="AY20" i="3" s="1"/>
  <c r="AZ25" i="3"/>
  <c r="AG12" i="3"/>
  <c r="AH12" i="3" s="1"/>
  <c r="AK12" i="3" s="1"/>
  <c r="AF12" i="3"/>
  <c r="AZ17" i="3"/>
  <c r="AD8" i="3"/>
  <c r="AY8" i="3" s="1"/>
  <c r="AB20" i="3"/>
  <c r="AC20" i="3" s="1"/>
  <c r="AE20" i="3" s="1"/>
  <c r="AD9" i="3"/>
  <c r="AY9" i="3" s="1"/>
  <c r="AD13" i="3"/>
  <c r="AY13" i="3" s="1"/>
  <c r="AD16" i="3"/>
  <c r="AY16" i="3" s="1"/>
  <c r="AY18" i="3" s="1"/>
  <c r="BA17" i="3" s="1"/>
  <c r="AB21" i="3"/>
  <c r="AC21" i="3" s="1"/>
  <c r="AE21" i="3" s="1"/>
  <c r="AB24" i="3"/>
  <c r="AC24" i="3" s="1"/>
  <c r="AE24" i="3" s="1"/>
  <c r="AD12" i="3"/>
  <c r="AY12" i="3" s="1"/>
  <c r="AD17" i="3"/>
  <c r="AY17" i="3" s="1"/>
  <c r="AB25" i="3"/>
  <c r="AC25" i="3" s="1"/>
  <c r="AE25" i="3" s="1"/>
  <c r="AB28" i="3"/>
  <c r="AC28" i="3" s="1"/>
  <c r="AE28" i="3" s="1"/>
  <c r="AM30" i="3" l="1"/>
  <c r="AM26" i="3"/>
  <c r="AM22" i="3"/>
  <c r="AL8" i="3"/>
  <c r="AM18" i="3"/>
  <c r="AM14" i="3"/>
  <c r="AK10" i="3"/>
  <c r="AK18" i="3"/>
  <c r="AL16" i="3"/>
  <c r="AL12" i="3"/>
  <c r="AK14" i="3"/>
  <c r="AG24" i="3"/>
  <c r="AH24" i="3" s="1"/>
  <c r="AK24" i="3" s="1"/>
  <c r="AF24" i="3"/>
  <c r="AD21" i="3"/>
  <c r="AY21" i="3" s="1"/>
  <c r="AY22" i="3" s="1"/>
  <c r="BA21" i="3" s="1"/>
  <c r="AF29" i="3"/>
  <c r="AG29" i="3"/>
  <c r="AH29" i="3" s="1"/>
  <c r="AK29" i="3" s="1"/>
  <c r="AL29" i="3" s="1"/>
  <c r="AG20" i="3"/>
  <c r="AH20" i="3" s="1"/>
  <c r="AK20" i="3" s="1"/>
  <c r="AF20" i="3"/>
  <c r="AD24" i="3"/>
  <c r="AY24" i="3" s="1"/>
  <c r="AY26" i="3" s="1"/>
  <c r="BA25" i="3" s="1"/>
  <c r="AG21" i="3"/>
  <c r="AH21" i="3" s="1"/>
  <c r="AK21" i="3" s="1"/>
  <c r="AL21" i="3" s="1"/>
  <c r="AF21" i="3"/>
  <c r="AF28" i="3"/>
  <c r="AG28" i="3"/>
  <c r="AH28" i="3" s="1"/>
  <c r="AK28" i="3" s="1"/>
  <c r="AY10" i="3"/>
  <c r="BA9" i="3" s="1"/>
  <c r="AF25" i="3"/>
  <c r="AG25" i="3"/>
  <c r="AH25" i="3" s="1"/>
  <c r="AK25" i="3" s="1"/>
  <c r="AL25" i="3" s="1"/>
  <c r="AY14" i="3"/>
  <c r="BA13" i="3" s="1"/>
  <c r="AD28" i="3"/>
  <c r="AY28" i="3" s="1"/>
  <c r="AY30" i="3" s="1"/>
  <c r="BA29" i="3" s="1"/>
  <c r="AK22" i="3" l="1"/>
  <c r="AL20" i="3"/>
  <c r="AK30" i="3"/>
  <c r="AL28" i="3"/>
  <c r="AK26" i="3"/>
  <c r="AL24" i="3"/>
  <c r="N34" i="2"/>
  <c r="J34" i="2"/>
  <c r="I34" i="2"/>
  <c r="G34" i="2"/>
  <c r="AX33" i="2"/>
  <c r="AT33" i="2"/>
  <c r="AQ33" i="2"/>
  <c r="AR33" i="2" s="1"/>
  <c r="AS33" i="2" s="1"/>
  <c r="AU33" i="2" s="1"/>
  <c r="AV33" i="2" s="1"/>
  <c r="AW33" i="2" s="1"/>
  <c r="AI33" i="2"/>
  <c r="AJ33" i="2" s="1"/>
  <c r="AA33" i="2"/>
  <c r="Z33" i="2"/>
  <c r="Y33" i="2"/>
  <c r="AT32" i="2"/>
  <c r="AQ32" i="2"/>
  <c r="AI32" i="2"/>
  <c r="AJ32" i="2" s="1"/>
  <c r="AA32" i="2"/>
  <c r="Z32" i="2"/>
  <c r="Y32" i="2"/>
  <c r="N30" i="2"/>
  <c r="J30" i="2"/>
  <c r="I30" i="2"/>
  <c r="G30" i="2"/>
  <c r="AX29" i="2"/>
  <c r="AT29" i="2"/>
  <c r="AR29" i="2"/>
  <c r="AS29" i="2" s="1"/>
  <c r="AU29" i="2" s="1"/>
  <c r="AV29" i="2" s="1"/>
  <c r="AW29" i="2" s="1"/>
  <c r="AQ29" i="2"/>
  <c r="AI29" i="2"/>
  <c r="AJ29" i="2" s="1"/>
  <c r="AA29" i="2"/>
  <c r="Z29" i="2"/>
  <c r="Y29" i="2"/>
  <c r="AT28" i="2"/>
  <c r="AQ28" i="2"/>
  <c r="AI28" i="2"/>
  <c r="AJ28" i="2" s="1"/>
  <c r="AA28" i="2"/>
  <c r="Z28" i="2"/>
  <c r="Y28" i="2"/>
  <c r="N26" i="2"/>
  <c r="J26" i="2"/>
  <c r="I26" i="2"/>
  <c r="G26" i="2"/>
  <c r="AX25" i="2"/>
  <c r="AT25" i="2"/>
  <c r="AQ25" i="2"/>
  <c r="AR25" i="2" s="1"/>
  <c r="AS25" i="2" s="1"/>
  <c r="AU25" i="2" s="1"/>
  <c r="AV25" i="2" s="1"/>
  <c r="AW25" i="2" s="1"/>
  <c r="AI25" i="2"/>
  <c r="AJ25" i="2" s="1"/>
  <c r="AA25" i="2"/>
  <c r="Z25" i="2"/>
  <c r="Y25" i="2"/>
  <c r="AT24" i="2"/>
  <c r="AQ24" i="2"/>
  <c r="AJ24" i="2"/>
  <c r="AI24" i="2"/>
  <c r="AB24" i="2"/>
  <c r="AC24" i="2" s="1"/>
  <c r="AE24" i="2" s="1"/>
  <c r="AA24" i="2"/>
  <c r="Z24" i="2"/>
  <c r="Y24" i="2"/>
  <c r="N22" i="2"/>
  <c r="J22" i="2"/>
  <c r="I22" i="2"/>
  <c r="G22" i="2"/>
  <c r="AX21" i="2"/>
  <c r="AT21" i="2"/>
  <c r="AQ21" i="2"/>
  <c r="AR21" i="2" s="1"/>
  <c r="AS21" i="2" s="1"/>
  <c r="AU21" i="2" s="1"/>
  <c r="AV21" i="2" s="1"/>
  <c r="AW21" i="2" s="1"/>
  <c r="AJ21" i="2"/>
  <c r="AI21" i="2"/>
  <c r="AB21" i="2"/>
  <c r="AC21" i="2" s="1"/>
  <c r="AE21" i="2" s="1"/>
  <c r="AA21" i="2"/>
  <c r="AD21" i="2" s="1"/>
  <c r="AY21" i="2" s="1"/>
  <c r="Z21" i="2"/>
  <c r="Y21" i="2"/>
  <c r="AT20" i="2"/>
  <c r="AQ20" i="2"/>
  <c r="AI20" i="2"/>
  <c r="AJ20" i="2" s="1"/>
  <c r="AA20" i="2"/>
  <c r="AB20" i="2" s="1"/>
  <c r="AC20" i="2" s="1"/>
  <c r="Z20" i="2"/>
  <c r="Y20" i="2"/>
  <c r="N18" i="2"/>
  <c r="J18" i="2"/>
  <c r="I18" i="2"/>
  <c r="G18" i="2"/>
  <c r="AX17" i="2"/>
  <c r="AT17" i="2"/>
  <c r="AQ17" i="2"/>
  <c r="AR17" i="2" s="1"/>
  <c r="AS17" i="2" s="1"/>
  <c r="AU17" i="2" s="1"/>
  <c r="AV17" i="2" s="1"/>
  <c r="AW17" i="2" s="1"/>
  <c r="AJ17" i="2"/>
  <c r="AI17" i="2"/>
  <c r="AC17" i="2"/>
  <c r="AD17" i="2" s="1"/>
  <c r="AY17" i="2" s="1"/>
  <c r="AB17" i="2"/>
  <c r="AA17" i="2"/>
  <c r="Z17" i="2"/>
  <c r="Y17" i="2"/>
  <c r="AT16" i="2"/>
  <c r="AQ16" i="2"/>
  <c r="AJ16" i="2"/>
  <c r="AI16" i="2"/>
  <c r="AD16" i="2"/>
  <c r="AY16" i="2" s="1"/>
  <c r="AC16" i="2"/>
  <c r="AE16" i="2" s="1"/>
  <c r="AB16" i="2"/>
  <c r="AA16" i="2"/>
  <c r="Z16" i="2"/>
  <c r="Y16" i="2"/>
  <c r="N14" i="2"/>
  <c r="J14" i="2"/>
  <c r="I14" i="2"/>
  <c r="G14" i="2"/>
  <c r="AX13" i="2"/>
  <c r="AT13" i="2"/>
  <c r="AQ13" i="2"/>
  <c r="AR13" i="2" s="1"/>
  <c r="AS13" i="2" s="1"/>
  <c r="AU13" i="2" s="1"/>
  <c r="AV13" i="2" s="1"/>
  <c r="AW13" i="2" s="1"/>
  <c r="AJ13" i="2"/>
  <c r="AI13" i="2"/>
  <c r="AB13" i="2"/>
  <c r="AC13" i="2" s="1"/>
  <c r="AA13" i="2"/>
  <c r="Z13" i="2"/>
  <c r="Y13" i="2"/>
  <c r="AT12" i="2"/>
  <c r="AQ12" i="2"/>
  <c r="AI12" i="2"/>
  <c r="AJ12" i="2" s="1"/>
  <c r="AA12" i="2"/>
  <c r="AB12" i="2" s="1"/>
  <c r="AC12" i="2" s="1"/>
  <c r="Z12" i="2"/>
  <c r="Y12" i="2"/>
  <c r="N10" i="2"/>
  <c r="J10" i="2"/>
  <c r="I10" i="2"/>
  <c r="G10" i="2"/>
  <c r="AX9" i="2"/>
  <c r="AT9" i="2"/>
  <c r="AQ9" i="2"/>
  <c r="AR9" i="2" s="1"/>
  <c r="AS9" i="2" s="1"/>
  <c r="AU9" i="2" s="1"/>
  <c r="AV9" i="2" s="1"/>
  <c r="AW9" i="2" s="1"/>
  <c r="AJ9" i="2"/>
  <c r="AI9" i="2"/>
  <c r="AB9" i="2"/>
  <c r="AC9" i="2" s="1"/>
  <c r="AA9" i="2"/>
  <c r="Z9" i="2"/>
  <c r="Y9" i="2"/>
  <c r="AT8" i="2"/>
  <c r="AQ8" i="2"/>
  <c r="AI8" i="2"/>
  <c r="AJ8" i="2" s="1"/>
  <c r="AA8" i="2"/>
  <c r="AB8" i="2" s="1"/>
  <c r="AC8" i="2" s="1"/>
  <c r="Z8" i="2"/>
  <c r="Y8" i="2"/>
  <c r="AZ13" i="2" l="1"/>
  <c r="AG21" i="2"/>
  <c r="AH21" i="2" s="1"/>
  <c r="AF21" i="2"/>
  <c r="AZ29" i="2"/>
  <c r="AE20" i="2"/>
  <c r="AD20" i="2"/>
  <c r="AY20" i="2" s="1"/>
  <c r="AY22" i="2" s="1"/>
  <c r="BA21" i="2" s="1"/>
  <c r="AE9" i="2"/>
  <c r="AD9" i="2"/>
  <c r="AY9" i="2" s="1"/>
  <c r="AK21" i="2"/>
  <c r="AL21" i="2" s="1"/>
  <c r="AZ17" i="2"/>
  <c r="AZ33" i="2"/>
  <c r="AD8" i="2"/>
  <c r="AY8" i="2" s="1"/>
  <c r="AY10" i="2" s="1"/>
  <c r="BA9" i="2" s="1"/>
  <c r="AE8" i="2"/>
  <c r="AG16" i="2"/>
  <c r="AH16" i="2" s="1"/>
  <c r="AK16" i="2" s="1"/>
  <c r="AF16" i="2"/>
  <c r="AZ21" i="2"/>
  <c r="AY18" i="2"/>
  <c r="BA17" i="2" s="1"/>
  <c r="AD24" i="2"/>
  <c r="AZ9" i="2"/>
  <c r="AD13" i="2"/>
  <c r="AY13" i="2" s="1"/>
  <c r="AE13" i="2"/>
  <c r="AG24" i="2"/>
  <c r="AH24" i="2" s="1"/>
  <c r="AK24" i="2" s="1"/>
  <c r="AF24" i="2"/>
  <c r="AY24" i="2" s="1"/>
  <c r="AD12" i="2"/>
  <c r="AY12" i="2" s="1"/>
  <c r="AE12" i="2"/>
  <c r="AZ25" i="2"/>
  <c r="AB25" i="2"/>
  <c r="AC25" i="2" s="1"/>
  <c r="AE25" i="2" s="1"/>
  <c r="AE17" i="2"/>
  <c r="AB29" i="2"/>
  <c r="AC29" i="2" s="1"/>
  <c r="AE29" i="2" s="1"/>
  <c r="AB32" i="2"/>
  <c r="AC32" i="2" s="1"/>
  <c r="AE32" i="2" s="1"/>
  <c r="AB28" i="2"/>
  <c r="AC28" i="2" s="1"/>
  <c r="AE28" i="2" s="1"/>
  <c r="AB33" i="2"/>
  <c r="AC33" i="2" s="1"/>
  <c r="AE33" i="2" s="1"/>
  <c r="AM30" i="2" l="1"/>
  <c r="AL24" i="2"/>
  <c r="AG8" i="2"/>
  <c r="AH8" i="2" s="1"/>
  <c r="AK8" i="2" s="1"/>
  <c r="AF8" i="2"/>
  <c r="AF13" i="2"/>
  <c r="AG13" i="2"/>
  <c r="AH13" i="2" s="1"/>
  <c r="AK13" i="2" s="1"/>
  <c r="AL13" i="2" s="1"/>
  <c r="AY14" i="2"/>
  <c r="BA13" i="2" s="1"/>
  <c r="AD33" i="2"/>
  <c r="AY33" i="2" s="1"/>
  <c r="AF33" i="2"/>
  <c r="AG33" i="2"/>
  <c r="AH33" i="2" s="1"/>
  <c r="AK33" i="2" s="1"/>
  <c r="AL33" i="2" s="1"/>
  <c r="AG29" i="2"/>
  <c r="AH29" i="2" s="1"/>
  <c r="AK29" i="2" s="1"/>
  <c r="AL29" i="2" s="1"/>
  <c r="AF29" i="2"/>
  <c r="AG20" i="2"/>
  <c r="AH20" i="2" s="1"/>
  <c r="AK20" i="2" s="1"/>
  <c r="AF20" i="2"/>
  <c r="AF12" i="2"/>
  <c r="AG12" i="2"/>
  <c r="AH12" i="2" s="1"/>
  <c r="AK12" i="2" s="1"/>
  <c r="AD28" i="2"/>
  <c r="AY28" i="2" s="1"/>
  <c r="AG17" i="2"/>
  <c r="AH17" i="2" s="1"/>
  <c r="AK17" i="2" s="1"/>
  <c r="AL17" i="2" s="1"/>
  <c r="AF17" i="2"/>
  <c r="AG9" i="2"/>
  <c r="AH9" i="2" s="1"/>
  <c r="AK9" i="2" s="1"/>
  <c r="AL9" i="2" s="1"/>
  <c r="AF9" i="2"/>
  <c r="AL16" i="2"/>
  <c r="AM22" i="2"/>
  <c r="AK18" i="2"/>
  <c r="AG28" i="2"/>
  <c r="AH28" i="2" s="1"/>
  <c r="AK28" i="2" s="1"/>
  <c r="AF28" i="2"/>
  <c r="AG32" i="2"/>
  <c r="AH32" i="2" s="1"/>
  <c r="AK32" i="2" s="1"/>
  <c r="AF32" i="2"/>
  <c r="AD29" i="2"/>
  <c r="AY29" i="2" s="1"/>
  <c r="AG25" i="2"/>
  <c r="AH25" i="2" s="1"/>
  <c r="AK25" i="2" s="1"/>
  <c r="AL25" i="2" s="1"/>
  <c r="AF25" i="2"/>
  <c r="AY25" i="2" s="1"/>
  <c r="AY26" i="2"/>
  <c r="BA25" i="2" s="1"/>
  <c r="AD25" i="2"/>
  <c r="AD32" i="2"/>
  <c r="AY32" i="2" s="1"/>
  <c r="AL12" i="2" l="1"/>
  <c r="AM18" i="2"/>
  <c r="AK14" i="2"/>
  <c r="AM26" i="2"/>
  <c r="AL20" i="2"/>
  <c r="AK22" i="2"/>
  <c r="AK34" i="2"/>
  <c r="AL32" i="2"/>
  <c r="AL8" i="2"/>
  <c r="AK10" i="2"/>
  <c r="AM14" i="2"/>
  <c r="AY34" i="2"/>
  <c r="BA33" i="2" s="1"/>
  <c r="AM34" i="2"/>
  <c r="AK30" i="2"/>
  <c r="AL28" i="2"/>
  <c r="AY30" i="2"/>
  <c r="BA29" i="2" s="1"/>
  <c r="AK26" i="2"/>
  <c r="AM30" i="1"/>
  <c r="S30" i="1"/>
  <c r="J30" i="1"/>
  <c r="I30" i="1"/>
  <c r="H30" i="1"/>
  <c r="G30" i="1"/>
  <c r="F30" i="1"/>
  <c r="AI29" i="1"/>
  <c r="AJ29" i="1" s="1"/>
  <c r="AA29" i="1"/>
  <c r="Z29" i="1"/>
  <c r="Y29" i="1"/>
  <c r="AJ28" i="1"/>
  <c r="AI28" i="1"/>
  <c r="AA28" i="1"/>
  <c r="Z28" i="1"/>
  <c r="AB28" i="1" s="1"/>
  <c r="AC28" i="1" s="1"/>
  <c r="Y28" i="1"/>
  <c r="S26" i="1"/>
  <c r="J26" i="1"/>
  <c r="I26" i="1"/>
  <c r="H26" i="1"/>
  <c r="G26" i="1"/>
  <c r="F26" i="1"/>
  <c r="AJ25" i="1"/>
  <c r="AI25" i="1"/>
  <c r="AA25" i="1"/>
  <c r="Z25" i="1"/>
  <c r="AB25" i="1" s="1"/>
  <c r="AC25" i="1" s="1"/>
  <c r="Y25" i="1"/>
  <c r="AJ24" i="1"/>
  <c r="AI24" i="1"/>
  <c r="AB24" i="1"/>
  <c r="AC24" i="1" s="1"/>
  <c r="AA24" i="1"/>
  <c r="Z24" i="1"/>
  <c r="Y24" i="1"/>
  <c r="S22" i="1"/>
  <c r="J22" i="1"/>
  <c r="I22" i="1"/>
  <c r="H22" i="1"/>
  <c r="G22" i="1"/>
  <c r="F22" i="1"/>
  <c r="AJ21" i="1"/>
  <c r="AI21" i="1"/>
  <c r="AB21" i="1"/>
  <c r="AC21" i="1" s="1"/>
  <c r="AA21" i="1"/>
  <c r="Z21" i="1"/>
  <c r="Y21" i="1"/>
  <c r="AJ20" i="1"/>
  <c r="AI20" i="1"/>
  <c r="AA20" i="1"/>
  <c r="Z20" i="1"/>
  <c r="AB20" i="1" s="1"/>
  <c r="AC20" i="1" s="1"/>
  <c r="AE20" i="1" s="1"/>
  <c r="Y20" i="1"/>
  <c r="S18" i="1"/>
  <c r="J18" i="1"/>
  <c r="I18" i="1"/>
  <c r="H18" i="1"/>
  <c r="G18" i="1"/>
  <c r="F18" i="1"/>
  <c r="AI17" i="1"/>
  <c r="AJ17" i="1" s="1"/>
  <c r="AA17" i="1"/>
  <c r="Z17" i="1"/>
  <c r="Y17" i="1"/>
  <c r="AI16" i="1"/>
  <c r="AJ16" i="1" s="1"/>
  <c r="AA16" i="1"/>
  <c r="Z16" i="1"/>
  <c r="Y16" i="1"/>
  <c r="AM14" i="1"/>
  <c r="J14" i="1"/>
  <c r="I14" i="1"/>
  <c r="H14" i="1"/>
  <c r="G14" i="1"/>
  <c r="F14" i="1"/>
  <c r="AI13" i="1"/>
  <c r="AJ13" i="1" s="1"/>
  <c r="Z13" i="1"/>
  <c r="Y13" i="1"/>
  <c r="S13" i="1"/>
  <c r="S14" i="1" s="1"/>
  <c r="AI12" i="1"/>
  <c r="AJ12" i="1" s="1"/>
  <c r="AA12" i="1"/>
  <c r="Z12" i="1"/>
  <c r="Y12" i="1"/>
  <c r="S10" i="1"/>
  <c r="J10" i="1"/>
  <c r="I10" i="1"/>
  <c r="H10" i="1"/>
  <c r="G10" i="1"/>
  <c r="AM18" i="1" s="1"/>
  <c r="F10" i="1"/>
  <c r="AJ9" i="1"/>
  <c r="AI9" i="1"/>
  <c r="AB9" i="1"/>
  <c r="AC9" i="1" s="1"/>
  <c r="AA9" i="1"/>
  <c r="Z9" i="1"/>
  <c r="Y9" i="1"/>
  <c r="AJ8" i="1"/>
  <c r="AI8" i="1"/>
  <c r="AB8" i="1"/>
  <c r="AC8" i="1" s="1"/>
  <c r="Z8" i="1"/>
  <c r="Y8" i="1"/>
  <c r="AG20" i="1" l="1"/>
  <c r="AH20" i="1" s="1"/>
  <c r="AF20" i="1"/>
  <c r="AD9" i="1"/>
  <c r="AE9" i="1"/>
  <c r="AE28" i="1"/>
  <c r="AD28" i="1"/>
  <c r="AE21" i="1"/>
  <c r="AD21" i="1"/>
  <c r="AD20" i="1"/>
  <c r="AD16" i="1"/>
  <c r="AK20" i="1"/>
  <c r="AE24" i="1"/>
  <c r="AD24" i="1"/>
  <c r="AD26" i="1" s="1"/>
  <c r="AD25" i="1"/>
  <c r="AE25" i="1"/>
  <c r="AE8" i="1"/>
  <c r="AD8" i="1"/>
  <c r="AD10" i="1" s="1"/>
  <c r="AA13" i="1"/>
  <c r="AB17" i="1"/>
  <c r="AC17" i="1" s="1"/>
  <c r="AE17" i="1" s="1"/>
  <c r="AM26" i="1"/>
  <c r="AB16" i="1"/>
  <c r="AC16" i="1" s="1"/>
  <c r="AE16" i="1" s="1"/>
  <c r="AM22" i="1"/>
  <c r="AB29" i="1"/>
  <c r="AC29" i="1" s="1"/>
  <c r="AE29" i="1" s="1"/>
  <c r="AB12" i="1"/>
  <c r="AC12" i="1" s="1"/>
  <c r="AE12" i="1" s="1"/>
  <c r="AD30" i="1" l="1"/>
  <c r="AG24" i="1"/>
  <c r="AH24" i="1" s="1"/>
  <c r="AK24" i="1" s="1"/>
  <c r="AF24" i="1"/>
  <c r="AG28" i="1"/>
  <c r="AH28" i="1" s="1"/>
  <c r="AK28" i="1" s="1"/>
  <c r="AF28" i="1"/>
  <c r="AG8" i="1"/>
  <c r="AH8" i="1" s="1"/>
  <c r="AK8" i="1" s="1"/>
  <c r="AF8" i="1"/>
  <c r="AG12" i="1"/>
  <c r="AH12" i="1" s="1"/>
  <c r="AK12" i="1" s="1"/>
  <c r="AF12" i="1"/>
  <c r="AL20" i="1"/>
  <c r="AF25" i="1"/>
  <c r="AG25" i="1"/>
  <c r="AH25" i="1" s="1"/>
  <c r="AK25" i="1" s="1"/>
  <c r="AL25" i="1" s="1"/>
  <c r="AD22" i="1"/>
  <c r="AG9" i="1"/>
  <c r="AH9" i="1" s="1"/>
  <c r="AK9" i="1" s="1"/>
  <c r="AL9" i="1" s="1"/>
  <c r="AF9" i="1"/>
  <c r="AB13" i="1"/>
  <c r="AC13" i="1" s="1"/>
  <c r="AE13" i="1" s="1"/>
  <c r="AG29" i="1"/>
  <c r="AH29" i="1" s="1"/>
  <c r="AK29" i="1" s="1"/>
  <c r="AL29" i="1" s="1"/>
  <c r="AF29" i="1"/>
  <c r="AF16" i="1"/>
  <c r="AG16" i="1"/>
  <c r="AH16" i="1" s="1"/>
  <c r="AK16" i="1" s="1"/>
  <c r="AD29" i="1"/>
  <c r="AG17" i="1"/>
  <c r="AH17" i="1" s="1"/>
  <c r="AK17" i="1" s="1"/>
  <c r="AL17" i="1" s="1"/>
  <c r="AF17" i="1"/>
  <c r="AD12" i="1"/>
  <c r="AD17" i="1"/>
  <c r="AD18" i="1" s="1"/>
  <c r="AG21" i="1"/>
  <c r="AH21" i="1" s="1"/>
  <c r="AK21" i="1" s="1"/>
  <c r="AL21" i="1" s="1"/>
  <c r="AF21" i="1"/>
  <c r="AL16" i="1" l="1"/>
  <c r="AL18" i="1" s="1"/>
  <c r="AK18" i="1"/>
  <c r="AL12" i="1"/>
  <c r="AL8" i="1"/>
  <c r="AL10" i="1" s="1"/>
  <c r="AK10" i="1"/>
  <c r="AL22" i="1"/>
  <c r="AK30" i="1"/>
  <c r="AL28" i="1"/>
  <c r="AL30" i="1" s="1"/>
  <c r="AF13" i="1"/>
  <c r="AG13" i="1"/>
  <c r="AH13" i="1" s="1"/>
  <c r="AK13" i="1" s="1"/>
  <c r="AL13" i="1" s="1"/>
  <c r="AK22" i="1"/>
  <c r="AD13" i="1"/>
  <c r="AD14" i="1" s="1"/>
  <c r="AL24" i="1"/>
  <c r="AL26" i="1" s="1"/>
  <c r="AK26" i="1"/>
  <c r="AK14" i="1" l="1"/>
  <c r="AL14" i="1"/>
</calcChain>
</file>

<file path=xl/sharedStrings.xml><?xml version="1.0" encoding="utf-8"?>
<sst xmlns="http://schemas.openxmlformats.org/spreadsheetml/2006/main" count="1157" uniqueCount="186">
  <si>
    <t>Cotton</t>
  </si>
  <si>
    <t>Fed upper</t>
  </si>
  <si>
    <t>Original Data</t>
  </si>
  <si>
    <t>Recalculation</t>
  </si>
  <si>
    <t>Targeted ci</t>
  </si>
  <si>
    <t>Date</t>
  </si>
  <si>
    <t>Time$</t>
  </si>
  <si>
    <t>dHour</t>
  </si>
  <si>
    <t>WetpCO2in.0</t>
  </si>
  <si>
    <t>pa</t>
  </si>
  <si>
    <t>pi</t>
  </si>
  <si>
    <t>A</t>
  </si>
  <si>
    <t>gtH2O</t>
  </si>
  <si>
    <t>E</t>
  </si>
  <si>
    <t>Vpdiff</t>
  </si>
  <si>
    <t>Pratio</t>
  </si>
  <si>
    <t>dpCO2</t>
  </si>
  <si>
    <t>Vpin</t>
  </si>
  <si>
    <t>Vpout</t>
  </si>
  <si>
    <t>Tair</t>
  </si>
  <si>
    <t>u</t>
  </si>
  <si>
    <t>Patm</t>
  </si>
  <si>
    <t>Tleaf</t>
  </si>
  <si>
    <t>VPleaf</t>
  </si>
  <si>
    <t>gsH2O</t>
  </si>
  <si>
    <t>gbH2O</t>
  </si>
  <si>
    <t>gcw</t>
  </si>
  <si>
    <t>Saturation</t>
  </si>
  <si>
    <t>gcc</t>
  </si>
  <si>
    <t>ws</t>
  </si>
  <si>
    <t>w_leaf</t>
  </si>
  <si>
    <t>Ec</t>
  </si>
  <si>
    <t>Es</t>
  </si>
  <si>
    <t>gtw</t>
  </si>
  <si>
    <t>gsw</t>
  </si>
  <si>
    <t>glw</t>
  </si>
  <si>
    <t>gsc</t>
  </si>
  <si>
    <t>glc</t>
  </si>
  <si>
    <t>gbc</t>
  </si>
  <si>
    <t>Cs</t>
  </si>
  <si>
    <t>Ci</t>
  </si>
  <si>
    <t>Difference</t>
  </si>
  <si>
    <t>WetpCO2:</t>
  </si>
  <si>
    <t>partial pressure of CO2 of the inlet air, µmol/mol</t>
  </si>
  <si>
    <t>pa:</t>
  </si>
  <si>
    <t>partial pressure of CO2 in the leaf chamber , µmol/mol</t>
  </si>
  <si>
    <t>pi:</t>
  </si>
  <si>
    <t>partial pressure of CO2 in the intercellular air space, µmol/mol</t>
  </si>
  <si>
    <t xml:space="preserve">A: </t>
  </si>
  <si>
    <t>CO2 assimilation rate, µmol/m-2/s</t>
  </si>
  <si>
    <t>gtH2O:</t>
  </si>
  <si>
    <t>total conductance to water, mol/m2/s</t>
  </si>
  <si>
    <t>E:</t>
  </si>
  <si>
    <t>Transpiration rate, mmol/m2/s</t>
  </si>
  <si>
    <t>VPdiff:</t>
  </si>
  <si>
    <t>Leaf-to-air vapour pressure difference, mbar</t>
  </si>
  <si>
    <t>Pratio:</t>
  </si>
  <si>
    <t>pi/pa</t>
  </si>
  <si>
    <t>dpCO2:</t>
  </si>
  <si>
    <t>pCO2 in - pCO2out</t>
  </si>
  <si>
    <t>Vpin:</t>
  </si>
  <si>
    <t>inlet vapour pressure,  mbar</t>
  </si>
  <si>
    <t>Vpout:</t>
  </si>
  <si>
    <t>outlet vapur pressure, mbar</t>
  </si>
  <si>
    <t xml:space="preserve">Tair: </t>
  </si>
  <si>
    <t>Leaf chamber air temperature, C</t>
  </si>
  <si>
    <t>u:</t>
  </si>
  <si>
    <t>flow rate,  mol/s</t>
  </si>
  <si>
    <t xml:space="preserve">Patm: </t>
  </si>
  <si>
    <t>Atmospheric pressure, mbar;  leaf chamber pressure = Patm + 3</t>
  </si>
  <si>
    <t>Tleaf:</t>
  </si>
  <si>
    <t>Leaf temperature, C</t>
  </si>
  <si>
    <t>VPleaf:</t>
  </si>
  <si>
    <t>Vapour pressure at leaf temperature, mbar</t>
  </si>
  <si>
    <t>gsH2O:</t>
  </si>
  <si>
    <t>stomatal conductance to water, mol/m2/s</t>
  </si>
  <si>
    <t>gbH2O:</t>
  </si>
  <si>
    <t>boundary layer conductance to water, mol/m2/s</t>
  </si>
  <si>
    <t xml:space="preserve">gcw: </t>
  </si>
  <si>
    <t>cuticular conductance to water, mol/m2/s</t>
  </si>
  <si>
    <t>gcc:</t>
  </si>
  <si>
    <t>cuticular conductance to CO2, mol/m-2/s</t>
  </si>
  <si>
    <t>ws:</t>
  </si>
  <si>
    <t>H2O concentration in the surface of the leaf, mmol/mol</t>
  </si>
  <si>
    <t>w_leaf:</t>
  </si>
  <si>
    <t>water concentration, mmol/mol</t>
  </si>
  <si>
    <t>Ec:</t>
  </si>
  <si>
    <t>cuticular transpiration rate, mol/m2/s</t>
  </si>
  <si>
    <t>Es:</t>
  </si>
  <si>
    <t>stomatal transpiration rate, mol/m2/s</t>
  </si>
  <si>
    <t>gtw:</t>
  </si>
  <si>
    <t>gsw:</t>
  </si>
  <si>
    <t>glw:</t>
  </si>
  <si>
    <t>leaf surface conductance to water, mol/m2/s</t>
  </si>
  <si>
    <t>gsc:</t>
  </si>
  <si>
    <t>stomatal conductance to CO2, mol/m2/s</t>
  </si>
  <si>
    <t>glc:</t>
  </si>
  <si>
    <t>leaf surface conductance to CO2, mol/m2/s</t>
  </si>
  <si>
    <t>gbc:</t>
  </si>
  <si>
    <t>boundary layer conductance to CO2, mol/m2/s</t>
  </si>
  <si>
    <t>Cs:</t>
  </si>
  <si>
    <t>CO2 concentration in the surface of the leaf µmol/ mol</t>
  </si>
  <si>
    <t>CO2 concentration in the intercellular air space CO2 concentration in the intercellular air space µmol mol⁻¹</t>
  </si>
  <si>
    <t>Sunflower</t>
  </si>
  <si>
    <t>18 February 2021</t>
  </si>
  <si>
    <t>CO2 feed top; Neon feed top</t>
  </si>
  <si>
    <t>RNEONW-</t>
  </si>
  <si>
    <t>Expected ci</t>
  </si>
  <si>
    <t>Neon</t>
  </si>
  <si>
    <t>Inlet Neon</t>
  </si>
  <si>
    <t>Rneon-</t>
  </si>
  <si>
    <t>in water</t>
  </si>
  <si>
    <t>include rb</t>
  </si>
  <si>
    <t>RH2O</t>
  </si>
  <si>
    <t>Rias</t>
  </si>
  <si>
    <t>gsH2O.0</t>
  </si>
  <si>
    <t>gbH2O.0</t>
  </si>
  <si>
    <t>ppm</t>
  </si>
  <si>
    <t>uout</t>
  </si>
  <si>
    <t>Jneon</t>
  </si>
  <si>
    <t>Rneon</t>
  </si>
  <si>
    <t>Rbneon</t>
  </si>
  <si>
    <t>Rbsneon</t>
  </si>
  <si>
    <t>terms</t>
  </si>
  <si>
    <t>RNEONWater</t>
  </si>
  <si>
    <t>cRH2O</t>
  </si>
  <si>
    <t>Cotton - Argon</t>
  </si>
  <si>
    <t>CO2 feed top; Argon feed top</t>
  </si>
  <si>
    <t>18 March 2021</t>
  </si>
  <si>
    <t>Argon</t>
  </si>
  <si>
    <t>Inlet Argon</t>
  </si>
  <si>
    <t>Rargon-</t>
  </si>
  <si>
    <t>Corrected</t>
  </si>
  <si>
    <t>RargonW-</t>
  </si>
  <si>
    <t>gcH2O</t>
  </si>
  <si>
    <t>Jargon</t>
  </si>
  <si>
    <t>Rargon</t>
  </si>
  <si>
    <t>Rbargon</t>
  </si>
  <si>
    <t>RargonWater</t>
  </si>
  <si>
    <t>CRH2O</t>
  </si>
  <si>
    <t>Cotton Helium</t>
  </si>
  <si>
    <t>29 March 2021</t>
  </si>
  <si>
    <t>CO2 feed top; Helium feed top</t>
  </si>
  <si>
    <t>Helium</t>
  </si>
  <si>
    <t>Inlet Helium</t>
  </si>
  <si>
    <t>Rhelium-</t>
  </si>
  <si>
    <t>RheliumW-</t>
  </si>
  <si>
    <t>WetpCO2in</t>
  </si>
  <si>
    <t>Jhelium</t>
  </si>
  <si>
    <t>Rhelium</t>
  </si>
  <si>
    <t>Rbhelium</t>
  </si>
  <si>
    <t>RheliumWater</t>
  </si>
  <si>
    <t>19 February 2021</t>
  </si>
  <si>
    <t>CO2 feed lower surface; Neon feed lower surface</t>
  </si>
  <si>
    <t xml:space="preserve"> ,</t>
  </si>
  <si>
    <t>06-07 June 2018</t>
  </si>
  <si>
    <t>with Isotope measurements</t>
  </si>
  <si>
    <t>CO2 feed top</t>
  </si>
  <si>
    <t>pCO2in</t>
  </si>
  <si>
    <t>06-06-2018</t>
  </si>
  <si>
    <t>07/06/2018</t>
  </si>
  <si>
    <t>21 June 2018</t>
  </si>
  <si>
    <t>Factor</t>
  </si>
  <si>
    <t>06-21-2018</t>
  </si>
  <si>
    <t>E pauciflora    12 February 2009</t>
  </si>
  <si>
    <t>w_air</t>
  </si>
  <si>
    <t>gbCO2</t>
  </si>
  <si>
    <t>gsCO2</t>
  </si>
  <si>
    <t>gtCO2</t>
  </si>
  <si>
    <t>ci</t>
  </si>
  <si>
    <t>water vapour concentration in leaf, mmol/mol</t>
  </si>
  <si>
    <t>w_air:</t>
  </si>
  <si>
    <t>water vapour concentration of air, mmol/mol</t>
  </si>
  <si>
    <t>gtc:</t>
  </si>
  <si>
    <t>leaf conductance to CO2, mol/m2/s</t>
  </si>
  <si>
    <t>Phaseolus vugarlis</t>
  </si>
  <si>
    <t>CO2 fed upper</t>
  </si>
  <si>
    <t>VP_in</t>
  </si>
  <si>
    <t>VP_out</t>
  </si>
  <si>
    <t>T_air</t>
  </si>
  <si>
    <t>T_leaf</t>
  </si>
  <si>
    <t>VP_leaf</t>
  </si>
  <si>
    <t>03-19-2009</t>
  </si>
  <si>
    <t>Xanthium strumarium</t>
  </si>
  <si>
    <t>Reculculation</t>
  </si>
  <si>
    <t>gtc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</si>
</sst>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E+00"/>
    <numFmt numFmtId="165" formatCode="0.0000"/>
    <numFmt numFmtId="166" formatCode="0.000"/>
    <numFmt numFmtId="167" formatCode="0.0"/>
    <numFmt numFmtId="168" formatCode="h:mm:ss;@"/>
    <numFmt numFmtId="169" formatCode="0.00000"/>
  </numFmts>
  <fonts count="11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323130"/>
      <name val="Calibri"/>
      <family val="2"/>
    </font>
    <font>
      <sz val="11"/>
      <color theme="1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4"/>
      <color theme="1"/>
      <name val="Calibri"/>
      <family val="2"/>
      <scheme val="minor"/>
    </font>
    <font>
      <sz val="11"/>
      <name val="Calibri Light"/>
      <family val="1"/>
      <scheme val="maj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quotePrefix="1"/>
    <xf numFmtId="15" fontId="0" fillId="0" borderId="0" xfId="0" applyNumberFormat="1"/>
    <xf numFmtId="0" fontId="1" fillId="0" borderId="0" xfId="0" applyFont="1"/>
    <xf numFmtId="0" fontId="0" fillId="2" borderId="0" xfId="0" applyFill="1"/>
    <xf numFmtId="14" fontId="0" fillId="0" borderId="0" xfId="0" applyNumberFormat="1"/>
    <xf numFmtId="21" fontId="0" fillId="0" borderId="0" xfId="0" applyNumberFormat="1"/>
    <xf numFmtId="11" fontId="0" fillId="0" borderId="0" xfId="0" applyNumberFormat="1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quotePrefix="1" applyNumberFormat="1"/>
    <xf numFmtId="166" fontId="0" fillId="0" borderId="0" xfId="0" applyNumberFormat="1"/>
    <xf numFmtId="167" fontId="0" fillId="2" borderId="0" xfId="0" applyNumberFormat="1" applyFill="1"/>
    <xf numFmtId="167" fontId="0" fillId="0" borderId="0" xfId="0" applyNumberFormat="1"/>
    <xf numFmtId="2" fontId="0" fillId="2" borderId="0" xfId="0" applyNumberFormat="1" applyFill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0" fillId="3" borderId="0" xfId="0" applyFill="1"/>
    <xf numFmtId="2" fontId="0" fillId="3" borderId="0" xfId="0" applyNumberFormat="1" applyFill="1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4" fontId="0" fillId="0" borderId="0" xfId="0" quotePrefix="1" applyNumberFormat="1"/>
    <xf numFmtId="168" fontId="0" fillId="0" borderId="0" xfId="0" applyNumberFormat="1"/>
    <xf numFmtId="1" fontId="4" fillId="0" borderId="0" xfId="0" applyNumberFormat="1" applyFont="1"/>
    <xf numFmtId="167" fontId="4" fillId="0" borderId="0" xfId="0" applyNumberFormat="1" applyFont="1"/>
    <xf numFmtId="2" fontId="4" fillId="0" borderId="0" xfId="0" applyNumberFormat="1" applyFont="1"/>
    <xf numFmtId="11" fontId="4" fillId="0" borderId="0" xfId="0" applyNumberFormat="1" applyFont="1"/>
    <xf numFmtId="0" fontId="5" fillId="0" borderId="0" xfId="0" applyFont="1"/>
    <xf numFmtId="167" fontId="5" fillId="0" borderId="0" xfId="0" applyNumberFormat="1" applyFont="1"/>
    <xf numFmtId="168" fontId="5" fillId="0" borderId="0" xfId="0" quotePrefix="1" applyNumberFormat="1" applyFont="1"/>
    <xf numFmtId="1" fontId="5" fillId="0" borderId="0" xfId="0" applyNumberFormat="1" applyFont="1"/>
    <xf numFmtId="2" fontId="5" fillId="0" borderId="0" xfId="0" applyNumberFormat="1" applyFont="1"/>
    <xf numFmtId="166" fontId="5" fillId="0" borderId="0" xfId="0" applyNumberFormat="1" applyFont="1"/>
    <xf numFmtId="168" fontId="5" fillId="0" borderId="0" xfId="0" applyNumberFormat="1" applyFont="1"/>
    <xf numFmtId="0" fontId="4" fillId="0" borderId="0" xfId="0" applyFont="1"/>
    <xf numFmtId="0" fontId="6" fillId="0" borderId="0" xfId="0" applyFont="1"/>
    <xf numFmtId="166" fontId="6" fillId="0" borderId="0" xfId="0" applyNumberFormat="1" applyFont="1"/>
    <xf numFmtId="2" fontId="6" fillId="0" borderId="0" xfId="0" applyNumberFormat="1" applyFont="1"/>
    <xf numFmtId="0" fontId="7" fillId="0" borderId="0" xfId="0" applyFont="1"/>
    <xf numFmtId="0" fontId="7" fillId="0" borderId="0" xfId="0" quotePrefix="1" applyFont="1"/>
    <xf numFmtId="169" fontId="0" fillId="0" borderId="0" xfId="0" applyNumberFormat="1"/>
    <xf numFmtId="0" fontId="4" fillId="2" borderId="0" xfId="0" applyFont="1" applyFill="1"/>
    <xf numFmtId="0" fontId="5" fillId="0" borderId="0" xfId="0" applyFont="1" applyAlignment="1">
      <alignment horizontal="left"/>
    </xf>
    <xf numFmtId="21" fontId="5" fillId="0" borderId="0" xfId="0" applyNumberFormat="1" applyFont="1"/>
    <xf numFmtId="167" fontId="8" fillId="2" borderId="0" xfId="0" applyNumberFormat="1" applyFont="1" applyFill="1"/>
    <xf numFmtId="0" fontId="9" fillId="0" borderId="0" xfId="0" applyFont="1"/>
    <xf numFmtId="0" fontId="10" fillId="0" borderId="0" xfId="0" applyFont="1"/>
    <xf numFmtId="1" fontId="9" fillId="0" borderId="0" xfId="0" applyNumberFormat="1" applyFont="1"/>
    <xf numFmtId="166" fontId="9" fillId="0" borderId="0" xfId="0" applyNumberFormat="1" applyFont="1"/>
    <xf numFmtId="2" fontId="9" fillId="0" borderId="0" xfId="0" applyNumberFormat="1" applyFont="1"/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horizontal="left"/>
    </xf>
    <xf numFmtId="0" fontId="5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65"/>
  <sheetViews>
    <sheetView workbookViewId="0">
      <selection activeCell="C11" sqref="C11"/>
    </sheetView>
  </sheetViews>
  <sheetFormatPr defaultRowHeight="15" x14ac:dyDescent="0.25"/>
  <cols>
    <col min="24" max="24" width="11.140625" customWidth="1"/>
    <col min="39" max="39" width="12.28515625" customWidth="1"/>
  </cols>
  <sheetData>
    <row r="1" spans="1:39" x14ac:dyDescent="0.25">
      <c r="A1" t="s">
        <v>0</v>
      </c>
      <c r="C1" t="s">
        <v>1</v>
      </c>
      <c r="D1" s="1"/>
      <c r="E1" s="2">
        <v>39879</v>
      </c>
    </row>
    <row r="2" spans="1:39" x14ac:dyDescent="0.25">
      <c r="D2" s="1"/>
      <c r="E2" s="2"/>
    </row>
    <row r="3" spans="1:39" x14ac:dyDescent="0.25">
      <c r="D3" s="1"/>
      <c r="E3" s="2"/>
    </row>
    <row r="4" spans="1:39" x14ac:dyDescent="0.25">
      <c r="A4" s="51" t="s">
        <v>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X4" s="52" t="s">
        <v>3</v>
      </c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</row>
    <row r="5" spans="1:39" x14ac:dyDescent="0.25">
      <c r="A5" s="3"/>
    </row>
    <row r="6" spans="1:39" x14ac:dyDescent="0.25">
      <c r="AM6" s="4" t="s">
        <v>4</v>
      </c>
    </row>
    <row r="7" spans="1:39" x14ac:dyDescent="0.25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X7" s="4" t="s">
        <v>27</v>
      </c>
      <c r="Y7" t="s">
        <v>28</v>
      </c>
      <c r="Z7" t="s">
        <v>29</v>
      </c>
      <c r="AA7" t="s">
        <v>30</v>
      </c>
      <c r="AB7" t="s">
        <v>31</v>
      </c>
      <c r="AC7" t="s">
        <v>32</v>
      </c>
      <c r="AD7" t="s">
        <v>33</v>
      </c>
      <c r="AE7" t="s">
        <v>34</v>
      </c>
      <c r="AF7" t="s">
        <v>35</v>
      </c>
      <c r="AG7" t="s">
        <v>36</v>
      </c>
      <c r="AH7" t="s">
        <v>37</v>
      </c>
      <c r="AI7" t="s">
        <v>38</v>
      </c>
      <c r="AJ7" t="s">
        <v>39</v>
      </c>
      <c r="AK7" s="4" t="s">
        <v>40</v>
      </c>
      <c r="AL7" t="s">
        <v>10</v>
      </c>
      <c r="AM7" s="4" t="s">
        <v>41</v>
      </c>
    </row>
    <row r="8" spans="1:39" x14ac:dyDescent="0.25">
      <c r="A8" s="5">
        <v>39879</v>
      </c>
      <c r="B8" s="6">
        <v>0.48409722222222223</v>
      </c>
      <c r="C8">
        <v>11.61</v>
      </c>
      <c r="D8">
        <v>402.5</v>
      </c>
      <c r="E8">
        <v>371</v>
      </c>
      <c r="F8">
        <v>224</v>
      </c>
      <c r="G8">
        <v>21.2</v>
      </c>
      <c r="H8">
        <v>0.20899999999999999</v>
      </c>
      <c r="I8">
        <v>1.66</v>
      </c>
      <c r="J8">
        <v>7.38</v>
      </c>
      <c r="K8">
        <v>0.6</v>
      </c>
      <c r="L8">
        <v>22.6</v>
      </c>
      <c r="M8">
        <v>23.27</v>
      </c>
      <c r="N8">
        <v>24.95</v>
      </c>
      <c r="O8">
        <v>25.1</v>
      </c>
      <c r="P8" s="7">
        <v>4.5170639999999999E-4</v>
      </c>
      <c r="Q8">
        <v>0.95</v>
      </c>
      <c r="R8">
        <v>25.2</v>
      </c>
      <c r="S8">
        <v>32.340000000000003</v>
      </c>
      <c r="T8">
        <v>0.23</v>
      </c>
      <c r="U8">
        <v>2.3490000000000002</v>
      </c>
      <c r="V8">
        <v>2E-3</v>
      </c>
      <c r="X8" s="4">
        <v>1</v>
      </c>
      <c r="Y8">
        <f>V8*0.04</f>
        <v>8.0000000000000007E-5</v>
      </c>
      <c r="Z8">
        <f>((I8/1000/U8)*(1-N8/Q8/2000)+N8/Q8/1000)/(1+I8/1000/(2*U8))*1000</f>
        <v>26.951038787352367</v>
      </c>
      <c r="AA8" s="8">
        <v>34.04</v>
      </c>
      <c r="AB8" s="9">
        <f>V8*(AA8/1000-Z8/1000)</f>
        <v>1.4177922425295267E-5</v>
      </c>
      <c r="AC8" s="10">
        <f>I8/1000-AB8</f>
        <v>1.6458220775747048E-3</v>
      </c>
      <c r="AD8" s="11">
        <f>1/(((AA8/1000-Z8/1000)/(I8/1000-AC8*((AA8+Z8)/2000)))+((Z8-(N8/Q8))/1000)/(I8/1000-I8/1000*((Z8+N8/Q8)/2000)))</f>
        <v>0.20706871327216603</v>
      </c>
      <c r="AE8" s="12">
        <f>(AC8-AC8*((AA8+Z8)/2000))/((AA8-Z8)/1000)</f>
        <v>0.2250868400355569</v>
      </c>
      <c r="AF8" s="12">
        <f>AE8+V8</f>
        <v>0.2270868400355569</v>
      </c>
      <c r="AG8" s="12">
        <f>AE8/1.6</f>
        <v>0.14067927502222305</v>
      </c>
      <c r="AH8" s="12">
        <f>AG8+Y8</f>
        <v>0.14075927502222305</v>
      </c>
      <c r="AI8" s="12">
        <f>U8/1.37</f>
        <v>1.7145985401459853</v>
      </c>
      <c r="AJ8" s="8">
        <f>(E8/Q8*(AI8-I8/1000/2)-G8)/(AI8+I8/1000/2)</f>
        <v>377.78998013170775</v>
      </c>
      <c r="AK8" s="13">
        <f>(AJ8*(AH8-AC8/2)-G8)/(AH8+AC8/2)</f>
        <v>223.66200897166465</v>
      </c>
      <c r="AL8" s="14">
        <f>AK8*Q8</f>
        <v>212.4789085230814</v>
      </c>
      <c r="AM8" s="4"/>
    </row>
    <row r="9" spans="1:39" x14ac:dyDescent="0.25">
      <c r="A9" s="5"/>
      <c r="B9" s="6"/>
      <c r="D9">
        <v>200.3</v>
      </c>
      <c r="E9">
        <v>195</v>
      </c>
      <c r="F9">
        <v>198</v>
      </c>
      <c r="G9">
        <v>0</v>
      </c>
      <c r="H9">
        <v>0.52700000000000002</v>
      </c>
      <c r="I9">
        <v>3.41</v>
      </c>
      <c r="J9">
        <v>5.98</v>
      </c>
      <c r="K9">
        <v>1</v>
      </c>
      <c r="L9">
        <v>0</v>
      </c>
      <c r="M9">
        <v>23.42</v>
      </c>
      <c r="N9">
        <v>26.35</v>
      </c>
      <c r="O9">
        <v>24.5</v>
      </c>
      <c r="P9" s="7">
        <v>5.2893839999999998E-4</v>
      </c>
      <c r="Q9">
        <v>0.95</v>
      </c>
      <c r="R9">
        <v>25.2</v>
      </c>
      <c r="S9">
        <v>32.340000000000003</v>
      </c>
      <c r="T9">
        <v>0.77200000000000002</v>
      </c>
      <c r="U9">
        <v>1.659</v>
      </c>
      <c r="V9">
        <v>3.5000000000000001E-3</v>
      </c>
      <c r="X9" s="4">
        <v>1</v>
      </c>
      <c r="Y9">
        <f>V9*0.04</f>
        <v>1.4000000000000001E-4</v>
      </c>
      <c r="Z9">
        <f>((I9/1000/U9)*(1-N9/Q9/2000)+N9/Q9/1000)/(1+I9/1000/(2*U9))*1000</f>
        <v>29.733233618759566</v>
      </c>
      <c r="AA9" s="8">
        <f>S9/Q9*X9</f>
        <v>34.0421052631579</v>
      </c>
      <c r="AB9" s="9">
        <f>V9*(AA9/1000-Z9/1000)</f>
        <v>1.5081050755394176E-5</v>
      </c>
      <c r="AC9" s="10">
        <f>I9/1000-AB9</f>
        <v>3.3949189492446059E-3</v>
      </c>
      <c r="AD9" s="11">
        <f>1/(((AA9/1000-Z9/1000)/(I9/1000-AC9*((AA9+Z9)/2000)))+((Z9-(N9/Q9))/1000)/(I9/1000-I9/1000*((Z9+N9/Q9)/2000)))</f>
        <v>0.52416347279197228</v>
      </c>
      <c r="AE9" s="12">
        <f>(AC9-AC9*((AA9+Z9)/2000))/((AA9-Z9)/1000)</f>
        <v>0.76276648906100752</v>
      </c>
      <c r="AF9" s="12">
        <f>AE9+V9</f>
        <v>0.76626648906100747</v>
      </c>
      <c r="AG9" s="12">
        <f>AE9/1.6</f>
        <v>0.47672905566312967</v>
      </c>
      <c r="AH9" s="12">
        <f>AG9+Y9</f>
        <v>0.47686905566312965</v>
      </c>
      <c r="AI9" s="12">
        <f>U9/1.37</f>
        <v>1.210948905109489</v>
      </c>
      <c r="AJ9" s="8">
        <f>(E9/Q9*(AI9-I9/1000/2)-G9)/(AI9+I9/1000/2)</f>
        <v>204.68595498014443</v>
      </c>
      <c r="AK9" s="13">
        <f>(AJ9*(AH9-AC9/2)-G9)/(AH9+AC9/2)</f>
        <v>203.23392646325939</v>
      </c>
      <c r="AL9" s="14">
        <f>AK9*Q9</f>
        <v>193.07223014009642</v>
      </c>
      <c r="AM9" s="4"/>
    </row>
    <row r="10" spans="1:39" x14ac:dyDescent="0.25">
      <c r="A10" s="5"/>
      <c r="B10" s="6"/>
      <c r="F10">
        <f>F8-F9</f>
        <v>26</v>
      </c>
      <c r="G10">
        <f>SUM(G8:G9)</f>
        <v>21.2</v>
      </c>
      <c r="H10">
        <f>SUM(H8:H9)</f>
        <v>0.73599999999999999</v>
      </c>
      <c r="I10">
        <f>SUM(I8:I9)</f>
        <v>5.07</v>
      </c>
      <c r="J10">
        <f>AVERAGE(J8:J9)</f>
        <v>6.68</v>
      </c>
      <c r="P10" s="7"/>
      <c r="S10">
        <f>AVERAGE(S8:S9)</f>
        <v>32.340000000000003</v>
      </c>
      <c r="X10" s="4"/>
      <c r="AC10" s="10"/>
      <c r="AD10" s="12">
        <f>SUM(AD8:AD9)</f>
        <v>0.73123218606413831</v>
      </c>
      <c r="AE10" s="12"/>
      <c r="AF10" s="12"/>
      <c r="AG10" s="8"/>
      <c r="AJ10" s="8"/>
      <c r="AK10" s="13">
        <f>AK8-AK9</f>
        <v>20.428082508405254</v>
      </c>
      <c r="AL10" s="14">
        <f>AL8-AL9</f>
        <v>19.406678382984978</v>
      </c>
      <c r="AM10" s="15"/>
    </row>
    <row r="11" spans="1:39" x14ac:dyDescent="0.25">
      <c r="A11" s="5"/>
      <c r="B11" s="6"/>
      <c r="P11" s="7"/>
      <c r="X11" s="4"/>
      <c r="AC11" s="10"/>
      <c r="AE11" s="12"/>
      <c r="AF11" s="12"/>
      <c r="AJ11" s="8"/>
      <c r="AK11" s="13"/>
      <c r="AL11" s="14"/>
      <c r="AM11" s="4"/>
    </row>
    <row r="12" spans="1:39" x14ac:dyDescent="0.25">
      <c r="A12" s="5">
        <v>39879</v>
      </c>
      <c r="B12" s="6">
        <v>0.52587962962962964</v>
      </c>
      <c r="C12">
        <v>12.62</v>
      </c>
      <c r="D12">
        <v>401.7</v>
      </c>
      <c r="E12">
        <v>369</v>
      </c>
      <c r="F12">
        <v>230</v>
      </c>
      <c r="G12">
        <v>21.5</v>
      </c>
      <c r="H12">
        <v>0.22600000000000001</v>
      </c>
      <c r="I12">
        <v>2.9</v>
      </c>
      <c r="J12">
        <v>11.77</v>
      </c>
      <c r="K12">
        <v>0.62</v>
      </c>
      <c r="L12">
        <v>23.2</v>
      </c>
      <c r="M12">
        <v>23.2</v>
      </c>
      <c r="N12">
        <v>26.19</v>
      </c>
      <c r="O12">
        <v>28.2</v>
      </c>
      <c r="P12" s="7">
        <v>4.4150480000000001E-4</v>
      </c>
      <c r="Q12">
        <v>0.95</v>
      </c>
      <c r="R12">
        <v>28</v>
      </c>
      <c r="S12">
        <v>37.97</v>
      </c>
      <c r="T12">
        <v>0.25</v>
      </c>
      <c r="U12">
        <v>2.3490000000000002</v>
      </c>
      <c r="V12">
        <v>2E-3</v>
      </c>
      <c r="X12" s="15">
        <v>0.98</v>
      </c>
      <c r="Y12">
        <f>V12*0.04</f>
        <v>8.0000000000000007E-5</v>
      </c>
      <c r="Z12">
        <f>((I12/1000/U12)*(1-N12/Q12/2000)+N12/Q12/1000)/(1+I12/1000/(2*U12))*1000</f>
        <v>28.768213253677068</v>
      </c>
      <c r="AA12" s="8">
        <f>S12/Q12*X12</f>
        <v>39.169052631578943</v>
      </c>
      <c r="AB12" s="9">
        <f>V12*(AA12/1000-Z12/1000)</f>
        <v>2.0801678755803749E-5</v>
      </c>
      <c r="AC12" s="10">
        <f>I12/1000-AB12</f>
        <v>2.8791983212441961E-3</v>
      </c>
      <c r="AD12" s="11">
        <f>1/(((AA12/1000-Z12/1000)/(I12/1000-AC12*((AA12+Z12)/2000)))+((Z12-(N12/Q12))/1000)/(I12/1000-I12/1000*((Z12+N12/Q12)/2000)))</f>
        <v>0.24169853335392846</v>
      </c>
      <c r="AE12" s="12">
        <f>(AC12-AC12*((AA12+Z12)/2000))/((AA12-Z12)/1000)</f>
        <v>0.2674203291909602</v>
      </c>
      <c r="AF12" s="12">
        <f>AE12+V12</f>
        <v>0.26942032919096021</v>
      </c>
      <c r="AG12" s="12">
        <f>AE12/1.6</f>
        <v>0.16713770574435011</v>
      </c>
      <c r="AH12" s="12">
        <f>AG12+Y12</f>
        <v>0.1672177057443501</v>
      </c>
      <c r="AI12" s="12">
        <f>U12/1.37</f>
        <v>1.7145985401459853</v>
      </c>
      <c r="AJ12" s="8">
        <f>(E12/Q12*(AI12-I12/1000/2)-G12)/(AI12+I12/1000/2)</f>
        <v>375.23586554432637</v>
      </c>
      <c r="AK12" s="13">
        <f>(AJ12*(AH12-AC12/2)-G12)/(AH12+AC12/2)</f>
        <v>241.35267271808945</v>
      </c>
      <c r="AL12" s="14">
        <f>AK12*Q12</f>
        <v>229.28503908218497</v>
      </c>
      <c r="AM12" s="4"/>
    </row>
    <row r="13" spans="1:39" x14ac:dyDescent="0.25">
      <c r="A13" s="5"/>
      <c r="B13" s="6"/>
      <c r="D13">
        <v>210.6</v>
      </c>
      <c r="E13">
        <v>205</v>
      </c>
      <c r="F13">
        <v>207</v>
      </c>
      <c r="G13">
        <v>0</v>
      </c>
      <c r="H13">
        <v>0.46200000000000002</v>
      </c>
      <c r="I13">
        <v>5.13</v>
      </c>
      <c r="J13">
        <v>10.19</v>
      </c>
      <c r="K13">
        <v>1</v>
      </c>
      <c r="L13">
        <v>0</v>
      </c>
      <c r="M13">
        <v>23.37</v>
      </c>
      <c r="N13">
        <v>27.76</v>
      </c>
      <c r="O13">
        <v>27.7</v>
      </c>
      <c r="P13" s="7">
        <v>5.3022979999999996E-4</v>
      </c>
      <c r="Q13">
        <v>0.95</v>
      </c>
      <c r="R13">
        <v>28</v>
      </c>
      <c r="S13">
        <f>AVERAGE(S11:S12)</f>
        <v>37.97</v>
      </c>
      <c r="T13">
        <v>0.64300000000000002</v>
      </c>
      <c r="U13">
        <v>1.659</v>
      </c>
      <c r="V13">
        <v>3.5000000000000001E-3</v>
      </c>
      <c r="X13" s="15">
        <v>0.98</v>
      </c>
      <c r="Y13">
        <f>V13*0.04</f>
        <v>1.4000000000000001E-4</v>
      </c>
      <c r="Z13">
        <f>((I13/1000/U13)*(1-N13/Q13/2000)+N13/Q13/1000)/(1+I13/1000/(2*U13))*1000</f>
        <v>32.218284759121353</v>
      </c>
      <c r="AA13" s="8">
        <f>S13/Q13*X13</f>
        <v>39.169052631578943</v>
      </c>
      <c r="AB13" s="9">
        <f>V13*(AA13/1000-Z13/1000)</f>
        <v>2.4327687553601563E-5</v>
      </c>
      <c r="AC13" s="10">
        <f>I13/1000-AB13</f>
        <v>5.1056723124463981E-3</v>
      </c>
      <c r="AD13" s="11">
        <f>1/(((AA13/1000-Z13/1000)/(I13/1000-AC13*((AA13+Z13)/2000)))+((Z13-(N13/Q13))/1000)/(I13/1000-I13/1000*((Z13+N13/Q13)/2000)))</f>
        <v>0.49810618632109899</v>
      </c>
      <c r="AE13" s="12">
        <f>(AC13-AC13*((AA13+Z13)/2000))/((AA13-Z13)/1000)</f>
        <v>0.70832924171845935</v>
      </c>
      <c r="AF13" s="12">
        <f>AE13+V13</f>
        <v>0.71182924171845929</v>
      </c>
      <c r="AG13" s="12">
        <f>AE13/1.6</f>
        <v>0.44270577607403705</v>
      </c>
      <c r="AH13" s="12">
        <f>AG13+Y13</f>
        <v>0.44284577607403702</v>
      </c>
      <c r="AI13" s="12">
        <f>U13/1.37</f>
        <v>1.210948905109489</v>
      </c>
      <c r="AJ13" s="8">
        <f>(E13/Q13*(AI13-I13/1000/2)-G13)/(AI13+I13/1000/2)</f>
        <v>214.87724680709036</v>
      </c>
      <c r="AK13" s="13">
        <f>(AJ13*(AH13-AC13/2)-G13)/(AH13+AC13/2)</f>
        <v>212.4140761112856</v>
      </c>
      <c r="AL13" s="14">
        <f>AK13*Q13</f>
        <v>201.79337230572131</v>
      </c>
      <c r="AM13" s="4"/>
    </row>
    <row r="14" spans="1:39" x14ac:dyDescent="0.25">
      <c r="A14" s="5"/>
      <c r="B14" s="6"/>
      <c r="F14">
        <f>F12-F13</f>
        <v>23</v>
      </c>
      <c r="G14">
        <f>SUM(G12:G13)</f>
        <v>21.5</v>
      </c>
      <c r="H14">
        <f>SUM(H12:H13)</f>
        <v>0.68800000000000006</v>
      </c>
      <c r="I14">
        <f>SUM(I12:I13)</f>
        <v>8.0299999999999994</v>
      </c>
      <c r="J14">
        <f>AVERAGE(J12:J13)</f>
        <v>10.98</v>
      </c>
      <c r="P14" s="7"/>
      <c r="S14">
        <f>AVERAGE(S12:S13)</f>
        <v>37.97</v>
      </c>
      <c r="X14" s="4"/>
      <c r="AA14" s="8"/>
      <c r="AC14" s="10"/>
      <c r="AD14" s="12">
        <f>SUM(AD12:AD13)</f>
        <v>0.73980471967502748</v>
      </c>
      <c r="AE14" s="12"/>
      <c r="AF14" s="12"/>
      <c r="AG14" s="8"/>
      <c r="AH14" s="7"/>
      <c r="AJ14" s="8"/>
      <c r="AK14" s="13">
        <f>AK12-AK13</f>
        <v>28.938596606803856</v>
      </c>
      <c r="AL14" s="14">
        <f>AL12-AL13</f>
        <v>27.49166677646366</v>
      </c>
      <c r="AM14" s="13">
        <f>($F$8/Q8-$F$9/Q9)/$G$10*G14</f>
        <v>27.755710029791469</v>
      </c>
    </row>
    <row r="15" spans="1:39" x14ac:dyDescent="0.25">
      <c r="A15" s="5"/>
      <c r="B15" s="6"/>
      <c r="P15" s="7"/>
      <c r="X15" s="4"/>
      <c r="AK15" s="13"/>
      <c r="AL15" s="14"/>
      <c r="AM15" s="4"/>
    </row>
    <row r="16" spans="1:39" x14ac:dyDescent="0.25">
      <c r="A16" s="5">
        <v>39879</v>
      </c>
      <c r="B16" s="6">
        <v>0.58386574074074071</v>
      </c>
      <c r="C16">
        <v>14.01</v>
      </c>
      <c r="D16">
        <v>401.5</v>
      </c>
      <c r="E16">
        <v>366</v>
      </c>
      <c r="F16">
        <v>217</v>
      </c>
      <c r="G16">
        <v>22.3</v>
      </c>
      <c r="H16">
        <v>0.219</v>
      </c>
      <c r="I16">
        <v>3.68</v>
      </c>
      <c r="J16">
        <v>15.3</v>
      </c>
      <c r="K16">
        <v>0.57999999999999996</v>
      </c>
      <c r="L16">
        <v>25.2</v>
      </c>
      <c r="M16">
        <v>23.31</v>
      </c>
      <c r="N16">
        <v>27.26</v>
      </c>
      <c r="O16">
        <v>30.7</v>
      </c>
      <c r="P16" s="7">
        <v>4.23652E-4</v>
      </c>
      <c r="Q16">
        <v>0.95</v>
      </c>
      <c r="R16">
        <v>30</v>
      </c>
      <c r="S16">
        <v>42.56</v>
      </c>
      <c r="T16">
        <v>0.24299999999999999</v>
      </c>
      <c r="U16">
        <v>2.3490000000000002</v>
      </c>
      <c r="V16">
        <v>2E-3</v>
      </c>
      <c r="X16" s="15">
        <v>0.95299999999999996</v>
      </c>
      <c r="Y16">
        <f>V16*0.04</f>
        <v>8.0000000000000007E-5</v>
      </c>
      <c r="Z16">
        <f>((I16/1000/U16)*(1-N16/Q16/2000)+N16/Q16/1000)/(1+I16/1000/(2*U16))*1000</f>
        <v>30.215216061627245</v>
      </c>
      <c r="AA16" s="8">
        <f>S16/Q16*X16</f>
        <v>42.694400000000002</v>
      </c>
      <c r="AB16" s="9">
        <f>V16*(AA16/1000-Z16/1000)</f>
        <v>2.4958367876745512E-5</v>
      </c>
      <c r="AC16" s="10">
        <f>I16/1000-AB16</f>
        <v>3.6550416321232547E-3</v>
      </c>
      <c r="AD16" s="11">
        <f>1/(((AA16/1000-Z16/1000)/(I16/1000-AC16*((AA16+Z16)/2000)))+((Z16-(N16/Q16))/1000)/(I16/1000-I16/1000*((Z16+N16/Q16)/2000)))</f>
        <v>0.25353740532857888</v>
      </c>
      <c r="AE16" s="12">
        <f>(AC16-AC16*((AA16+Z16)/2000))/((AA16-Z16)/1000)</f>
        <v>0.28221378965737082</v>
      </c>
      <c r="AF16" s="12">
        <f>AE16+V16</f>
        <v>0.28421378965737082</v>
      </c>
      <c r="AG16" s="12">
        <f>AE16/1.6</f>
        <v>0.17638361853585674</v>
      </c>
      <c r="AH16" s="12">
        <f>AG16+Y16</f>
        <v>0.17646361853585674</v>
      </c>
      <c r="AI16" s="12">
        <f>U16/1.37</f>
        <v>1.7145985401459853</v>
      </c>
      <c r="AJ16" s="8">
        <f>(E16/Q16*(AI16-I16/1000/2)-G16)/(AI16+I16/1000/2)</f>
        <v>371.44514585042833</v>
      </c>
      <c r="AK16" s="13">
        <f>(AJ16*(AH16-AC16/2)-G16)/(AH16+AC16/2)</f>
        <v>238.75404545066604</v>
      </c>
      <c r="AL16" s="14">
        <f>AK16*Q16</f>
        <v>226.81634317813274</v>
      </c>
      <c r="AM16" s="4"/>
    </row>
    <row r="17" spans="1:39" x14ac:dyDescent="0.25">
      <c r="A17" s="5"/>
      <c r="B17" s="6"/>
      <c r="D17">
        <v>209.8</v>
      </c>
      <c r="E17">
        <v>204</v>
      </c>
      <c r="F17">
        <v>204</v>
      </c>
      <c r="G17">
        <v>0.2</v>
      </c>
      <c r="H17">
        <v>0.377</v>
      </c>
      <c r="I17">
        <v>5.82</v>
      </c>
      <c r="J17">
        <v>14.09</v>
      </c>
      <c r="K17">
        <v>1</v>
      </c>
      <c r="L17">
        <v>0.2</v>
      </c>
      <c r="M17">
        <v>23.31</v>
      </c>
      <c r="N17">
        <v>28.46</v>
      </c>
      <c r="O17">
        <v>30.2</v>
      </c>
      <c r="P17" s="7">
        <v>5.1085880000000005E-4</v>
      </c>
      <c r="Q17">
        <v>0.95</v>
      </c>
      <c r="R17">
        <v>30</v>
      </c>
      <c r="S17">
        <v>42.56</v>
      </c>
      <c r="T17">
        <v>0.49</v>
      </c>
      <c r="U17">
        <v>1.659</v>
      </c>
      <c r="V17">
        <v>3.5000000000000001E-3</v>
      </c>
      <c r="X17" s="15">
        <v>0.95299999999999996</v>
      </c>
      <c r="Y17">
        <f>V17*0.04</f>
        <v>1.4000000000000001E-4</v>
      </c>
      <c r="Z17">
        <f>((I17/1000/U17)*(1-N17/Q17/2000)+N17/Q17/1000)/(1+I17/1000/(2*U17))*1000</f>
        <v>33.35497704131803</v>
      </c>
      <c r="AA17" s="8">
        <f>S17/Q17*X17</f>
        <v>42.694400000000002</v>
      </c>
      <c r="AB17" s="9">
        <f>V17*(AA17/1000-Z17/1000)</f>
        <v>3.2687980355386911E-5</v>
      </c>
      <c r="AC17" s="10">
        <f>I17/1000-AB17</f>
        <v>5.7873120196446134E-3</v>
      </c>
      <c r="AD17" s="11">
        <f>1/(((AA17/1000-Z17/1000)/(I17/1000-AC17*((AA17+Z17)/2000)))+((Z17-(N17/Q17))/1000)/(I17/1000-I17/1000*((Z17+N17/Q17)/2000)))</f>
        <v>0.44042290514055682</v>
      </c>
      <c r="AE17" s="12">
        <f>(AC17-AC17*((AA17+Z17)/2000))/((AA17-Z17)/1000)</f>
        <v>0.59610227605661836</v>
      </c>
      <c r="AF17" s="12">
        <f>AE17+V17</f>
        <v>0.59960227605661831</v>
      </c>
      <c r="AG17" s="12">
        <f>AE17/1.6</f>
        <v>0.37256392253538645</v>
      </c>
      <c r="AH17" s="12">
        <f>AG17+Y17</f>
        <v>0.37270392253538642</v>
      </c>
      <c r="AI17" s="12">
        <f>U17/1.37</f>
        <v>1.210948905109489</v>
      </c>
      <c r="AJ17" s="8">
        <f>(E17/Q17*(AI17-I17/1000/2)-G17)/(AI17+I17/1000/2)</f>
        <v>213.54249536945221</v>
      </c>
      <c r="AK17" s="13">
        <f>(AJ17*(AH17-AC17/2)-G17)/(AH17+AC17/2)</f>
        <v>209.71968837554681</v>
      </c>
      <c r="AL17" s="14">
        <f>AK17*Q17</f>
        <v>199.23370395676946</v>
      </c>
      <c r="AM17" s="4"/>
    </row>
    <row r="18" spans="1:39" x14ac:dyDescent="0.25">
      <c r="A18" s="5"/>
      <c r="B18" s="6"/>
      <c r="F18">
        <f>F16-F17</f>
        <v>13</v>
      </c>
      <c r="G18">
        <f>SUM(G16:G17)</f>
        <v>22.5</v>
      </c>
      <c r="H18">
        <f>SUM(H16:H17)</f>
        <v>0.59599999999999997</v>
      </c>
      <c r="I18">
        <f>SUM(I16:I17)</f>
        <v>9.5</v>
      </c>
      <c r="J18">
        <f>AVERAGE(J16:J17)</f>
        <v>14.695</v>
      </c>
      <c r="P18" s="7"/>
      <c r="S18">
        <f>AVERAGE(S16:S17)</f>
        <v>42.56</v>
      </c>
      <c r="X18" s="4"/>
      <c r="AA18" s="8"/>
      <c r="AC18" s="10"/>
      <c r="AD18" s="12">
        <f>SUM(AD16:AD17)</f>
        <v>0.69396031046913564</v>
      </c>
      <c r="AE18" s="12"/>
      <c r="AF18" s="12"/>
      <c r="AG18" s="8"/>
      <c r="AH18" s="7"/>
      <c r="AJ18" s="8"/>
      <c r="AK18" s="13">
        <f>AK16-AK17</f>
        <v>29.034357075119232</v>
      </c>
      <c r="AL18" s="14">
        <f>AL16-AL17</f>
        <v>27.58263922136328</v>
      </c>
      <c r="AM18" s="13">
        <f>($F$8/Q12-$F$9/Q13)/$G$10*G18</f>
        <v>29.046673286991073</v>
      </c>
    </row>
    <row r="19" spans="1:39" x14ac:dyDescent="0.25">
      <c r="A19" s="5"/>
      <c r="B19" s="6"/>
      <c r="P19" s="7"/>
      <c r="X19" s="4"/>
      <c r="AK19" s="13"/>
      <c r="AL19" s="14"/>
      <c r="AM19" s="4"/>
    </row>
    <row r="20" spans="1:39" x14ac:dyDescent="0.25">
      <c r="A20" s="5">
        <v>39879</v>
      </c>
      <c r="B20" s="6">
        <v>0.65376157407407409</v>
      </c>
      <c r="C20">
        <v>15.69</v>
      </c>
      <c r="D20">
        <v>400.7</v>
      </c>
      <c r="E20">
        <v>369</v>
      </c>
      <c r="F20">
        <v>209</v>
      </c>
      <c r="G20">
        <v>21.8</v>
      </c>
      <c r="H20">
        <v>0.20699999999999999</v>
      </c>
      <c r="I20">
        <v>4.6500000000000004</v>
      </c>
      <c r="J20">
        <v>20.54</v>
      </c>
      <c r="K20">
        <v>0.56000000000000005</v>
      </c>
      <c r="L20">
        <v>23.7</v>
      </c>
      <c r="M20">
        <v>16.940000000000001</v>
      </c>
      <c r="N20">
        <v>21.79</v>
      </c>
      <c r="O20">
        <v>30.7</v>
      </c>
      <c r="P20" s="7">
        <v>4.3640399999999999E-4</v>
      </c>
      <c r="Q20">
        <v>0.95</v>
      </c>
      <c r="R20">
        <v>29.8</v>
      </c>
      <c r="S20">
        <v>42.34</v>
      </c>
      <c r="T20">
        <v>0.22800000000000001</v>
      </c>
      <c r="U20">
        <v>2.3479999999999999</v>
      </c>
      <c r="V20">
        <v>2E-3</v>
      </c>
      <c r="X20" s="15">
        <v>0.94499999999999995</v>
      </c>
      <c r="Y20">
        <f>V20*0.04</f>
        <v>8.0000000000000007E-5</v>
      </c>
      <c r="Z20">
        <f>((I20/1000/U20)*(1-N20/Q20/2000)+N20/Q20/1000)/(1+I20/1000/(2*U20))*1000</f>
        <v>24.869912503701897</v>
      </c>
      <c r="AA20" s="8">
        <f>S20/Q20*X20</f>
        <v>42.117157894736849</v>
      </c>
      <c r="AB20" s="9">
        <f>V20*(AA20/1000-Z20/1000)</f>
        <v>3.4494490782069904E-5</v>
      </c>
      <c r="AC20" s="10">
        <f>I20/1000-AB20</f>
        <v>4.6155055092179306E-3</v>
      </c>
      <c r="AD20" s="11">
        <f>1/(((AA20/1000-Z20/1000)/(I20/1000-AC20*((AA20+Z20)/2000)))+((Z20-(N20/Q20))/1000)/(I20/1000-I20/1000*((Z20+N20/Q20)/2000)))</f>
        <v>0.23460253152711402</v>
      </c>
      <c r="AE20" s="12">
        <f>(AC20-AC20*((AA20+Z20)/2000))/((AA20-Z20)/1000)</f>
        <v>0.25864512342947904</v>
      </c>
      <c r="AF20" s="12">
        <f>AE20+V20</f>
        <v>0.26064512342947904</v>
      </c>
      <c r="AG20" s="12">
        <f>AE20/1.6</f>
        <v>0.16165320214342438</v>
      </c>
      <c r="AH20" s="12">
        <f>AG20+Y20</f>
        <v>0.16173320214342438</v>
      </c>
      <c r="AI20" s="12">
        <f>U20/1.37</f>
        <v>1.713868613138686</v>
      </c>
      <c r="AJ20" s="8">
        <f>(E20/Q20*(AI20-I20/1000/2)-G20)/(AI20+I20/1000/2)</f>
        <v>374.66610230778406</v>
      </c>
      <c r="AK20" s="13">
        <f>(AJ20*(AH20-AC20/2)-G20)/(AH20+AC20/2)</f>
        <v>231.23074207140644</v>
      </c>
      <c r="AL20" s="14">
        <f>AK20*Q20</f>
        <v>219.66920496783609</v>
      </c>
      <c r="AM20" s="4"/>
    </row>
    <row r="21" spans="1:39" x14ac:dyDescent="0.25">
      <c r="A21" s="5"/>
      <c r="B21" s="6"/>
      <c r="D21">
        <v>204.1</v>
      </c>
      <c r="E21">
        <v>199</v>
      </c>
      <c r="F21">
        <v>196</v>
      </c>
      <c r="G21">
        <v>0.2</v>
      </c>
      <c r="H21">
        <v>0.308</v>
      </c>
      <c r="I21">
        <v>6.42</v>
      </c>
      <c r="J21">
        <v>19.11</v>
      </c>
      <c r="K21">
        <v>0.98</v>
      </c>
      <c r="L21">
        <v>0.2</v>
      </c>
      <c r="M21">
        <v>17.39</v>
      </c>
      <c r="N21">
        <v>23.22</v>
      </c>
      <c r="O21">
        <v>30.1</v>
      </c>
      <c r="P21" s="7">
        <v>5.0181900000000003E-4</v>
      </c>
      <c r="Q21">
        <v>0.95</v>
      </c>
      <c r="R21">
        <v>29.8</v>
      </c>
      <c r="S21">
        <v>42.34</v>
      </c>
      <c r="T21">
        <v>0.379</v>
      </c>
      <c r="U21">
        <v>1.657</v>
      </c>
      <c r="V21">
        <v>3.5000000000000001E-3</v>
      </c>
      <c r="X21" s="15">
        <v>0.94499999999999995</v>
      </c>
      <c r="Y21">
        <f>V21*0.04</f>
        <v>1.4000000000000001E-4</v>
      </c>
      <c r="Z21">
        <f>((I21/1000/U21)*(1-N21/Q21/2000)+N21/Q21/1000)/(1+I21/1000/(2*U21))*1000</f>
        <v>28.214568797415929</v>
      </c>
      <c r="AA21" s="8">
        <f>S21/Q21*X21</f>
        <v>42.117157894736849</v>
      </c>
      <c r="AB21" s="9">
        <f>V21*(AA21/1000-Z21/1000)</f>
        <v>4.8659061840623228E-5</v>
      </c>
      <c r="AC21" s="10">
        <f>I21/1000-AB21</f>
        <v>6.3713409381593771E-3</v>
      </c>
      <c r="AD21" s="11">
        <f>1/(((AA21/1000-Z21/1000)/(I21/1000-AC21*((AA21+Z21)/2000)))+((Z21-(N21/Q21))/1000)/(I21/1000-I21/1000*((Z21+N21/Q21)/2000)))</f>
        <v>0.35120739645597193</v>
      </c>
      <c r="AE21" s="12">
        <f>(AC21-AC21*((AA21+Z21)/2000))/((AA21-Z21)/1000)</f>
        <v>0.44216851914161853</v>
      </c>
      <c r="AF21" s="12">
        <f>AE21+V21</f>
        <v>0.44566851914161854</v>
      </c>
      <c r="AG21" s="12">
        <f>AE21/1.6</f>
        <v>0.27635532446351158</v>
      </c>
      <c r="AH21" s="12">
        <f>AG21+Y21</f>
        <v>0.27649532446351155</v>
      </c>
      <c r="AI21" s="12">
        <f>U21/1.37</f>
        <v>1.2094890510948904</v>
      </c>
      <c r="AJ21" s="8">
        <f>(E21/Q21*(AI21-I21/1000/2)-G21)/(AI21+I21/1000/2)</f>
        <v>208.19981411782956</v>
      </c>
      <c r="AK21" s="13">
        <f>(AJ21*(AH21-AC21/2)-G21)/(AH21+AC21/2)</f>
        <v>202.74176717626304</v>
      </c>
      <c r="AL21" s="14">
        <f>AK21*Q21</f>
        <v>192.60467881744987</v>
      </c>
      <c r="AM21" s="4"/>
    </row>
    <row r="22" spans="1:39" x14ac:dyDescent="0.25">
      <c r="A22" s="5"/>
      <c r="B22" s="6"/>
      <c r="F22">
        <f>F20-F21</f>
        <v>13</v>
      </c>
      <c r="G22">
        <f>SUM(G20:G21)</f>
        <v>22</v>
      </c>
      <c r="H22">
        <f>SUM(H20:H21)</f>
        <v>0.51500000000000001</v>
      </c>
      <c r="I22">
        <f>SUM(I20:I21)</f>
        <v>11.07</v>
      </c>
      <c r="J22">
        <f>AVERAGE(J20:J21)</f>
        <v>19.824999999999999</v>
      </c>
      <c r="P22" s="7"/>
      <c r="S22">
        <f>AVERAGE(S20:S21)</f>
        <v>42.34</v>
      </c>
      <c r="X22" s="4"/>
      <c r="AA22" s="8"/>
      <c r="AC22" s="10"/>
      <c r="AD22" s="12">
        <f>SUM(AD20:AD21)</f>
        <v>0.58580992798308595</v>
      </c>
      <c r="AE22" s="12"/>
      <c r="AF22" s="12"/>
      <c r="AG22" s="8"/>
      <c r="AH22" s="7"/>
      <c r="AJ22" s="8"/>
      <c r="AK22" s="13">
        <f>AK20-AK21</f>
        <v>28.4889748951434</v>
      </c>
      <c r="AL22" s="14">
        <f>AL20-AL21</f>
        <v>27.064526150386229</v>
      </c>
      <c r="AM22" s="13">
        <f>($F$8/Q16-$F$9/Q17)/$G$10*G22</f>
        <v>28.401191658391273</v>
      </c>
    </row>
    <row r="23" spans="1:39" x14ac:dyDescent="0.25">
      <c r="A23" s="5"/>
      <c r="B23" s="6"/>
      <c r="P23" s="7"/>
      <c r="X23" s="4"/>
      <c r="AK23" s="13"/>
      <c r="AL23" s="14"/>
      <c r="AM23" s="4"/>
    </row>
    <row r="24" spans="1:39" x14ac:dyDescent="0.25">
      <c r="A24" s="5">
        <v>39879</v>
      </c>
      <c r="B24" s="6">
        <v>0.72002314814814816</v>
      </c>
      <c r="C24">
        <v>17.28</v>
      </c>
      <c r="D24">
        <v>400.7</v>
      </c>
      <c r="E24">
        <v>374</v>
      </c>
      <c r="F24">
        <v>159</v>
      </c>
      <c r="G24">
        <v>18.8</v>
      </c>
      <c r="H24">
        <v>0.13500000000000001</v>
      </c>
      <c r="I24">
        <v>3.76</v>
      </c>
      <c r="J24">
        <v>25.63</v>
      </c>
      <c r="K24">
        <v>0.41</v>
      </c>
      <c r="L24">
        <v>20.8</v>
      </c>
      <c r="M24">
        <v>12.22</v>
      </c>
      <c r="N24">
        <v>16.28</v>
      </c>
      <c r="O24">
        <v>30.7</v>
      </c>
      <c r="P24" s="7">
        <v>4.2620240000000001E-4</v>
      </c>
      <c r="Q24">
        <v>0.95</v>
      </c>
      <c r="R24">
        <v>29.7</v>
      </c>
      <c r="S24">
        <v>41.39</v>
      </c>
      <c r="T24">
        <v>0.14299999999999999</v>
      </c>
      <c r="U24">
        <v>2.3479999999999999</v>
      </c>
      <c r="V24">
        <v>2E-3</v>
      </c>
      <c r="X24" s="15">
        <v>0.88300000000000001</v>
      </c>
      <c r="Y24">
        <f>V24*0.04</f>
        <v>8.0000000000000007E-5</v>
      </c>
      <c r="Z24">
        <f>((I24/1000/U24)*(1-N24/Q24/2000)+N24/Q24/1000)/(1+I24/1000/(2*U24))*1000</f>
        <v>18.709503464006673</v>
      </c>
      <c r="AA24" s="8">
        <f>S24/Q24*X24</f>
        <v>38.470915789473686</v>
      </c>
      <c r="AB24" s="9">
        <f>V24*(AA24/1000-Z24/1000)</f>
        <v>3.9522824650934032E-5</v>
      </c>
      <c r="AC24" s="10">
        <f>I24/1000-AB24</f>
        <v>3.7204771753490658E-3</v>
      </c>
      <c r="AD24" s="11">
        <f>1/(((AA24/1000-Z24/1000)/(I24/1000-AC24*((AA24+Z24)/2000)))+((Z24-(N24/Q24))/1000)/(I24/1000-I24/1000*((Z24+N24/Q24)/2000)))</f>
        <v>0.17139136307274808</v>
      </c>
      <c r="AE24" s="12">
        <f>(AC24-AC24*((AA24+Z24)/2000))/((AA24-Z24)/1000)</f>
        <v>0.18288712838286081</v>
      </c>
      <c r="AF24" s="12">
        <f>AE24+V24</f>
        <v>0.18488712838286081</v>
      </c>
      <c r="AG24" s="12">
        <f>AE24/1.6</f>
        <v>0.11430445523928801</v>
      </c>
      <c r="AH24" s="12">
        <f>AG24+Y24</f>
        <v>0.114384455239288</v>
      </c>
      <c r="AI24" s="12">
        <f>U24/1.37</f>
        <v>1.713868613138686</v>
      </c>
      <c r="AJ24" s="8">
        <f>(E24/Q24*(AI24-I24/1000/2)-G24)/(AI24+I24/1000/2)</f>
        <v>381.86414989722425</v>
      </c>
      <c r="AK24" s="13">
        <f>(AJ24*(AH24-AC24/2)-G24)/(AH24+AC24/2)</f>
        <v>207.91455970021713</v>
      </c>
      <c r="AL24" s="14">
        <f>AK24*Q24</f>
        <v>197.51883171520626</v>
      </c>
      <c r="AM24" s="4"/>
    </row>
    <row r="25" spans="1:39" x14ac:dyDescent="0.25">
      <c r="A25" s="5"/>
      <c r="B25" s="6"/>
      <c r="D25">
        <v>184.8</v>
      </c>
      <c r="E25">
        <v>181</v>
      </c>
      <c r="F25">
        <v>176</v>
      </c>
      <c r="G25">
        <v>0.2</v>
      </c>
      <c r="H25">
        <v>0.23</v>
      </c>
      <c r="I25">
        <v>6.01</v>
      </c>
      <c r="J25">
        <v>24.01</v>
      </c>
      <c r="K25">
        <v>0.95</v>
      </c>
      <c r="L25">
        <v>0.2</v>
      </c>
      <c r="M25">
        <v>12.5</v>
      </c>
      <c r="N25">
        <v>17.899999999999999</v>
      </c>
      <c r="O25">
        <v>30.1</v>
      </c>
      <c r="P25" s="7">
        <v>5.08276E-4</v>
      </c>
      <c r="Q25">
        <v>0.95</v>
      </c>
      <c r="R25">
        <v>29.7</v>
      </c>
      <c r="S25">
        <v>41.39</v>
      </c>
      <c r="T25">
        <v>0.26600000000000001</v>
      </c>
      <c r="U25">
        <v>1.657</v>
      </c>
      <c r="V25">
        <v>3.5000000000000001E-3</v>
      </c>
      <c r="X25" s="15">
        <v>0.88300000000000001</v>
      </c>
      <c r="Y25">
        <f>V25*0.04</f>
        <v>1.4000000000000001E-4</v>
      </c>
      <c r="Z25">
        <f>((I25/1000/U25)*(1-N25/Q25/2000)+N25/Q25/1000)/(1+I25/1000/(2*U25))*1000</f>
        <v>22.394358989724033</v>
      </c>
      <c r="AA25" s="8">
        <f>S25/Q25*X25</f>
        <v>38.470915789473686</v>
      </c>
      <c r="AB25" s="9">
        <f>V25*(AA25/1000-Z25/1000)</f>
        <v>5.6267948799123803E-5</v>
      </c>
      <c r="AC25" s="10">
        <f>I25/1000-AB25</f>
        <v>5.9537320512008758E-3</v>
      </c>
      <c r="AD25" s="11">
        <f>1/(((AA25/1000-Z25/1000)/(I25/1000-AC25*((AA25+Z25)/2000)))+((Z25-(N25/Q25))/1000)/(I25/1000-I25/1000*((Z25+N25/Q25)/2000)))</f>
        <v>0.29747569828261949</v>
      </c>
      <c r="AE25" s="12">
        <f>(AC25-AC25*((AA25+Z25)/2000))/((AA25-Z25)/1000)</f>
        <v>0.35906595886637477</v>
      </c>
      <c r="AF25" s="12">
        <f>AE25+V25</f>
        <v>0.36256595886637477</v>
      </c>
      <c r="AG25" s="12">
        <f>AE25/1.6</f>
        <v>0.22441622429148422</v>
      </c>
      <c r="AH25" s="12">
        <f>AG25+Y25</f>
        <v>0.22455622429148422</v>
      </c>
      <c r="AI25" s="12">
        <f>U25/1.37</f>
        <v>1.2094890510948904</v>
      </c>
      <c r="AJ25" s="8">
        <f>(E25/Q25*(AI25-I25/1000/2)-G25)/(AI25+I25/1000/2)</f>
        <v>189.41697990722332</v>
      </c>
      <c r="AK25" s="13">
        <f>(AJ25*(AH25-AC25/2)-G25)/(AH25+AC25/2)</f>
        <v>183.58161792771958</v>
      </c>
      <c r="AL25" s="14">
        <f>AK25*Q25</f>
        <v>174.40253703133359</v>
      </c>
      <c r="AM25" s="4"/>
    </row>
    <row r="26" spans="1:39" x14ac:dyDescent="0.25">
      <c r="A26" s="5"/>
      <c r="B26" s="6"/>
      <c r="F26">
        <f>F24-F25</f>
        <v>-17</v>
      </c>
      <c r="G26">
        <f>SUM(G24:G25)</f>
        <v>19</v>
      </c>
      <c r="H26">
        <f>SUM(H24:H25)</f>
        <v>0.36499999999999999</v>
      </c>
      <c r="I26">
        <f>SUM(I24:I25)</f>
        <v>9.77</v>
      </c>
      <c r="J26">
        <f>AVERAGE(J24:J25)</f>
        <v>24.82</v>
      </c>
      <c r="P26" s="7"/>
      <c r="S26">
        <f>AVERAGE(S24:S25)</f>
        <v>41.39</v>
      </c>
      <c r="X26" s="4"/>
      <c r="AA26" s="8"/>
      <c r="AC26" s="10"/>
      <c r="AD26" s="12">
        <f>SUM(AD24:AD25)</f>
        <v>0.4688670613553676</v>
      </c>
      <c r="AE26" s="12"/>
      <c r="AF26" s="12"/>
      <c r="AG26" s="8"/>
      <c r="AH26" s="7"/>
      <c r="AJ26" s="8"/>
      <c r="AK26" s="13">
        <f>AK24-AK25</f>
        <v>24.332941772497549</v>
      </c>
      <c r="AL26" s="14">
        <f>AL24-AL25</f>
        <v>23.116294683872667</v>
      </c>
      <c r="AM26" s="13">
        <f>($F$8/Q20-$F$9/Q21)/$G$10*G26</f>
        <v>24.528301886792462</v>
      </c>
    </row>
    <row r="27" spans="1:39" x14ac:dyDescent="0.25">
      <c r="A27" s="5"/>
      <c r="B27" s="6"/>
      <c r="P27" s="7"/>
      <c r="X27" s="4"/>
      <c r="AA27" s="8"/>
      <c r="AC27" s="10"/>
      <c r="AD27" s="8"/>
      <c r="AE27" s="12"/>
      <c r="AF27" s="12"/>
      <c r="AG27" s="8"/>
      <c r="AH27" s="7"/>
      <c r="AJ27" s="8"/>
      <c r="AK27" s="13"/>
      <c r="AL27" s="14"/>
      <c r="AM27" s="15"/>
    </row>
    <row r="28" spans="1:39" x14ac:dyDescent="0.25">
      <c r="A28" s="5">
        <v>39879</v>
      </c>
      <c r="B28" s="6">
        <v>0.73930555555555555</v>
      </c>
      <c r="C28">
        <v>17.739999999999998</v>
      </c>
      <c r="D28">
        <v>400.7</v>
      </c>
      <c r="E28">
        <v>379</v>
      </c>
      <c r="F28">
        <v>157</v>
      </c>
      <c r="G28">
        <v>17.600000000000001</v>
      </c>
      <c r="H28">
        <v>0.125</v>
      </c>
      <c r="I28">
        <v>4.01</v>
      </c>
      <c r="J28">
        <v>29.62</v>
      </c>
      <c r="K28">
        <v>0.4</v>
      </c>
      <c r="L28">
        <v>17.7</v>
      </c>
      <c r="M28">
        <v>8.81</v>
      </c>
      <c r="N28">
        <v>12.77</v>
      </c>
      <c r="O28">
        <v>30.7</v>
      </c>
      <c r="P28" s="7">
        <v>4.6573360000000001E-4</v>
      </c>
      <c r="Q28">
        <v>0.95</v>
      </c>
      <c r="R28">
        <v>29.8</v>
      </c>
      <c r="S28">
        <v>42.4</v>
      </c>
      <c r="T28">
        <v>0.13100000000000001</v>
      </c>
      <c r="U28">
        <v>2.3439999999999999</v>
      </c>
      <c r="V28">
        <v>2E-3</v>
      </c>
      <c r="X28" s="15">
        <v>0.89200000000000002</v>
      </c>
      <c r="Y28">
        <f>V28*0.04</f>
        <v>8.0000000000000007E-5</v>
      </c>
      <c r="Z28">
        <f>((I28/1000/U28)*(1-N28/Q28/2000)+N28/Q28/1000)/(1+I28/1000/(2*U28))*1000</f>
        <v>15.128417593223151</v>
      </c>
      <c r="AA28" s="8">
        <f>S28/Q28*X28</f>
        <v>39.811368421052634</v>
      </c>
      <c r="AB28" s="9">
        <f>V28*(AA28/1000-Z28/1000)</f>
        <v>4.9365901655658976E-5</v>
      </c>
      <c r="AC28" s="10">
        <f>I28/1000-AB28</f>
        <v>3.9606340983443407E-3</v>
      </c>
      <c r="AD28" s="11">
        <f>1/(((AA28/1000-Z28/1000)/(I28/1000-AC28*((AA28+Z28)/2000)))+((Z28-(N28/Q28))/1000)/(I28/1000-I28/1000*((Z28+N28/Q28)/2000)))</f>
        <v>0.14806844981587811</v>
      </c>
      <c r="AE28" s="12">
        <f>(AC28-AC28*((AA28+Z28)/2000))/((AA28-Z28)/1000)</f>
        <v>0.15605248863031154</v>
      </c>
      <c r="AF28" s="12">
        <f>AE28+V28</f>
        <v>0.15805248863031154</v>
      </c>
      <c r="AG28" s="12">
        <f>AE28/1.6</f>
        <v>9.753280539394471E-2</v>
      </c>
      <c r="AH28" s="12">
        <f>AG28+Y28</f>
        <v>9.7612805393944707E-2</v>
      </c>
      <c r="AI28" s="12">
        <f>U28/1.37</f>
        <v>1.7109489051094888</v>
      </c>
      <c r="AJ28" s="8">
        <f>(E28/Q28*(AI28-I28/1000/2)-G28)/(AI28+I28/1000/2)</f>
        <v>387.73878955030875</v>
      </c>
      <c r="AK28" s="13">
        <f>(AJ28*(AH28-AC28/2)-G28)/(AH28+AC28/2)</f>
        <v>195.60010565601507</v>
      </c>
      <c r="AL28" s="14">
        <f>AK28*Q28</f>
        <v>185.8201003732143</v>
      </c>
      <c r="AM28" s="4"/>
    </row>
    <row r="29" spans="1:39" x14ac:dyDescent="0.25">
      <c r="A29" s="5"/>
      <c r="B29" s="6"/>
      <c r="D29">
        <v>173.8</v>
      </c>
      <c r="E29">
        <v>171</v>
      </c>
      <c r="F29">
        <v>166</v>
      </c>
      <c r="G29">
        <v>0</v>
      </c>
      <c r="H29">
        <v>0.187</v>
      </c>
      <c r="I29">
        <v>5.71</v>
      </c>
      <c r="J29">
        <v>28.04</v>
      </c>
      <c r="K29">
        <v>0.95</v>
      </c>
      <c r="L29">
        <v>0</v>
      </c>
      <c r="M29">
        <v>9.0500000000000007</v>
      </c>
      <c r="N29">
        <v>14.36</v>
      </c>
      <c r="O29">
        <v>30.2</v>
      </c>
      <c r="P29" s="7">
        <v>4.9277920000000001E-4</v>
      </c>
      <c r="Q29">
        <v>0.95</v>
      </c>
      <c r="R29">
        <v>29.8</v>
      </c>
      <c r="S29">
        <v>42.4</v>
      </c>
      <c r="T29">
        <v>0.21</v>
      </c>
      <c r="U29">
        <v>1.6539999999999999</v>
      </c>
      <c r="V29">
        <v>3.5000000000000001E-3</v>
      </c>
      <c r="X29" s="15">
        <v>0.89200000000000002</v>
      </c>
      <c r="Y29">
        <f>V29*0.04</f>
        <v>1.4000000000000001E-4</v>
      </c>
      <c r="Z29">
        <f>((I29/1000/U29)*(1-N29/Q29/2000)+N29/Q29/1000)/(1+I29/1000/(2*U29))*1000</f>
        <v>18.509984404505111</v>
      </c>
      <c r="AA29" s="8">
        <f>S29/Q29*X29</f>
        <v>39.811368421052634</v>
      </c>
      <c r="AB29" s="9">
        <f>V29*(AA29/1000-Z29/1000)</f>
        <v>7.4554844057916339E-5</v>
      </c>
      <c r="AC29" s="10">
        <f>I29/1000-AB29</f>
        <v>5.6354451559420832E-3</v>
      </c>
      <c r="AD29" s="11">
        <f>1/(((AA29/1000-Z29/1000)/(I29/1000-AC29*((AA29+Z29)/2000)))+((Z29-(N29/Q29))/1000)/(I29/1000-I29/1000*((Z29+N29/Q29)/2000)))</f>
        <v>0.22493740570694135</v>
      </c>
      <c r="AE29" s="12">
        <f>(AC29-AC29*((AA29+Z29)/2000))/((AA29-Z29)/1000)</f>
        <v>0.2568430182310022</v>
      </c>
      <c r="AF29" s="12">
        <f>AE29+V29</f>
        <v>0.2603430182310022</v>
      </c>
      <c r="AG29" s="12">
        <f>AE29/1.6</f>
        <v>0.16052688639437637</v>
      </c>
      <c r="AH29" s="12">
        <f>AG29+Y29</f>
        <v>0.16066688639437637</v>
      </c>
      <c r="AI29" s="12">
        <f>U29/1.37</f>
        <v>1.2072992700729925</v>
      </c>
      <c r="AJ29" s="8">
        <f>(E29/Q29*(AI29-I29/1000/2)-G29)/(AI29+I29/1000/2)</f>
        <v>179.15068679637182</v>
      </c>
      <c r="AK29" s="13">
        <f>(AJ29*(AH29-AC29/2)-G29)/(AH29+AC29/2)</f>
        <v>172.9752194148455</v>
      </c>
      <c r="AL29" s="14">
        <f>AK29*Q29</f>
        <v>164.32645844410322</v>
      </c>
      <c r="AM29" s="4"/>
    </row>
    <row r="30" spans="1:39" x14ac:dyDescent="0.25">
      <c r="A30" s="5"/>
      <c r="B30" s="6"/>
      <c r="F30">
        <f>F28-F29</f>
        <v>-9</v>
      </c>
      <c r="G30">
        <f>SUM(G28:G29)</f>
        <v>17.600000000000001</v>
      </c>
      <c r="H30">
        <f>SUM(H28:H29)</f>
        <v>0.312</v>
      </c>
      <c r="I30">
        <f>SUM(I28:I29)</f>
        <v>9.7199999999999989</v>
      </c>
      <c r="J30">
        <f>AVERAGE(J28:J29)</f>
        <v>28.83</v>
      </c>
      <c r="P30" s="7"/>
      <c r="S30">
        <f>AVERAGE(S28:S29)</f>
        <v>42.4</v>
      </c>
      <c r="AA30" s="8"/>
      <c r="AC30" s="10"/>
      <c r="AD30" s="12">
        <f>SUM(AD28:AD29)</f>
        <v>0.37300585552281945</v>
      </c>
      <c r="AE30" s="12"/>
      <c r="AF30" s="12"/>
      <c r="AG30" s="8"/>
      <c r="AH30" s="7"/>
      <c r="AJ30" s="8"/>
      <c r="AK30" s="13">
        <f>AK28-AK29</f>
        <v>22.624886241169577</v>
      </c>
      <c r="AL30" s="14">
        <f>AL28-AL29</f>
        <v>21.493641929111078</v>
      </c>
      <c r="AM30" s="13">
        <f>($F$8/Q24-$F$9/Q25)/$G$10*G30</f>
        <v>22.720953326713019</v>
      </c>
    </row>
    <row r="31" spans="1:39" x14ac:dyDescent="0.25">
      <c r="A31" s="5"/>
      <c r="B31" s="6"/>
      <c r="P31" s="7"/>
      <c r="AA31" s="8"/>
      <c r="AC31" s="10"/>
      <c r="AD31" s="12"/>
      <c r="AE31" s="12"/>
      <c r="AF31" s="12"/>
      <c r="AG31" s="8"/>
      <c r="AH31" s="7"/>
      <c r="AJ31" s="8"/>
      <c r="AK31" s="8"/>
      <c r="AL31" s="8"/>
      <c r="AM31" s="13"/>
    </row>
    <row r="32" spans="1:39" x14ac:dyDescent="0.25">
      <c r="A32" s="5"/>
      <c r="B32" s="6"/>
      <c r="P32" s="7"/>
      <c r="AA32" s="8"/>
      <c r="AC32" s="10"/>
      <c r="AD32" s="12"/>
      <c r="AE32" s="12"/>
      <c r="AF32" s="12"/>
      <c r="AG32" s="8"/>
      <c r="AH32" s="7"/>
      <c r="AJ32" s="8"/>
      <c r="AK32" s="8"/>
      <c r="AL32" s="8"/>
      <c r="AM32" s="13"/>
    </row>
    <row r="33" spans="1:39" x14ac:dyDescent="0.25">
      <c r="A33" s="5"/>
      <c r="B33" s="6"/>
      <c r="C33" t="s">
        <v>42</v>
      </c>
      <c r="D33" t="s">
        <v>43</v>
      </c>
      <c r="P33" s="7"/>
      <c r="AA33" s="8"/>
      <c r="AC33" s="10"/>
      <c r="AD33" s="12"/>
      <c r="AE33" s="12"/>
      <c r="AF33" s="12"/>
      <c r="AG33" s="8"/>
      <c r="AH33" s="7"/>
      <c r="AJ33" s="8"/>
      <c r="AK33" s="8"/>
      <c r="AL33" s="8"/>
      <c r="AM33" s="13"/>
    </row>
    <row r="34" spans="1:39" x14ac:dyDescent="0.25">
      <c r="A34" s="5"/>
      <c r="B34" s="6"/>
      <c r="C34" t="s">
        <v>44</v>
      </c>
      <c r="D34" t="s">
        <v>45</v>
      </c>
      <c r="P34" s="7"/>
      <c r="AA34" s="8"/>
      <c r="AC34" s="10"/>
      <c r="AD34" s="12"/>
      <c r="AE34" s="12"/>
      <c r="AF34" s="12"/>
      <c r="AG34" s="8"/>
      <c r="AH34" s="7"/>
      <c r="AJ34" s="8"/>
      <c r="AK34" s="8"/>
      <c r="AL34" s="8"/>
      <c r="AM34" s="13"/>
    </row>
    <row r="35" spans="1:39" x14ac:dyDescent="0.25">
      <c r="A35" s="5"/>
      <c r="B35" s="6"/>
      <c r="C35" t="s">
        <v>46</v>
      </c>
      <c r="D35" t="s">
        <v>47</v>
      </c>
      <c r="P35" s="7"/>
      <c r="AA35" s="8"/>
      <c r="AC35" s="10"/>
      <c r="AD35" s="12"/>
      <c r="AE35" s="12"/>
      <c r="AF35" s="12"/>
      <c r="AG35" s="8"/>
      <c r="AH35" s="7"/>
      <c r="AJ35" s="8"/>
      <c r="AK35" s="8"/>
      <c r="AL35" s="8"/>
      <c r="AM35" s="13"/>
    </row>
    <row r="36" spans="1:39" x14ac:dyDescent="0.25">
      <c r="A36" s="5"/>
      <c r="B36" s="6"/>
      <c r="C36" t="s">
        <v>48</v>
      </c>
      <c r="D36" t="s">
        <v>49</v>
      </c>
      <c r="P36" s="7"/>
      <c r="AA36" s="8"/>
      <c r="AC36" s="10"/>
      <c r="AD36" s="12"/>
      <c r="AE36" s="12"/>
      <c r="AF36" s="12"/>
      <c r="AG36" s="8"/>
      <c r="AH36" s="7"/>
      <c r="AJ36" s="8"/>
      <c r="AK36" s="8"/>
      <c r="AL36" s="8"/>
      <c r="AM36" s="13"/>
    </row>
    <row r="37" spans="1:39" x14ac:dyDescent="0.25">
      <c r="A37" s="5"/>
      <c r="B37" s="6"/>
      <c r="C37" t="s">
        <v>50</v>
      </c>
      <c r="D37" t="s">
        <v>51</v>
      </c>
      <c r="P37" s="7"/>
      <c r="AA37" s="8"/>
      <c r="AC37" s="10"/>
      <c r="AD37" s="12"/>
      <c r="AE37" s="12"/>
      <c r="AF37" s="12"/>
      <c r="AG37" s="8"/>
      <c r="AH37" s="7"/>
      <c r="AJ37" s="8"/>
      <c r="AK37" s="8"/>
      <c r="AL37" s="8"/>
      <c r="AM37" s="13"/>
    </row>
    <row r="38" spans="1:39" x14ac:dyDescent="0.25">
      <c r="A38" s="5"/>
      <c r="B38" s="6"/>
      <c r="C38" t="s">
        <v>52</v>
      </c>
      <c r="D38" t="s">
        <v>53</v>
      </c>
      <c r="P38" s="7"/>
      <c r="AA38" s="8"/>
      <c r="AC38" s="10"/>
      <c r="AD38" s="8"/>
      <c r="AE38" s="12"/>
      <c r="AF38" s="12"/>
      <c r="AG38" s="8"/>
      <c r="AH38" s="7"/>
      <c r="AJ38" s="8"/>
      <c r="AK38" s="8"/>
      <c r="AL38" s="8"/>
      <c r="AM38" s="8"/>
    </row>
    <row r="39" spans="1:39" x14ac:dyDescent="0.25">
      <c r="C39" t="s">
        <v>54</v>
      </c>
      <c r="D39" t="s">
        <v>55</v>
      </c>
    </row>
    <row r="40" spans="1:39" x14ac:dyDescent="0.25">
      <c r="C40" t="s">
        <v>56</v>
      </c>
      <c r="D40" t="s">
        <v>57</v>
      </c>
    </row>
    <row r="41" spans="1:39" x14ac:dyDescent="0.25">
      <c r="C41" t="s">
        <v>58</v>
      </c>
      <c r="D41" t="s">
        <v>59</v>
      </c>
    </row>
    <row r="42" spans="1:39" x14ac:dyDescent="0.25">
      <c r="C42" t="s">
        <v>60</v>
      </c>
      <c r="D42" t="s">
        <v>61</v>
      </c>
    </row>
    <row r="43" spans="1:39" x14ac:dyDescent="0.25">
      <c r="C43" t="s">
        <v>62</v>
      </c>
      <c r="D43" t="s">
        <v>63</v>
      </c>
    </row>
    <row r="44" spans="1:39" x14ac:dyDescent="0.25">
      <c r="C44" t="s">
        <v>64</v>
      </c>
      <c r="D44" t="s">
        <v>65</v>
      </c>
    </row>
    <row r="45" spans="1:39" x14ac:dyDescent="0.25">
      <c r="C45" t="s">
        <v>66</v>
      </c>
      <c r="D45" t="s">
        <v>67</v>
      </c>
    </row>
    <row r="46" spans="1:39" x14ac:dyDescent="0.25">
      <c r="C46" t="s">
        <v>68</v>
      </c>
      <c r="D46" t="s">
        <v>69</v>
      </c>
    </row>
    <row r="47" spans="1:39" x14ac:dyDescent="0.25">
      <c r="C47" t="s">
        <v>70</v>
      </c>
      <c r="D47" t="s">
        <v>71</v>
      </c>
    </row>
    <row r="48" spans="1:39" x14ac:dyDescent="0.25">
      <c r="C48" t="s">
        <v>72</v>
      </c>
      <c r="D48" t="s">
        <v>73</v>
      </c>
    </row>
    <row r="49" spans="3:14" x14ac:dyDescent="0.25">
      <c r="C49" t="s">
        <v>74</v>
      </c>
      <c r="D49" t="s">
        <v>75</v>
      </c>
    </row>
    <row r="50" spans="3:14" x14ac:dyDescent="0.25">
      <c r="C50" t="s">
        <v>76</v>
      </c>
      <c r="D50" t="s">
        <v>77</v>
      </c>
    </row>
    <row r="51" spans="3:14" x14ac:dyDescent="0.25">
      <c r="C51" t="s">
        <v>78</v>
      </c>
      <c r="D51" t="s">
        <v>79</v>
      </c>
    </row>
    <row r="52" spans="3:14" x14ac:dyDescent="0.25">
      <c r="C52" t="s">
        <v>80</v>
      </c>
      <c r="D52" t="s">
        <v>81</v>
      </c>
    </row>
    <row r="53" spans="3:14" x14ac:dyDescent="0.25">
      <c r="C53" t="s">
        <v>82</v>
      </c>
      <c r="D53" s="16" t="s">
        <v>83</v>
      </c>
      <c r="E53" s="17"/>
      <c r="F53" s="17"/>
      <c r="G53" s="17"/>
      <c r="H53" s="17"/>
      <c r="I53" s="17"/>
    </row>
    <row r="54" spans="3:14" x14ac:dyDescent="0.25">
      <c r="C54" t="s">
        <v>84</v>
      </c>
      <c r="D54" t="s">
        <v>85</v>
      </c>
    </row>
    <row r="55" spans="3:14" x14ac:dyDescent="0.25">
      <c r="C55" t="s">
        <v>86</v>
      </c>
      <c r="D55" t="s">
        <v>87</v>
      </c>
    </row>
    <row r="56" spans="3:14" x14ac:dyDescent="0.25">
      <c r="C56" t="s">
        <v>88</v>
      </c>
      <c r="D56" t="s">
        <v>89</v>
      </c>
    </row>
    <row r="57" spans="3:14" x14ac:dyDescent="0.25">
      <c r="C57" t="s">
        <v>90</v>
      </c>
      <c r="D57" t="s">
        <v>51</v>
      </c>
    </row>
    <row r="58" spans="3:14" x14ac:dyDescent="0.25">
      <c r="C58" t="s">
        <v>91</v>
      </c>
      <c r="D58" t="s">
        <v>75</v>
      </c>
    </row>
    <row r="59" spans="3:14" x14ac:dyDescent="0.25">
      <c r="C59" t="s">
        <v>92</v>
      </c>
      <c r="D59" t="s">
        <v>93</v>
      </c>
    </row>
    <row r="60" spans="3:14" x14ac:dyDescent="0.25">
      <c r="C60" t="s">
        <v>94</v>
      </c>
      <c r="D60" t="s">
        <v>95</v>
      </c>
    </row>
    <row r="61" spans="3:14" x14ac:dyDescent="0.25">
      <c r="C61" t="s">
        <v>96</v>
      </c>
      <c r="D61" t="s">
        <v>97</v>
      </c>
    </row>
    <row r="62" spans="3:14" x14ac:dyDescent="0.25">
      <c r="C62" t="s">
        <v>98</v>
      </c>
      <c r="D62" t="s">
        <v>99</v>
      </c>
    </row>
    <row r="63" spans="3:14" x14ac:dyDescent="0.25">
      <c r="C63" t="s">
        <v>100</v>
      </c>
      <c r="D63" s="16" t="s">
        <v>101</v>
      </c>
      <c r="E63" s="17"/>
      <c r="F63" s="17"/>
      <c r="G63" s="17"/>
      <c r="H63" s="17"/>
      <c r="I63" s="17"/>
      <c r="J63" s="17"/>
      <c r="K63" s="17"/>
      <c r="L63" s="17"/>
      <c r="M63" s="17"/>
      <c r="N63" s="17"/>
    </row>
    <row r="64" spans="3:14" x14ac:dyDescent="0.25">
      <c r="C64" t="s">
        <v>40</v>
      </c>
      <c r="D64" s="16" t="s">
        <v>102</v>
      </c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3:4" x14ac:dyDescent="0.25">
      <c r="C65" t="s">
        <v>46</v>
      </c>
      <c r="D65" t="s">
        <v>47</v>
      </c>
    </row>
  </sheetData>
  <mergeCells count="2">
    <mergeCell ref="A4:V4"/>
    <mergeCell ref="X4:AM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64966-3275-4C13-AE4A-D25D165A0F7F}">
  <dimension ref="A1:AF60"/>
  <sheetViews>
    <sheetView tabSelected="1" workbookViewId="0">
      <selection activeCell="M46" sqref="M46"/>
    </sheetView>
  </sheetViews>
  <sheetFormatPr defaultRowHeight="15" x14ac:dyDescent="0.25"/>
  <sheetData>
    <row r="1" spans="1:32" x14ac:dyDescent="0.25">
      <c r="A1" t="s">
        <v>183</v>
      </c>
      <c r="C1" s="2"/>
      <c r="D1" s="2">
        <v>40213</v>
      </c>
    </row>
    <row r="3" spans="1:32" x14ac:dyDescent="0.25">
      <c r="D3" s="53" t="s">
        <v>2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V3" s="53" t="s">
        <v>184</v>
      </c>
      <c r="W3" s="53"/>
      <c r="X3" s="53"/>
      <c r="Y3" s="53"/>
      <c r="Z3" s="53"/>
      <c r="AA3" s="53"/>
      <c r="AB3" s="53"/>
      <c r="AC3" s="53"/>
      <c r="AD3" s="53"/>
      <c r="AE3" s="53"/>
      <c r="AF3" s="53"/>
    </row>
    <row r="5" spans="1:32" x14ac:dyDescent="0.25">
      <c r="AF5" s="4" t="s">
        <v>4</v>
      </c>
    </row>
    <row r="6" spans="1:32" x14ac:dyDescent="0.25">
      <c r="A6" s="46" t="s">
        <v>5</v>
      </c>
      <c r="B6" s="46" t="s">
        <v>6</v>
      </c>
      <c r="C6" s="46" t="s">
        <v>7</v>
      </c>
      <c r="D6" s="46" t="s">
        <v>158</v>
      </c>
      <c r="E6" s="46" t="s">
        <v>9</v>
      </c>
      <c r="F6" s="46" t="s">
        <v>10</v>
      </c>
      <c r="G6" s="46" t="s">
        <v>11</v>
      </c>
      <c r="H6" s="46" t="s">
        <v>12</v>
      </c>
      <c r="I6" s="46" t="s">
        <v>13</v>
      </c>
      <c r="J6" s="46" t="s">
        <v>14</v>
      </c>
      <c r="K6" s="46" t="s">
        <v>15</v>
      </c>
      <c r="L6" s="46" t="s">
        <v>16</v>
      </c>
      <c r="M6" s="46" t="s">
        <v>17</v>
      </c>
      <c r="N6" s="46" t="s">
        <v>18</v>
      </c>
      <c r="O6" s="46" t="s">
        <v>19</v>
      </c>
      <c r="P6" s="46"/>
      <c r="Q6" s="47" t="s">
        <v>22</v>
      </c>
      <c r="R6" s="47" t="s">
        <v>23</v>
      </c>
      <c r="S6" s="46" t="s">
        <v>24</v>
      </c>
      <c r="T6" s="46" t="s">
        <v>25</v>
      </c>
      <c r="U6" s="47"/>
      <c r="V6" s="4" t="s">
        <v>27</v>
      </c>
      <c r="W6" t="s">
        <v>30</v>
      </c>
      <c r="X6" t="s">
        <v>165</v>
      </c>
      <c r="Y6" t="s">
        <v>33</v>
      </c>
      <c r="Z6" t="s">
        <v>34</v>
      </c>
      <c r="AA6" t="s">
        <v>38</v>
      </c>
      <c r="AB6" t="s">
        <v>36</v>
      </c>
      <c r="AC6" t="s">
        <v>185</v>
      </c>
      <c r="AD6" s="4" t="s">
        <v>169</v>
      </c>
      <c r="AE6" t="s">
        <v>10</v>
      </c>
      <c r="AF6" s="4" t="s">
        <v>41</v>
      </c>
    </row>
    <row r="7" spans="1:32" x14ac:dyDescent="0.25">
      <c r="A7" s="5">
        <v>40270</v>
      </c>
      <c r="B7" s="6">
        <v>0.41483796296296299</v>
      </c>
      <c r="C7">
        <v>9.9499999999999993</v>
      </c>
      <c r="D7">
        <v>395.2</v>
      </c>
      <c r="E7">
        <v>347</v>
      </c>
      <c r="F7">
        <v>268</v>
      </c>
      <c r="G7">
        <v>38.5</v>
      </c>
      <c r="H7">
        <v>0.67</v>
      </c>
      <c r="I7">
        <v>8.64</v>
      </c>
      <c r="J7">
        <v>11.85</v>
      </c>
      <c r="K7">
        <v>0.76</v>
      </c>
      <c r="L7">
        <v>37.200000000000003</v>
      </c>
      <c r="M7">
        <v>21.75</v>
      </c>
      <c r="N7">
        <v>29.69</v>
      </c>
      <c r="O7">
        <v>31.7</v>
      </c>
      <c r="Q7">
        <v>29.6</v>
      </c>
      <c r="R7">
        <v>41.54</v>
      </c>
      <c r="S7">
        <v>0.93899999999999995</v>
      </c>
      <c r="T7">
        <v>2.3380000000000001</v>
      </c>
      <c r="V7" s="15">
        <v>1</v>
      </c>
      <c r="W7" s="8">
        <f>R7/0.952</f>
        <v>43.634453781512605</v>
      </c>
      <c r="X7" s="8">
        <f>N7/0.952</f>
        <v>31.186974789915968</v>
      </c>
      <c r="Y7" s="8">
        <f>I7*(1-(W7*V7+X7)/2/1000)/(W7*V7-X7)</f>
        <v>0.66814906329113932</v>
      </c>
      <c r="Z7" s="8">
        <f>T7*Y7/(T7-Y7)</f>
        <v>0.9354921901313652</v>
      </c>
      <c r="AA7" s="8">
        <f>T7/1.37</f>
        <v>1.7065693430656934</v>
      </c>
      <c r="AB7" s="8">
        <f>Z7/1.6</f>
        <v>0.58468261883210326</v>
      </c>
      <c r="AC7" s="8">
        <f>AA7*AB7/(AA7+AB7)</f>
        <v>0.43548306747363275</v>
      </c>
      <c r="AD7" s="13">
        <f>((AC7-I7/2/1000)*(D7-L7)/0.95-G7)/(AC7+I7/2/1000)</f>
        <v>281.89980295196028</v>
      </c>
      <c r="AE7" s="14">
        <f>AD7*0.95</f>
        <v>267.80481280436226</v>
      </c>
      <c r="AF7" s="4"/>
    </row>
    <row r="8" spans="1:32" x14ac:dyDescent="0.25">
      <c r="A8" s="5"/>
      <c r="B8" s="6"/>
      <c r="D8">
        <v>250.8</v>
      </c>
      <c r="E8">
        <v>243</v>
      </c>
      <c r="F8">
        <v>247</v>
      </c>
      <c r="G8">
        <v>0</v>
      </c>
      <c r="H8">
        <v>0.70899999999999996</v>
      </c>
      <c r="I8">
        <v>8.31</v>
      </c>
      <c r="J8">
        <v>10.73</v>
      </c>
      <c r="K8">
        <v>1</v>
      </c>
      <c r="L8">
        <v>0</v>
      </c>
      <c r="M8">
        <v>23.03</v>
      </c>
      <c r="N8">
        <v>30.79</v>
      </c>
      <c r="O8">
        <v>31.2</v>
      </c>
      <c r="Q8">
        <v>29.6</v>
      </c>
      <c r="R8">
        <v>41.54</v>
      </c>
      <c r="S8">
        <v>1.246</v>
      </c>
      <c r="T8">
        <v>1.651</v>
      </c>
      <c r="V8" s="15">
        <v>1</v>
      </c>
      <c r="W8" s="8">
        <f>R8/0.952</f>
        <v>43.634453781512605</v>
      </c>
      <c r="X8" s="8">
        <f>N8/0.952</f>
        <v>32.342436974789919</v>
      </c>
      <c r="Y8" s="8">
        <f>I8*(1-(W8*V8+X8)/2/1000)/(W8*V8-X8)</f>
        <v>0.70796175348837231</v>
      </c>
      <c r="Z8" s="8">
        <f>T8*Y8/(T8-Y8)</f>
        <v>1.2394458648235649</v>
      </c>
      <c r="AA8" s="8">
        <f>T8/1.37</f>
        <v>1.2051094890510947</v>
      </c>
      <c r="AB8" s="8">
        <f>Z8/1.6</f>
        <v>0.77465366551472803</v>
      </c>
      <c r="AC8" s="8">
        <f>AA8*AB8/(AA8+AB8)</f>
        <v>0.47154250794446395</v>
      </c>
      <c r="AD8" s="13">
        <f>((AC8-I8/2/1000)*(D8-L8)/0.95-G8)/(AC8+I8/2/1000)</f>
        <v>259.38816167131125</v>
      </c>
      <c r="AE8" s="14">
        <f>AD8*0.95</f>
        <v>246.41875358774567</v>
      </c>
      <c r="AF8" s="4"/>
    </row>
    <row r="9" spans="1:32" x14ac:dyDescent="0.25">
      <c r="A9" s="5"/>
      <c r="B9" s="6"/>
      <c r="E9" s="48">
        <f>(E7*G7+E8*G8)/(G7+G8)</f>
        <v>347</v>
      </c>
      <c r="F9" s="48">
        <f>F7-F8</f>
        <v>21</v>
      </c>
      <c r="G9" s="46">
        <f>G7+G8</f>
        <v>38.5</v>
      </c>
      <c r="H9" s="49">
        <f>(H7*I7+H8*I8)/(I7+I8)</f>
        <v>0.68912035398230087</v>
      </c>
      <c r="I9" s="46">
        <f>I7+I8</f>
        <v>16.950000000000003</v>
      </c>
      <c r="J9" s="50">
        <f>(J7*I7+J8*I8)/(I7+I8)</f>
        <v>11.300902654867254</v>
      </c>
      <c r="V9" s="15"/>
      <c r="AD9" s="13">
        <f>AD7-AD8</f>
        <v>22.51164128064903</v>
      </c>
      <c r="AE9" s="14"/>
      <c r="AF9" s="4"/>
    </row>
    <row r="10" spans="1:32" x14ac:dyDescent="0.25">
      <c r="A10" s="5"/>
      <c r="B10" s="6"/>
      <c r="V10" s="15"/>
      <c r="AD10" s="13"/>
      <c r="AE10" s="14"/>
      <c r="AF10" s="4"/>
    </row>
    <row r="11" spans="1:32" x14ac:dyDescent="0.25">
      <c r="A11" s="5">
        <v>40270</v>
      </c>
      <c r="B11" s="6">
        <v>0.46280092592592598</v>
      </c>
      <c r="C11">
        <v>11.1</v>
      </c>
      <c r="D11">
        <v>394.6</v>
      </c>
      <c r="E11">
        <v>349</v>
      </c>
      <c r="F11">
        <v>261</v>
      </c>
      <c r="G11">
        <v>38</v>
      </c>
      <c r="H11">
        <v>0.624</v>
      </c>
      <c r="I11">
        <v>10.64</v>
      </c>
      <c r="J11">
        <v>15.69</v>
      </c>
      <c r="K11">
        <v>0.74</v>
      </c>
      <c r="L11">
        <v>36.5</v>
      </c>
      <c r="M11">
        <v>15.01</v>
      </c>
      <c r="N11">
        <v>24.85</v>
      </c>
      <c r="O11">
        <v>32.5</v>
      </c>
      <c r="Q11">
        <v>29.2</v>
      </c>
      <c r="R11">
        <v>40.56</v>
      </c>
      <c r="S11">
        <v>0.85199999999999998</v>
      </c>
      <c r="T11">
        <v>2.3250000000000002</v>
      </c>
      <c r="V11" s="15">
        <v>0.97</v>
      </c>
      <c r="W11" s="8">
        <f>R11/0.952</f>
        <v>42.605042016806728</v>
      </c>
      <c r="X11" s="8">
        <f>N11/0.952</f>
        <v>26.102941176470591</v>
      </c>
      <c r="Y11" s="8">
        <f>I11*(1-(W11*V11+X11)/2/1000)/(W11*V11-X11)</f>
        <v>0.67533547981122177</v>
      </c>
      <c r="Z11" s="8">
        <f>T11*Y11/(T11-Y11)</f>
        <v>0.95180260673934547</v>
      </c>
      <c r="AA11" s="8">
        <f>T11/1.37</f>
        <v>1.697080291970803</v>
      </c>
      <c r="AB11" s="8">
        <f>Z11/1.6</f>
        <v>0.59487662921209083</v>
      </c>
      <c r="AC11" s="8">
        <f>AA11*AB11/(AA11+AB11)</f>
        <v>0.44047660506150582</v>
      </c>
      <c r="AD11" s="13">
        <f>((AC11-I11/2/1000)*(D11-L11)/0.95-G11)/(AC11+I11/2/1000)</f>
        <v>282.70995269599609</v>
      </c>
      <c r="AE11" s="14">
        <f>AD11*0.95</f>
        <v>268.57445506119626</v>
      </c>
      <c r="AF11" s="4"/>
    </row>
    <row r="12" spans="1:32" x14ac:dyDescent="0.25">
      <c r="A12" s="5"/>
      <c r="B12" s="6"/>
      <c r="D12">
        <v>255</v>
      </c>
      <c r="E12">
        <v>248</v>
      </c>
      <c r="F12">
        <v>247</v>
      </c>
      <c r="G12">
        <v>0.4</v>
      </c>
      <c r="H12">
        <v>0.66100000000000003</v>
      </c>
      <c r="I12">
        <v>11.11</v>
      </c>
      <c r="J12">
        <v>15.47</v>
      </c>
      <c r="K12">
        <v>0.99</v>
      </c>
      <c r="L12">
        <v>0.4</v>
      </c>
      <c r="M12">
        <v>14.57</v>
      </c>
      <c r="N12">
        <v>25.06</v>
      </c>
      <c r="O12">
        <v>31.8</v>
      </c>
      <c r="Q12">
        <v>29.2</v>
      </c>
      <c r="R12">
        <v>40.56</v>
      </c>
      <c r="S12">
        <v>1.1080000000000001</v>
      </c>
      <c r="T12">
        <v>1.639</v>
      </c>
      <c r="V12" s="15">
        <v>0.97</v>
      </c>
      <c r="W12" s="8">
        <f>R12/0.952</f>
        <v>42.605042016806728</v>
      </c>
      <c r="X12" s="8">
        <f>N12/0.952</f>
        <v>26.323529411764707</v>
      </c>
      <c r="Y12" s="8">
        <f>I12*(1-(W12*V12+X12)/2/1000)/(W12*V12-X12)</f>
        <v>0.71545313543183575</v>
      </c>
      <c r="Z12" s="8">
        <f>T12*Y12/(T12-Y12)</f>
        <v>1.2697002544869023</v>
      </c>
      <c r="AA12" s="8">
        <f>T12/1.37</f>
        <v>1.1963503649635037</v>
      </c>
      <c r="AB12" s="8">
        <f>Z12/1.6</f>
        <v>0.79356265905431389</v>
      </c>
      <c r="AC12" s="8">
        <f>AA12*AB12/(AA12+AB12)</f>
        <v>0.47709571489921371</v>
      </c>
      <c r="AD12" s="13">
        <f>((AC12-I12/2/1000)*(D12-L12)/0.95-G12)/(AC12+I12/2/1000)</f>
        <v>261.00222729245252</v>
      </c>
      <c r="AE12" s="14">
        <f>AD12*0.95</f>
        <v>247.95211592782988</v>
      </c>
      <c r="AF12" s="4"/>
    </row>
    <row r="13" spans="1:32" x14ac:dyDescent="0.25">
      <c r="A13" s="5"/>
      <c r="B13" s="6"/>
      <c r="E13" s="48">
        <f>(E11*G11+E12*G12)/(G11+G12)</f>
        <v>347.94791666666669</v>
      </c>
      <c r="F13" s="48">
        <f>F11-F12</f>
        <v>14</v>
      </c>
      <c r="G13" s="46">
        <f>G11+G12</f>
        <v>38.4</v>
      </c>
      <c r="H13" s="49">
        <f>(H11*I11+H12*I12)/(I11+I12)</f>
        <v>0.64289977011494248</v>
      </c>
      <c r="I13" s="46">
        <f>I11+I12</f>
        <v>21.75</v>
      </c>
      <c r="J13" s="50">
        <f>(J11*I11+J12*I12)/(I11+I12)</f>
        <v>15.577622988505748</v>
      </c>
      <c r="V13" s="15"/>
      <c r="AD13" s="13">
        <f>AD11-AD12</f>
        <v>21.707725403543577</v>
      </c>
      <c r="AE13" s="14"/>
      <c r="AF13" s="13">
        <f>($F$7/0.95-$F$8/0.95)/$G$9*G13</f>
        <v>22.047846889952158</v>
      </c>
    </row>
    <row r="14" spans="1:32" x14ac:dyDescent="0.25">
      <c r="A14" s="5"/>
      <c r="B14" s="6"/>
      <c r="V14" s="15"/>
      <c r="AD14" s="13"/>
      <c r="AE14" s="14"/>
      <c r="AF14" s="13"/>
    </row>
    <row r="15" spans="1:32" x14ac:dyDescent="0.25">
      <c r="A15" s="5">
        <v>40270</v>
      </c>
      <c r="B15" s="6">
        <v>0.48032407407407413</v>
      </c>
      <c r="C15">
        <v>11.52</v>
      </c>
      <c r="D15">
        <v>394.7</v>
      </c>
      <c r="E15">
        <v>350</v>
      </c>
      <c r="F15">
        <v>262</v>
      </c>
      <c r="G15">
        <v>37.200000000000003</v>
      </c>
      <c r="H15">
        <v>0.61499999999999999</v>
      </c>
      <c r="I15">
        <v>11.51</v>
      </c>
      <c r="J15">
        <v>17.170000000000002</v>
      </c>
      <c r="K15">
        <v>0.74</v>
      </c>
      <c r="L15">
        <v>35.9</v>
      </c>
      <c r="M15">
        <v>15.02</v>
      </c>
      <c r="N15">
        <v>25.67</v>
      </c>
      <c r="O15">
        <v>33.700000000000003</v>
      </c>
      <c r="Q15">
        <v>30.1</v>
      </c>
      <c r="R15">
        <v>42.84</v>
      </c>
      <c r="S15">
        <v>0.83699999999999997</v>
      </c>
      <c r="T15">
        <v>2.3250000000000002</v>
      </c>
      <c r="V15" s="15">
        <v>0.96499999999999997</v>
      </c>
      <c r="W15" s="8">
        <f>R15/0.952</f>
        <v>45.000000000000007</v>
      </c>
      <c r="X15" s="8">
        <f>N15/0.952</f>
        <v>26.964285714285719</v>
      </c>
      <c r="Y15" s="8">
        <f>I15*(1-(W15*V15+X15)/2/1000)/(W15*V15-X15)</f>
        <v>0.67463109242785846</v>
      </c>
      <c r="Z15" s="8">
        <f>T15*Y15/(T15-Y15)</f>
        <v>0.95040404766363262</v>
      </c>
      <c r="AA15" s="8">
        <f>T15/1.37</f>
        <v>1.697080291970803</v>
      </c>
      <c r="AB15" s="8">
        <f>Z15/1.6</f>
        <v>0.59400252978977031</v>
      </c>
      <c r="AC15" s="8">
        <f>AA15*AB15/(AA15+AB15)</f>
        <v>0.4399971826039758</v>
      </c>
      <c r="AD15" s="13">
        <f>((AC15-I15/2/1000)*(D15-L15)/0.95-G15)/(AC15+I15/2/1000)</f>
        <v>284.47738645548441</v>
      </c>
      <c r="AE15" s="14">
        <f>AD15*0.95</f>
        <v>270.25351713271016</v>
      </c>
      <c r="AF15" s="13"/>
    </row>
    <row r="16" spans="1:32" x14ac:dyDescent="0.25">
      <c r="A16" s="5"/>
      <c r="B16" s="6"/>
      <c r="D16">
        <v>255.3</v>
      </c>
      <c r="E16">
        <v>249</v>
      </c>
      <c r="F16">
        <v>249</v>
      </c>
      <c r="G16">
        <v>-0.4</v>
      </c>
      <c r="H16">
        <v>0.58799999999999997</v>
      </c>
      <c r="I16">
        <v>11.28</v>
      </c>
      <c r="J16">
        <v>17.62</v>
      </c>
      <c r="K16">
        <v>1</v>
      </c>
      <c r="L16">
        <v>-0.4</v>
      </c>
      <c r="M16">
        <v>14.52</v>
      </c>
      <c r="N16">
        <v>25.21</v>
      </c>
      <c r="O16">
        <v>33</v>
      </c>
      <c r="Q16">
        <v>30.1</v>
      </c>
      <c r="R16">
        <v>42.84</v>
      </c>
      <c r="S16">
        <v>0.91900000000000004</v>
      </c>
      <c r="T16">
        <v>1.639</v>
      </c>
      <c r="V16" s="15">
        <v>0.96499999999999997</v>
      </c>
      <c r="W16" s="8">
        <f>R16/0.952</f>
        <v>45.000000000000007</v>
      </c>
      <c r="X16" s="8">
        <f>N16/0.952</f>
        <v>26.481092436974791</v>
      </c>
      <c r="Y16" s="8">
        <f>I16*(1-(W16*V16+X16)/2/1000)/(W16*V16-X16)</f>
        <v>0.64245685938526764</v>
      </c>
      <c r="Z16" s="8">
        <f>T16*Y16/(T16-Y16)</f>
        <v>1.0566394465200002</v>
      </c>
      <c r="AA16" s="8">
        <f>T16/1.37</f>
        <v>1.1963503649635037</v>
      </c>
      <c r="AB16" s="8">
        <f>Z16/1.6</f>
        <v>0.66039965407500012</v>
      </c>
      <c r="AC16" s="8">
        <f>AA16*AB16/(AA16+AB16)</f>
        <v>0.42551197472642344</v>
      </c>
      <c r="AD16" s="13">
        <f>((AC16-I16/2/1000)*(D16-L16)/0.95-G16)/(AC16+I16/2/1000)</f>
        <v>263.04380688115219</v>
      </c>
      <c r="AE16" s="14">
        <f>AD16*0.95</f>
        <v>249.89161653709456</v>
      </c>
      <c r="AF16" s="13"/>
    </row>
    <row r="17" spans="1:32" x14ac:dyDescent="0.25">
      <c r="A17" s="5"/>
      <c r="B17" s="6"/>
      <c r="E17" s="48">
        <f>(E15*G15+E16*G16)/(G15+G16)</f>
        <v>351.0978260869565</v>
      </c>
      <c r="F17" s="48">
        <f>F15-F16</f>
        <v>13</v>
      </c>
      <c r="G17" s="46">
        <f>G15+G16</f>
        <v>36.800000000000004</v>
      </c>
      <c r="H17" s="49">
        <f>(H15*I15+H16*I16)/(I15+I16)</f>
        <v>0.60163624396665194</v>
      </c>
      <c r="I17" s="46">
        <f>I15+I16</f>
        <v>22.79</v>
      </c>
      <c r="J17" s="50">
        <f>(J15*I15+J16*I16)/(I15+I16)</f>
        <v>17.392729267222467</v>
      </c>
      <c r="V17" s="15"/>
      <c r="AD17" s="13">
        <f>AD15-AD16</f>
        <v>21.433579574332214</v>
      </c>
      <c r="AE17" s="14"/>
      <c r="AF17" s="13">
        <f>($F$7/0.95-$F$8/0.95)/$G$9*G17</f>
        <v>21.129186602870821</v>
      </c>
    </row>
    <row r="18" spans="1:32" x14ac:dyDescent="0.25">
      <c r="A18" s="5"/>
      <c r="B18" s="6"/>
      <c r="V18" s="15"/>
      <c r="AD18" s="13"/>
      <c r="AE18" s="14"/>
      <c r="AF18" s="13"/>
    </row>
    <row r="19" spans="1:32" x14ac:dyDescent="0.25">
      <c r="A19" s="5">
        <v>40270</v>
      </c>
      <c r="B19" s="6">
        <v>0.5064467592592593</v>
      </c>
      <c r="C19">
        <v>12.15</v>
      </c>
      <c r="D19">
        <v>394.7</v>
      </c>
      <c r="E19">
        <v>351</v>
      </c>
      <c r="F19">
        <v>257</v>
      </c>
      <c r="G19">
        <v>37</v>
      </c>
      <c r="H19">
        <v>0.58399999999999996</v>
      </c>
      <c r="I19">
        <v>11.89</v>
      </c>
      <c r="J19">
        <v>18.7</v>
      </c>
      <c r="K19">
        <v>0.73</v>
      </c>
      <c r="L19">
        <v>35.9</v>
      </c>
      <c r="M19">
        <v>12.06</v>
      </c>
      <c r="N19">
        <v>23.2</v>
      </c>
      <c r="O19">
        <v>33.700000000000003</v>
      </c>
      <c r="Q19">
        <v>29.7</v>
      </c>
      <c r="R19">
        <v>41.9</v>
      </c>
      <c r="S19">
        <v>0.78200000000000003</v>
      </c>
      <c r="T19">
        <v>2.323</v>
      </c>
      <c r="V19" s="15">
        <v>0.94199999999999995</v>
      </c>
      <c r="W19" s="8">
        <f>R19/0.952</f>
        <v>44.012605042016808</v>
      </c>
      <c r="X19" s="8">
        <f>N19/0.952</f>
        <v>24.369747899159663</v>
      </c>
      <c r="Y19" s="8">
        <f>I19*(1-(W19*V19+X19)/2/1000)/(W19*V19-X19)</f>
        <v>0.67282376175490788</v>
      </c>
      <c r="Z19" s="8">
        <f>T19*Y19/(T19-Y19)</f>
        <v>0.94715313572737991</v>
      </c>
      <c r="AA19" s="8">
        <f>T19/1.37</f>
        <v>1.6956204379562043</v>
      </c>
      <c r="AB19" s="8">
        <f>Z19/1.6</f>
        <v>0.59197070982961242</v>
      </c>
      <c r="AC19" s="8">
        <f>AA19*AB19/(AA19+AB19)</f>
        <v>0.43878366780273653</v>
      </c>
      <c r="AD19" s="13">
        <f>((AC19-I19/2/1000)*(D19-L19)/0.95-G19)/(AC19+I19/2/1000)</f>
        <v>284.3898756498391</v>
      </c>
      <c r="AE19" s="14">
        <f>AD19*0.95</f>
        <v>270.17038186734715</v>
      </c>
      <c r="AF19" s="13"/>
    </row>
    <row r="20" spans="1:32" x14ac:dyDescent="0.25">
      <c r="A20" s="5"/>
      <c r="B20" s="6"/>
      <c r="D20">
        <v>256.60000000000002</v>
      </c>
      <c r="E20">
        <v>251</v>
      </c>
      <c r="F20">
        <v>249</v>
      </c>
      <c r="G20">
        <v>0</v>
      </c>
      <c r="H20">
        <v>0.55400000000000005</v>
      </c>
      <c r="I20">
        <v>11.57</v>
      </c>
      <c r="J20">
        <v>19.2</v>
      </c>
      <c r="K20">
        <v>0.99</v>
      </c>
      <c r="L20">
        <v>0</v>
      </c>
      <c r="M20">
        <v>11.72</v>
      </c>
      <c r="N20">
        <v>22.7</v>
      </c>
      <c r="O20">
        <v>33</v>
      </c>
      <c r="Q20">
        <v>29.7</v>
      </c>
      <c r="R20">
        <v>41.9</v>
      </c>
      <c r="S20">
        <v>0.83699999999999997</v>
      </c>
      <c r="T20">
        <v>1.6379999999999999</v>
      </c>
      <c r="V20" s="15">
        <v>0.94199999999999995</v>
      </c>
      <c r="W20" s="8">
        <f>R20/0.952</f>
        <v>44.012605042016808</v>
      </c>
      <c r="X20" s="8">
        <f>N20/0.952</f>
        <v>23.844537815126049</v>
      </c>
      <c r="Y20" s="8">
        <f>I20*(1-(W20*V20+X20)/2/1000)/(W20*V20-X20)</f>
        <v>0.63536760766377653</v>
      </c>
      <c r="Z20" s="8">
        <f>T20*Y20/(T20-Y20)</f>
        <v>1.0379997188483676</v>
      </c>
      <c r="AA20" s="8">
        <f>T20/1.37</f>
        <v>1.1956204379562043</v>
      </c>
      <c r="AB20" s="8">
        <f>Z20/1.6</f>
        <v>0.64874982428022976</v>
      </c>
      <c r="AC20" s="8">
        <f>AA20*AB20/(AA20+AB20)</f>
        <v>0.42055468194840451</v>
      </c>
      <c r="AD20" s="13">
        <f>((AC20-I20/2/1000)*(D20-L20)/0.95-G20)/(AC20+I20/2/1000)</f>
        <v>262.77515051049869</v>
      </c>
      <c r="AE20" s="14">
        <f>AD20*0.95</f>
        <v>249.63639298497375</v>
      </c>
      <c r="AF20" s="13"/>
    </row>
    <row r="21" spans="1:32" x14ac:dyDescent="0.25">
      <c r="A21" s="5"/>
      <c r="B21" s="6"/>
      <c r="E21" s="48">
        <f>(E19*G19+E20*G20)/(G19+G20)</f>
        <v>351</v>
      </c>
      <c r="F21" s="48">
        <f>F19-F20</f>
        <v>8</v>
      </c>
      <c r="G21" s="46">
        <f>G19+G20</f>
        <v>37</v>
      </c>
      <c r="H21" s="49">
        <f>(H19*I19+H20*I20)/(I19+I20)</f>
        <v>0.56920460358056268</v>
      </c>
      <c r="I21" s="46">
        <f>I19+I20</f>
        <v>23.46</v>
      </c>
      <c r="J21" s="50">
        <f>(J19*I19+J20*I20)/(I19+I20)</f>
        <v>18.946589940323953</v>
      </c>
      <c r="V21" s="15"/>
      <c r="AD21" s="13">
        <f>AD19-AD20</f>
        <v>21.614725139340408</v>
      </c>
      <c r="AE21" s="14"/>
      <c r="AF21" s="13">
        <f>($F$7/0.95-$F$8/0.95)/$G$9*G21</f>
        <v>21.244019138755984</v>
      </c>
    </row>
    <row r="22" spans="1:32" x14ac:dyDescent="0.25">
      <c r="A22" s="5"/>
      <c r="B22" s="6"/>
      <c r="V22" s="15"/>
      <c r="AD22" s="13"/>
      <c r="AE22" s="14"/>
      <c r="AF22" s="13"/>
    </row>
    <row r="23" spans="1:32" x14ac:dyDescent="0.25">
      <c r="A23" s="5">
        <v>40270</v>
      </c>
      <c r="B23" s="6">
        <v>0.52820601851851856</v>
      </c>
      <c r="C23">
        <v>12.67</v>
      </c>
      <c r="D23">
        <v>394.2</v>
      </c>
      <c r="E23">
        <v>352</v>
      </c>
      <c r="F23">
        <v>254</v>
      </c>
      <c r="G23">
        <v>36.4</v>
      </c>
      <c r="H23">
        <v>0.56000000000000005</v>
      </c>
      <c r="I23">
        <v>12.18</v>
      </c>
      <c r="J23">
        <v>20.010000000000002</v>
      </c>
      <c r="K23">
        <v>0.72</v>
      </c>
      <c r="L23">
        <v>35.200000000000003</v>
      </c>
      <c r="M23">
        <v>9.81</v>
      </c>
      <c r="N23">
        <v>21.22</v>
      </c>
      <c r="O23">
        <v>33.700000000000003</v>
      </c>
      <c r="Q23">
        <v>29.5</v>
      </c>
      <c r="R23">
        <v>41.25</v>
      </c>
      <c r="S23">
        <v>0.73899999999999999</v>
      </c>
      <c r="T23">
        <v>2.319</v>
      </c>
      <c r="V23" s="15">
        <v>0.93</v>
      </c>
      <c r="W23" s="8">
        <f>R23/0.952</f>
        <v>43.329831932773111</v>
      </c>
      <c r="X23" s="8">
        <f>N23/0.952</f>
        <v>22.289915966386555</v>
      </c>
      <c r="Y23" s="8">
        <f>I23*(1-(W23*V23+X23)/2/1000)/(W23*V23-X23)</f>
        <v>0.65524296777016178</v>
      </c>
      <c r="Z23" s="8">
        <f>T23*Y23/(T23-Y23)</f>
        <v>0.91329948593665444</v>
      </c>
      <c r="AA23" s="8">
        <f>T23/1.37</f>
        <v>1.6927007299270072</v>
      </c>
      <c r="AB23" s="8">
        <f>Z23/1.6</f>
        <v>0.57081217871040901</v>
      </c>
      <c r="AC23" s="8">
        <f>AA23*AB23/(AA23+AB23)</f>
        <v>0.426864891234914</v>
      </c>
      <c r="AD23" s="13">
        <f>((AC23-I23/2/1000)*(D23-L23)/0.95-G23)/(AC23+I23/2/1000)</f>
        <v>283.19027980782869</v>
      </c>
      <c r="AE23" s="14">
        <f>AD23*0.95</f>
        <v>269.03076581743721</v>
      </c>
      <c r="AF23" s="13"/>
    </row>
    <row r="24" spans="1:32" x14ac:dyDescent="0.25">
      <c r="A24" s="5"/>
      <c r="B24" s="6"/>
      <c r="D24">
        <v>256.5</v>
      </c>
      <c r="E24">
        <v>251</v>
      </c>
      <c r="F24">
        <v>248</v>
      </c>
      <c r="G24">
        <v>0</v>
      </c>
      <c r="H24">
        <v>0.51700000000000002</v>
      </c>
      <c r="I24">
        <v>11.68</v>
      </c>
      <c r="J24">
        <v>20.79</v>
      </c>
      <c r="K24">
        <v>0.98</v>
      </c>
      <c r="L24">
        <v>0</v>
      </c>
      <c r="M24">
        <v>9.27</v>
      </c>
      <c r="N24">
        <v>20.45</v>
      </c>
      <c r="O24">
        <v>33</v>
      </c>
      <c r="Q24">
        <v>29.5</v>
      </c>
      <c r="R24">
        <v>41.25</v>
      </c>
      <c r="S24">
        <v>0.75700000000000001</v>
      </c>
      <c r="T24">
        <v>1.6339999999999999</v>
      </c>
      <c r="V24" s="15">
        <v>0.93</v>
      </c>
      <c r="W24" s="8">
        <f>R24/0.952</f>
        <v>43.329831932773111</v>
      </c>
      <c r="X24" s="8">
        <f>N24/0.952</f>
        <v>21.481092436974791</v>
      </c>
      <c r="Y24" s="8">
        <f>I24*(1-(W24*V24+X24)/2/1000)/(W24*V24-X24)</f>
        <v>0.60158520586182818</v>
      </c>
      <c r="Z24" s="8">
        <f>T24*Y24/(T24-Y24)</f>
        <v>0.95212721859414773</v>
      </c>
      <c r="AA24" s="8">
        <f>T24/1.37</f>
        <v>1.1927007299270072</v>
      </c>
      <c r="AB24" s="8">
        <f>Z24/1.6</f>
        <v>0.59507951162134232</v>
      </c>
      <c r="AC24" s="8">
        <f>AA24*AB24/(AA24+AB24)</f>
        <v>0.39700168476002656</v>
      </c>
      <c r="AD24" s="13">
        <f>((AC24-I24/2/1000)*(D24-L24)/0.95-G24)/(AC24+I24/2/1000)</f>
        <v>262.17161450936089</v>
      </c>
      <c r="AE24" s="14">
        <f>AD24*0.95</f>
        <v>249.06303378389285</v>
      </c>
      <c r="AF24" s="13"/>
    </row>
    <row r="25" spans="1:32" x14ac:dyDescent="0.25">
      <c r="A25" s="5"/>
      <c r="B25" s="6"/>
      <c r="E25" s="48">
        <f>(E23*G23+E24*G24)/(G23+G24)</f>
        <v>352</v>
      </c>
      <c r="F25" s="48">
        <f>F23-F24</f>
        <v>6</v>
      </c>
      <c r="G25" s="46">
        <f>G23+G24</f>
        <v>36.4</v>
      </c>
      <c r="H25" s="49">
        <f>(H23*I23+H24*I24)/(I23+I24)</f>
        <v>0.53895054484492877</v>
      </c>
      <c r="I25" s="46">
        <f>I23+I24</f>
        <v>23.86</v>
      </c>
      <c r="J25" s="50">
        <f>(J23*I23+J24*I24)/(I23+I24)</f>
        <v>20.391827326068732</v>
      </c>
      <c r="V25" s="15"/>
      <c r="AD25" s="13">
        <f>AD23-AD24</f>
        <v>21.018665298467795</v>
      </c>
      <c r="AE25" s="14"/>
      <c r="AF25" s="13">
        <f>($F$7/0.95-$F$8/0.95)/$G$9*G25</f>
        <v>20.899521531100483</v>
      </c>
    </row>
    <row r="26" spans="1:32" x14ac:dyDescent="0.25">
      <c r="A26" s="5"/>
      <c r="B26" s="6"/>
      <c r="V26" s="15"/>
      <c r="AD26" s="13"/>
      <c r="AE26" s="14"/>
      <c r="AF26" s="13"/>
    </row>
    <row r="27" spans="1:32" x14ac:dyDescent="0.25">
      <c r="A27" s="5">
        <v>40270</v>
      </c>
      <c r="B27" s="6">
        <v>0.55432870370370368</v>
      </c>
      <c r="C27">
        <v>13.3</v>
      </c>
      <c r="D27">
        <v>393.6</v>
      </c>
      <c r="E27">
        <v>352</v>
      </c>
      <c r="F27">
        <v>248</v>
      </c>
      <c r="G27">
        <v>35.700000000000003</v>
      </c>
      <c r="H27">
        <v>0.52400000000000002</v>
      </c>
      <c r="I27">
        <v>12.47</v>
      </c>
      <c r="J27">
        <v>21.86</v>
      </c>
      <c r="K27">
        <v>0.69</v>
      </c>
      <c r="L27">
        <v>34.5</v>
      </c>
      <c r="M27">
        <v>7.82</v>
      </c>
      <c r="N27">
        <v>19.54</v>
      </c>
      <c r="O27">
        <v>34</v>
      </c>
      <c r="Q27">
        <v>29.5</v>
      </c>
      <c r="R27">
        <v>41.4</v>
      </c>
      <c r="S27">
        <v>0.67700000000000005</v>
      </c>
      <c r="T27">
        <v>2.3250000000000002</v>
      </c>
      <c r="V27" s="15">
        <v>0.91</v>
      </c>
      <c r="W27" s="8">
        <f>R27/0.952</f>
        <v>43.487394957983192</v>
      </c>
      <c r="X27" s="8">
        <f>N27/0.952</f>
        <v>20.525210084033613</v>
      </c>
      <c r="Y27" s="8">
        <f>I27*(1-(W27*V27+X27)/2/1000)/(W27*V27-X27)</f>
        <v>0.63497908404102799</v>
      </c>
      <c r="Z27" s="8">
        <f>T27*Y27/(T27-Y27)</f>
        <v>0.87355508825621553</v>
      </c>
      <c r="AA27" s="8">
        <f>T27/1.37</f>
        <v>1.697080291970803</v>
      </c>
      <c r="AB27" s="8">
        <f>Z27/1.6</f>
        <v>0.54597193016013468</v>
      </c>
      <c r="AC27" s="8">
        <f>AA27*AB27/(AA27+AB27)</f>
        <v>0.41307919338756111</v>
      </c>
      <c r="AD27" s="13">
        <f>((AC27-I27/2/1000)*(D27-L27)/0.95-G27)/(AC27+I27/2/1000)</f>
        <v>281.61962309573744</v>
      </c>
      <c r="AE27" s="14">
        <f>AD27*0.95</f>
        <v>267.53864194095053</v>
      </c>
      <c r="AF27" s="13"/>
    </row>
    <row r="28" spans="1:32" x14ac:dyDescent="0.25">
      <c r="A28" s="5"/>
      <c r="B28" s="6"/>
      <c r="D28">
        <v>256</v>
      </c>
      <c r="E28">
        <v>251</v>
      </c>
      <c r="F28">
        <v>247</v>
      </c>
      <c r="G28">
        <v>0</v>
      </c>
      <c r="H28">
        <v>0.47699999999999998</v>
      </c>
      <c r="I28">
        <v>11.6</v>
      </c>
      <c r="J28">
        <v>22.34</v>
      </c>
      <c r="K28">
        <v>0.98</v>
      </c>
      <c r="L28">
        <v>0</v>
      </c>
      <c r="M28">
        <v>7.98</v>
      </c>
      <c r="N28">
        <v>19.059999999999999</v>
      </c>
      <c r="O28">
        <v>33.4</v>
      </c>
      <c r="Q28">
        <v>29.5</v>
      </c>
      <c r="R28">
        <v>41.4</v>
      </c>
      <c r="S28">
        <v>0.67500000000000004</v>
      </c>
      <c r="T28">
        <v>1.639</v>
      </c>
      <c r="V28" s="15">
        <v>0.91</v>
      </c>
      <c r="W28" s="8">
        <f>R28/0.952</f>
        <v>43.487394957983192</v>
      </c>
      <c r="X28" s="8">
        <f>N28/0.952</f>
        <v>20.021008403361343</v>
      </c>
      <c r="Y28" s="8">
        <f>I28*(1-(W28*V28+X28)/2/1000)/(W28*V28-X28)</f>
        <v>0.5755959385408832</v>
      </c>
      <c r="Z28" s="8">
        <f>T28*Y28/(T28-Y28)</f>
        <v>0.88715266140139459</v>
      </c>
      <c r="AA28" s="8">
        <f>T28/1.37</f>
        <v>1.1963503649635037</v>
      </c>
      <c r="AB28" s="8">
        <f>Z28/1.6</f>
        <v>0.55447041337587155</v>
      </c>
      <c r="AC28" s="8">
        <f>AA28*AB28/(AA28+AB28)</f>
        <v>0.37887423407943366</v>
      </c>
      <c r="AD28" s="13">
        <f>((AC28-I28/2/1000)*(D28-L28)/0.95-G28)/(AC28+I28/2/1000)</f>
        <v>261.34760125536633</v>
      </c>
      <c r="AE28" s="14">
        <f>AD28*0.95</f>
        <v>248.28022119259799</v>
      </c>
      <c r="AF28" s="13"/>
    </row>
    <row r="29" spans="1:32" x14ac:dyDescent="0.25">
      <c r="A29" s="5"/>
      <c r="B29" s="6"/>
      <c r="E29" s="48">
        <f>(E27*G27+E28*G28)/(G27+G28)</f>
        <v>352</v>
      </c>
      <c r="F29" s="48">
        <f>F27-F28</f>
        <v>1</v>
      </c>
      <c r="G29" s="46">
        <f>G27+G28</f>
        <v>35.700000000000003</v>
      </c>
      <c r="H29" s="49">
        <f>(H27*I27+H28*I28)/(I27+I28)</f>
        <v>0.50134939759036146</v>
      </c>
      <c r="I29" s="46">
        <f>I27+I28</f>
        <v>24.07</v>
      </c>
      <c r="J29" s="50">
        <f>(J27*I27+J28*I28)/(I27+I28)</f>
        <v>22.091325301204819</v>
      </c>
      <c r="V29" s="15"/>
      <c r="AD29" s="13">
        <f>AD27-AD28</f>
        <v>20.27202184037111</v>
      </c>
      <c r="AE29" s="14"/>
      <c r="AF29" s="13">
        <f>($F$7/0.95-$F$8/0.95)/$G$9*G29</f>
        <v>20.497607655502399</v>
      </c>
    </row>
    <row r="30" spans="1:32" x14ac:dyDescent="0.25">
      <c r="A30" s="5"/>
      <c r="B30" s="6"/>
      <c r="V30" s="15"/>
      <c r="AD30" s="13"/>
      <c r="AE30" s="14"/>
      <c r="AF30" s="13"/>
    </row>
    <row r="31" spans="1:32" x14ac:dyDescent="0.25">
      <c r="A31" s="5">
        <v>40270</v>
      </c>
      <c r="B31" s="6">
        <v>0.5822222222222222</v>
      </c>
      <c r="C31">
        <v>13.97</v>
      </c>
      <c r="D31">
        <v>393.6</v>
      </c>
      <c r="E31">
        <v>359</v>
      </c>
      <c r="F31">
        <v>250</v>
      </c>
      <c r="G31">
        <v>35.5</v>
      </c>
      <c r="H31">
        <v>0.5</v>
      </c>
      <c r="I31">
        <v>12.84</v>
      </c>
      <c r="J31">
        <v>23.6</v>
      </c>
      <c r="K31">
        <v>0.68</v>
      </c>
      <c r="L31">
        <v>28</v>
      </c>
      <c r="M31">
        <v>7.76</v>
      </c>
      <c r="N31">
        <v>17.64</v>
      </c>
      <c r="O31">
        <v>34</v>
      </c>
      <c r="Q31">
        <v>29.5</v>
      </c>
      <c r="R31">
        <v>41.25</v>
      </c>
      <c r="S31">
        <v>0.63800000000000001</v>
      </c>
      <c r="T31">
        <v>2.319</v>
      </c>
      <c r="V31" s="15">
        <v>0.91200000000000003</v>
      </c>
      <c r="W31" s="8">
        <f>R31/0.952</f>
        <v>43.329831932773111</v>
      </c>
      <c r="X31" s="8">
        <f>N31/0.952</f>
        <v>18.529411764705884</v>
      </c>
      <c r="Y31" s="8">
        <f>I31*(1-(W31*V31+X31)/2/1000)/(W31*V31-X31)</f>
        <v>0.59403957957957965</v>
      </c>
      <c r="Z31" s="8">
        <f>T31*Y31/(T31-Y31)</f>
        <v>0.79861414136638087</v>
      </c>
      <c r="AA31" s="8">
        <f>T31/1.37</f>
        <v>1.6927007299270072</v>
      </c>
      <c r="AB31" s="8">
        <f>Z31/1.6</f>
        <v>0.499133838353988</v>
      </c>
      <c r="AC31" s="8">
        <f>AA31*AB31/(AA31+AB31)</f>
        <v>0.38546896957450916</v>
      </c>
      <c r="AD31" s="13">
        <f>((AC31-I31/2/1000)*(D31-L31)/0.95-G31)/(AC31+I31/2/1000)</f>
        <v>281.64610902093688</v>
      </c>
      <c r="AE31" s="14">
        <f>AD31*0.95</f>
        <v>267.56380356989001</v>
      </c>
      <c r="AF31" s="13"/>
    </row>
    <row r="32" spans="1:32" x14ac:dyDescent="0.25">
      <c r="D32">
        <v>257.2</v>
      </c>
      <c r="E32">
        <v>253</v>
      </c>
      <c r="F32">
        <v>247</v>
      </c>
      <c r="G32">
        <v>0</v>
      </c>
      <c r="H32">
        <v>0.38400000000000001</v>
      </c>
      <c r="I32">
        <v>10.57</v>
      </c>
      <c r="J32">
        <v>25.36</v>
      </c>
      <c r="K32">
        <v>0.97</v>
      </c>
      <c r="L32">
        <v>0</v>
      </c>
      <c r="M32">
        <v>7.92</v>
      </c>
      <c r="N32">
        <v>15.88</v>
      </c>
      <c r="O32">
        <v>33.5</v>
      </c>
      <c r="Q32">
        <v>29.5</v>
      </c>
      <c r="R32">
        <v>41.25</v>
      </c>
      <c r="S32">
        <v>0.503</v>
      </c>
      <c r="T32">
        <v>1.6359999999999999</v>
      </c>
      <c r="V32" s="15">
        <v>0.91200000000000003</v>
      </c>
      <c r="W32" s="8">
        <f>R32/0.952</f>
        <v>43.329831932773111</v>
      </c>
      <c r="X32" s="8">
        <f>N32/0.952</f>
        <v>16.680672268907564</v>
      </c>
      <c r="Y32" s="8">
        <f>I32*(1-(W32*V32+X32)/2/1000)/(W32*V32-X32)</f>
        <v>0.44985706071757131</v>
      </c>
      <c r="Z32" s="8">
        <f>T32*Y32/(T32-Y32)</f>
        <v>0.62047003523806177</v>
      </c>
      <c r="AA32" s="8">
        <f>T32/1.37</f>
        <v>1.1941605839416056</v>
      </c>
      <c r="AB32" s="8">
        <f>Z32/1.6</f>
        <v>0.38779377202378856</v>
      </c>
      <c r="AC32" s="8">
        <f>AA32*AB32/(AA32+AB32)</f>
        <v>0.29273160474105075</v>
      </c>
      <c r="AD32" s="13">
        <f>((AC32-I32/2/1000)*(D32-L32)/0.95-G32)/(AC32+I32/2/1000)</f>
        <v>261.13439588070071</v>
      </c>
      <c r="AE32" s="14">
        <f>AD32*0.95</f>
        <v>248.07767608666566</v>
      </c>
      <c r="AF32" s="13"/>
    </row>
    <row r="33" spans="3:32" x14ac:dyDescent="0.25">
      <c r="E33" s="48">
        <f>(E31*G31+E32*G32)/(G31+G32)</f>
        <v>359</v>
      </c>
      <c r="F33" s="48">
        <f>F31-F32</f>
        <v>3</v>
      </c>
      <c r="G33" s="46">
        <f>G31+G32</f>
        <v>35.5</v>
      </c>
      <c r="H33" s="49">
        <f>(H31*I31+H32*I32)/(I31+I32)</f>
        <v>0.44762409226826144</v>
      </c>
      <c r="I33" s="46">
        <f>I31+I32</f>
        <v>23.41</v>
      </c>
      <c r="J33" s="50">
        <f>(J31*I31+J32*I32)/(I31+I32)</f>
        <v>24.394668944895344</v>
      </c>
      <c r="AD33" s="13">
        <f>AD31-AD32</f>
        <v>20.511713140236168</v>
      </c>
      <c r="AE33" s="14"/>
      <c r="AF33" s="13">
        <f>($F$7/0.95-$F$8/0.95)/$G$9*G33</f>
        <v>20.382775119617229</v>
      </c>
    </row>
    <row r="36" spans="3:32" x14ac:dyDescent="0.25">
      <c r="C36" t="s">
        <v>42</v>
      </c>
      <c r="D36" t="s">
        <v>43</v>
      </c>
    </row>
    <row r="37" spans="3:32" x14ac:dyDescent="0.25">
      <c r="C37" t="s">
        <v>44</v>
      </c>
      <c r="D37" t="s">
        <v>45</v>
      </c>
    </row>
    <row r="38" spans="3:32" x14ac:dyDescent="0.25">
      <c r="C38" t="s">
        <v>46</v>
      </c>
      <c r="D38" t="s">
        <v>47</v>
      </c>
    </row>
    <row r="39" spans="3:32" x14ac:dyDescent="0.25">
      <c r="C39" t="s">
        <v>48</v>
      </c>
      <c r="D39" t="s">
        <v>49</v>
      </c>
    </row>
    <row r="40" spans="3:32" x14ac:dyDescent="0.25">
      <c r="C40" t="s">
        <v>50</v>
      </c>
      <c r="D40" t="s">
        <v>51</v>
      </c>
    </row>
    <row r="41" spans="3:32" x14ac:dyDescent="0.25">
      <c r="C41" t="s">
        <v>52</v>
      </c>
      <c r="D41" t="s">
        <v>53</v>
      </c>
    </row>
    <row r="42" spans="3:32" x14ac:dyDescent="0.25">
      <c r="C42" t="s">
        <v>54</v>
      </c>
      <c r="D42" t="s">
        <v>55</v>
      </c>
    </row>
    <row r="43" spans="3:32" x14ac:dyDescent="0.25">
      <c r="C43" t="s">
        <v>56</v>
      </c>
      <c r="D43" t="s">
        <v>57</v>
      </c>
    </row>
    <row r="44" spans="3:32" x14ac:dyDescent="0.25">
      <c r="C44" t="s">
        <v>58</v>
      </c>
      <c r="D44" t="s">
        <v>59</v>
      </c>
      <c r="Q44" s="21"/>
    </row>
    <row r="45" spans="3:32" x14ac:dyDescent="0.25">
      <c r="C45" t="s">
        <v>60</v>
      </c>
      <c r="D45" t="s">
        <v>61</v>
      </c>
    </row>
    <row r="46" spans="3:32" x14ac:dyDescent="0.25">
      <c r="C46" t="s">
        <v>62</v>
      </c>
      <c r="D46" t="s">
        <v>63</v>
      </c>
    </row>
    <row r="47" spans="3:32" x14ac:dyDescent="0.25">
      <c r="C47" t="s">
        <v>64</v>
      </c>
      <c r="D47" t="s">
        <v>65</v>
      </c>
    </row>
    <row r="48" spans="3:32" x14ac:dyDescent="0.25">
      <c r="C48" t="s">
        <v>70</v>
      </c>
      <c r="D48" t="s">
        <v>71</v>
      </c>
    </row>
    <row r="49" spans="3:14" x14ac:dyDescent="0.25">
      <c r="C49" t="s">
        <v>72</v>
      </c>
      <c r="D49" t="s">
        <v>73</v>
      </c>
    </row>
    <row r="50" spans="3:14" x14ac:dyDescent="0.25">
      <c r="C50" t="s">
        <v>74</v>
      </c>
      <c r="D50" t="s">
        <v>75</v>
      </c>
    </row>
    <row r="51" spans="3:14" x14ac:dyDescent="0.25">
      <c r="C51" t="s">
        <v>76</v>
      </c>
      <c r="D51" t="s">
        <v>77</v>
      </c>
    </row>
    <row r="52" spans="3:14" x14ac:dyDescent="0.25">
      <c r="C52" t="s">
        <v>84</v>
      </c>
      <c r="D52" t="s">
        <v>170</v>
      </c>
    </row>
    <row r="53" spans="3:14" x14ac:dyDescent="0.25">
      <c r="C53" t="s">
        <v>171</v>
      </c>
      <c r="D53" t="s">
        <v>172</v>
      </c>
    </row>
    <row r="54" spans="3:14" x14ac:dyDescent="0.25">
      <c r="C54" t="s">
        <v>90</v>
      </c>
      <c r="D54" t="s">
        <v>51</v>
      </c>
    </row>
    <row r="55" spans="3:14" x14ac:dyDescent="0.25">
      <c r="C55" t="s">
        <v>91</v>
      </c>
      <c r="D55" t="s">
        <v>75</v>
      </c>
    </row>
    <row r="56" spans="3:14" x14ac:dyDescent="0.25">
      <c r="C56" t="s">
        <v>98</v>
      </c>
      <c r="D56" t="s">
        <v>99</v>
      </c>
    </row>
    <row r="57" spans="3:14" x14ac:dyDescent="0.25">
      <c r="C57" t="s">
        <v>94</v>
      </c>
      <c r="D57" t="s">
        <v>95</v>
      </c>
    </row>
    <row r="58" spans="3:14" x14ac:dyDescent="0.25">
      <c r="C58" t="s">
        <v>173</v>
      </c>
      <c r="D58" t="s">
        <v>174</v>
      </c>
    </row>
    <row r="59" spans="3:14" x14ac:dyDescent="0.25">
      <c r="C59" t="s">
        <v>169</v>
      </c>
      <c r="D59" s="16" t="s">
        <v>102</v>
      </c>
      <c r="E59" s="17"/>
      <c r="F59" s="17"/>
      <c r="G59" s="17"/>
      <c r="H59" s="17"/>
      <c r="I59" s="17"/>
      <c r="J59" s="17"/>
      <c r="K59" s="17"/>
      <c r="L59" s="17"/>
      <c r="M59" s="17"/>
      <c r="N59" s="17"/>
    </row>
    <row r="60" spans="3:14" x14ac:dyDescent="0.25">
      <c r="C60" t="s">
        <v>46</v>
      </c>
      <c r="D60" t="s">
        <v>47</v>
      </c>
    </row>
  </sheetData>
  <mergeCells count="2">
    <mergeCell ref="D3:T3"/>
    <mergeCell ref="V3:A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BC476-FD11-4431-B07C-9A43F7771B0E}">
  <dimension ref="A1:BA68"/>
  <sheetViews>
    <sheetView workbookViewId="0">
      <selection activeCell="G27" sqref="G27"/>
    </sheetView>
  </sheetViews>
  <sheetFormatPr defaultRowHeight="15" x14ac:dyDescent="0.25"/>
  <cols>
    <col min="28" max="28" width="11.28515625" customWidth="1"/>
  </cols>
  <sheetData>
    <row r="1" spans="1:53" x14ac:dyDescent="0.25">
      <c r="A1" t="s">
        <v>103</v>
      </c>
      <c r="C1" s="1" t="s">
        <v>104</v>
      </c>
    </row>
    <row r="2" spans="1:53" x14ac:dyDescent="0.25">
      <c r="A2" t="s">
        <v>105</v>
      </c>
    </row>
    <row r="4" spans="1:53" x14ac:dyDescent="0.25">
      <c r="A4" s="52" t="s">
        <v>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X4" s="52" t="s">
        <v>3</v>
      </c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</row>
    <row r="5" spans="1:53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Z5" t="s">
        <v>106</v>
      </c>
    </row>
    <row r="6" spans="1:53" x14ac:dyDescent="0.25">
      <c r="AM6" s="4" t="s">
        <v>107</v>
      </c>
      <c r="AN6" s="18"/>
      <c r="AO6" t="s">
        <v>108</v>
      </c>
      <c r="AP6" t="s">
        <v>109</v>
      </c>
      <c r="AU6" t="s">
        <v>110</v>
      </c>
      <c r="AV6" t="s">
        <v>111</v>
      </c>
      <c r="AW6" t="s">
        <v>112</v>
      </c>
      <c r="AZ6" t="s">
        <v>113</v>
      </c>
      <c r="BA6" t="s">
        <v>114</v>
      </c>
    </row>
    <row r="7" spans="1:53" x14ac:dyDescent="0.25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115</v>
      </c>
      <c r="U7" t="s">
        <v>116</v>
      </c>
      <c r="V7" t="s">
        <v>26</v>
      </c>
      <c r="X7" s="4" t="s">
        <v>27</v>
      </c>
      <c r="Y7" t="s">
        <v>28</v>
      </c>
      <c r="Z7" t="s">
        <v>29</v>
      </c>
      <c r="AA7" t="s">
        <v>30</v>
      </c>
      <c r="AB7" t="s">
        <v>31</v>
      </c>
      <c r="AC7" t="s">
        <v>32</v>
      </c>
      <c r="AD7" t="s">
        <v>33</v>
      </c>
      <c r="AE7" t="s">
        <v>34</v>
      </c>
      <c r="AF7" t="s">
        <v>35</v>
      </c>
      <c r="AG7" t="s">
        <v>36</v>
      </c>
      <c r="AH7" t="s">
        <v>37</v>
      </c>
      <c r="AI7" t="s">
        <v>38</v>
      </c>
      <c r="AJ7" t="s">
        <v>39</v>
      </c>
      <c r="AK7" s="4" t="s">
        <v>40</v>
      </c>
      <c r="AL7" t="s">
        <v>10</v>
      </c>
      <c r="AM7" s="4" t="s">
        <v>41</v>
      </c>
      <c r="AN7" s="18"/>
      <c r="AO7" t="s">
        <v>117</v>
      </c>
      <c r="AP7" t="s">
        <v>117</v>
      </c>
      <c r="AQ7" t="s">
        <v>118</v>
      </c>
      <c r="AR7" t="s">
        <v>119</v>
      </c>
      <c r="AS7" t="s">
        <v>120</v>
      </c>
      <c r="AT7" t="s">
        <v>121</v>
      </c>
      <c r="AU7" t="s">
        <v>122</v>
      </c>
      <c r="AV7" t="s">
        <v>123</v>
      </c>
      <c r="AW7" t="s">
        <v>124</v>
      </c>
      <c r="AX7" t="s">
        <v>113</v>
      </c>
      <c r="AY7" t="s">
        <v>125</v>
      </c>
    </row>
    <row r="8" spans="1:53" x14ac:dyDescent="0.25">
      <c r="A8" s="5">
        <v>44245</v>
      </c>
      <c r="B8" s="6">
        <v>0.39011574074074074</v>
      </c>
      <c r="C8">
        <v>9.36</v>
      </c>
      <c r="D8">
        <v>413.91</v>
      </c>
      <c r="E8">
        <v>371</v>
      </c>
      <c r="F8">
        <v>306</v>
      </c>
      <c r="G8">
        <v>34.81</v>
      </c>
      <c r="H8">
        <v>0.82499999999999996</v>
      </c>
      <c r="I8">
        <v>4.8019999999999996</v>
      </c>
      <c r="J8">
        <v>5.38</v>
      </c>
      <c r="K8">
        <v>0.81</v>
      </c>
      <c r="L8">
        <v>41.16</v>
      </c>
      <c r="M8">
        <v>22.48</v>
      </c>
      <c r="N8">
        <v>27.87</v>
      </c>
      <c r="O8">
        <v>26.79</v>
      </c>
      <c r="P8" s="7">
        <v>8.3138020000000001E-4</v>
      </c>
      <c r="Q8">
        <v>0.95799999999999996</v>
      </c>
      <c r="R8">
        <v>25.81</v>
      </c>
      <c r="S8">
        <v>33.25</v>
      </c>
      <c r="T8">
        <v>1.248</v>
      </c>
      <c r="U8">
        <v>2.44</v>
      </c>
      <c r="V8">
        <v>6.0000000000000001E-3</v>
      </c>
      <c r="X8" s="4">
        <v>1</v>
      </c>
      <c r="Y8">
        <f>V8*0.04</f>
        <v>2.4000000000000001E-4</v>
      </c>
      <c r="Z8">
        <f>((I8/1000/U8)*(1-N8/Q8/2000)+N8/Q8/1000)/(1+I8/1000/(2*U8))*1000</f>
        <v>31.000758704464499</v>
      </c>
      <c r="AA8" s="8">
        <f>S8/Q8*X8</f>
        <v>34.707724425887264</v>
      </c>
      <c r="AB8" s="9">
        <f>V8*(AA8/1000-Z8/1000)</f>
        <v>2.2241794328536611E-5</v>
      </c>
      <c r="AC8" s="10">
        <f>I8/1000-AB8</f>
        <v>4.7797582056714636E-3</v>
      </c>
      <c r="AD8" s="11">
        <f>1/(((AA8/1000-Z8/1000)/(I8/1000-AC8*((AA8+Z8)/2000)))+((Z8-(N8/Q8))/1000)/(I8/1000-I8/1000*((Z8+N8/Q8)/2000)))</f>
        <v>0.82788502966446664</v>
      </c>
      <c r="AE8" s="12">
        <f>(AC8-AC8*((AA8+Z8)/2000))/((AA8-Z8)/1000)</f>
        <v>1.2470368550332753</v>
      </c>
      <c r="AF8" s="12">
        <f>AE8+V8</f>
        <v>1.2530368550332753</v>
      </c>
      <c r="AG8" s="12">
        <f>AE8/1.6</f>
        <v>0.77939803439579702</v>
      </c>
      <c r="AH8" s="12">
        <f>AG8+Y8</f>
        <v>0.77963803439579704</v>
      </c>
      <c r="AI8" s="12">
        <f>U8/1.37</f>
        <v>1.7810218978102188</v>
      </c>
      <c r="AJ8" s="8">
        <f>(E8/Q8*(AI8-I8/1000/2)-G8)/(AI8+I8/1000/2)</f>
        <v>366.70374937498963</v>
      </c>
      <c r="AK8" s="13">
        <f>(AJ8*(AH8-AC8/2)-G8)/(AH8+AC8/2)</f>
        <v>319.94997674870154</v>
      </c>
      <c r="AL8" s="8">
        <f>AK8*Q8</f>
        <v>306.51207772525606</v>
      </c>
      <c r="AM8" s="4"/>
      <c r="AN8" s="18"/>
      <c r="AO8">
        <v>813</v>
      </c>
      <c r="AP8">
        <v>1030</v>
      </c>
      <c r="AQ8" s="12">
        <f>P8*1000*(1+(N8-M8)/(Q8*1000))</f>
        <v>0.83605779841127359</v>
      </c>
      <c r="AR8" s="8"/>
      <c r="AS8" s="8"/>
      <c r="AT8" s="8">
        <f>1/(U8*1.186)</f>
        <v>0.34556160672324665</v>
      </c>
      <c r="AU8" s="8"/>
      <c r="AV8" s="8"/>
      <c r="AW8" s="8"/>
      <c r="AX8" s="8"/>
      <c r="AY8" s="8">
        <f>1/AD8</f>
        <v>1.2078971888225709</v>
      </c>
    </row>
    <row r="9" spans="1:53" x14ac:dyDescent="0.25">
      <c r="A9" s="5"/>
      <c r="B9" s="6"/>
      <c r="D9">
        <v>271.83</v>
      </c>
      <c r="E9">
        <v>270</v>
      </c>
      <c r="F9">
        <v>269</v>
      </c>
      <c r="G9">
        <v>-0.32</v>
      </c>
      <c r="H9">
        <v>0.89300000000000002</v>
      </c>
      <c r="I9">
        <v>4.0449999999999999</v>
      </c>
      <c r="J9">
        <v>4.21</v>
      </c>
      <c r="K9">
        <v>0.99</v>
      </c>
      <c r="L9">
        <v>-0.39</v>
      </c>
      <c r="M9">
        <v>24.32</v>
      </c>
      <c r="N9">
        <v>29.04</v>
      </c>
      <c r="O9">
        <v>26.79</v>
      </c>
      <c r="P9" s="7">
        <v>7.9657969999999997E-4</v>
      </c>
      <c r="Q9">
        <v>0.95799999999999996</v>
      </c>
      <c r="R9">
        <v>25.81</v>
      </c>
      <c r="S9">
        <v>33.25</v>
      </c>
      <c r="T9">
        <v>1.411</v>
      </c>
      <c r="U9">
        <v>2.44</v>
      </c>
      <c r="V9">
        <v>7.0000000000000001E-3</v>
      </c>
      <c r="X9" s="4">
        <v>1</v>
      </c>
      <c r="Y9">
        <f>V9*0.04</f>
        <v>2.8000000000000003E-4</v>
      </c>
      <c r="Z9">
        <f>((I9/1000/U9)*(1-N9/Q9/2000)+N9/Q9/1000)/(1+I9/1000/(2*U9))*1000</f>
        <v>31.919355168638649</v>
      </c>
      <c r="AA9" s="8">
        <f>S9/Q9*X9</f>
        <v>34.707724425887264</v>
      </c>
      <c r="AB9" s="9">
        <f>V9*(AA9/1000-Z9/1000)</f>
        <v>1.9518584800740319E-5</v>
      </c>
      <c r="AC9" s="10">
        <f>I9/1000-AB9</f>
        <v>4.0254814151992595E-3</v>
      </c>
      <c r="AD9" s="11">
        <f>1/(((AA9/1000-Z9/1000)/(I9/1000-AC9*((AA9+Z9)/2000)))+((Z9-(N9/Q9))/1000)/(I9/1000-I9/1000*((Z9+N9/Q9)/2000)))</f>
        <v>0.8906222973566863</v>
      </c>
      <c r="AE9" s="12">
        <f>(AC9-AC9*((AA9+Z9)/2000))/((AA9-Z9)/1000)</f>
        <v>1.3955749833903424</v>
      </c>
      <c r="AF9" s="12">
        <f>AE9+V9</f>
        <v>1.4025749833903423</v>
      </c>
      <c r="AG9" s="12">
        <f>AE9/1.6</f>
        <v>0.87223436461896398</v>
      </c>
      <c r="AH9" s="12">
        <f>AG9+Y9</f>
        <v>0.87251436461896392</v>
      </c>
      <c r="AI9" s="12">
        <f>U9/1.37</f>
        <v>1.7810218978102188</v>
      </c>
      <c r="AJ9" s="8">
        <f>(E9/Q9*(AI9-I9/1000/2)-G9)/(AI9+I9/1000/2)</f>
        <v>281.37725559370926</v>
      </c>
      <c r="AK9" s="13">
        <f>(AJ9*(AH9-AC9/2)-G9)/(AH9+AC9/2)</f>
        <v>280.44797746373206</v>
      </c>
      <c r="AL9" s="8">
        <f>AK9*Q9</f>
        <v>268.6691624102553</v>
      </c>
      <c r="AM9" s="4"/>
      <c r="AN9" s="18"/>
      <c r="AO9">
        <v>233</v>
      </c>
      <c r="AQ9" s="12">
        <f>P9*1000*(1+(N9-M9)/(Q9*1000))</f>
        <v>0.80050439330271406</v>
      </c>
      <c r="AR9" s="8">
        <f t="shared" ref="AR9" si="0">AQ9*AO9</f>
        <v>186.51752363953239</v>
      </c>
      <c r="AS9" s="8">
        <f t="shared" ref="AS9" si="1">(AO8-AO9)/AR9</f>
        <v>3.1096273887965613</v>
      </c>
      <c r="AT9" s="8">
        <f>1/(U9*1.186)</f>
        <v>0.34556160672324665</v>
      </c>
      <c r="AU9" s="8">
        <f>AS9-(AT8+AT9)</f>
        <v>2.4185041753500682</v>
      </c>
      <c r="AV9" s="8">
        <f>AU9*1.292</f>
        <v>3.1247073945522881</v>
      </c>
      <c r="AW9" s="8">
        <f>AV9+1/U9+1/U8</f>
        <v>3.9443795256998291</v>
      </c>
      <c r="AX9" s="8">
        <f>1/H8+1/H9</f>
        <v>2.3319420407886255</v>
      </c>
      <c r="AY9" s="8">
        <f>1/AD9</f>
        <v>1.1228104247647293</v>
      </c>
      <c r="AZ9" s="8">
        <f>AW9-AX9</f>
        <v>1.6124374849112035</v>
      </c>
      <c r="BA9" s="8">
        <f>AW9-AY10</f>
        <v>1.6136719121125287</v>
      </c>
    </row>
    <row r="10" spans="1:53" x14ac:dyDescent="0.25">
      <c r="A10" s="5"/>
      <c r="B10" s="6"/>
      <c r="G10">
        <f>SUM(G8:G9)</f>
        <v>34.49</v>
      </c>
      <c r="I10">
        <f>SUM(I8:I9)</f>
        <v>8.8469999999999995</v>
      </c>
      <c r="J10">
        <f>AVERAGE(J8:J9)</f>
        <v>4.7949999999999999</v>
      </c>
      <c r="N10">
        <f>AVERAGE(N8:N9)</f>
        <v>28.454999999999998</v>
      </c>
      <c r="R10" s="7"/>
      <c r="X10" s="4"/>
      <c r="AC10" s="10"/>
      <c r="AE10" s="12"/>
      <c r="AF10" s="12"/>
      <c r="AG10" s="8"/>
      <c r="AJ10" s="8"/>
      <c r="AK10" s="13">
        <f>AK8-AK9</f>
        <v>39.501999284969486</v>
      </c>
      <c r="AL10" s="8"/>
      <c r="AM10" s="15"/>
      <c r="AN10" s="19"/>
      <c r="AQ10" s="12"/>
      <c r="AR10" s="8"/>
      <c r="AS10" s="8"/>
      <c r="AT10" s="8"/>
      <c r="AU10" s="8"/>
      <c r="AV10" s="8"/>
      <c r="AW10" s="8"/>
      <c r="AX10" s="8"/>
      <c r="AY10" s="8">
        <f>SUM(AY8:AY9)</f>
        <v>2.3307076135873004</v>
      </c>
      <c r="AZ10" s="8"/>
      <c r="BA10" s="8"/>
    </row>
    <row r="11" spans="1:53" x14ac:dyDescent="0.25">
      <c r="A11" s="5"/>
      <c r="B11" s="6"/>
      <c r="R11" s="7"/>
      <c r="X11" s="4"/>
      <c r="AC11" s="10"/>
      <c r="AE11" s="12"/>
      <c r="AF11" s="12"/>
      <c r="AJ11" s="8"/>
      <c r="AK11" s="13"/>
      <c r="AL11" s="8"/>
      <c r="AM11" s="4"/>
      <c r="AN11" s="18"/>
      <c r="AQ11" s="12"/>
      <c r="AR11" s="8"/>
      <c r="AS11" s="8"/>
      <c r="AT11" s="8"/>
      <c r="AU11" s="8"/>
      <c r="AV11" s="8"/>
      <c r="AW11" s="8"/>
      <c r="AX11" s="8"/>
      <c r="AZ11" s="8"/>
      <c r="BA11" s="8"/>
    </row>
    <row r="12" spans="1:53" x14ac:dyDescent="0.25">
      <c r="A12" s="5">
        <v>44245</v>
      </c>
      <c r="B12" s="6">
        <v>0.43057870370370371</v>
      </c>
      <c r="C12">
        <v>10.33</v>
      </c>
      <c r="D12">
        <v>421.91</v>
      </c>
      <c r="E12">
        <v>379</v>
      </c>
      <c r="F12">
        <v>298</v>
      </c>
      <c r="G12">
        <v>34.770000000000003</v>
      </c>
      <c r="H12">
        <v>0.67900000000000005</v>
      </c>
      <c r="I12">
        <v>6.73</v>
      </c>
      <c r="J12">
        <v>9.2200000000000006</v>
      </c>
      <c r="K12">
        <v>0.77</v>
      </c>
      <c r="L12">
        <v>40.43</v>
      </c>
      <c r="M12">
        <v>15.43</v>
      </c>
      <c r="N12">
        <v>22.95</v>
      </c>
      <c r="O12">
        <v>26.71</v>
      </c>
      <c r="P12" s="7">
        <v>8.3906759999999997E-4</v>
      </c>
      <c r="Q12">
        <v>0.95799999999999996</v>
      </c>
      <c r="R12">
        <v>25.26</v>
      </c>
      <c r="S12">
        <v>32.18</v>
      </c>
      <c r="T12">
        <v>0.94</v>
      </c>
      <c r="U12">
        <v>2.44</v>
      </c>
      <c r="V12">
        <v>6.0000000000000001E-3</v>
      </c>
      <c r="X12" s="4">
        <v>0.95</v>
      </c>
      <c r="Y12">
        <f>V12*0.04</f>
        <v>2.4000000000000001E-4</v>
      </c>
      <c r="Z12">
        <f>((I12/1000/U12)*(1-N12/Q12/2000)+N12/Q12/1000)/(1+I12/1000/(2*U12))*1000</f>
        <v>26.644572000487354</v>
      </c>
      <c r="AA12" s="8">
        <f>S12/Q12*X12</f>
        <v>31.911273486430062</v>
      </c>
      <c r="AB12" s="9">
        <f>V12*(AA12/1000-Z12/1000)</f>
        <v>3.1600208915656227E-5</v>
      </c>
      <c r="AC12" s="10">
        <f>I12/1000-AB12</f>
        <v>6.6983997910843446E-3</v>
      </c>
      <c r="AD12" s="11">
        <f>1/(((AA12/1000-Z12/1000)/(I12/1000-AC12*((AA12+Z12)/2000)))+((Z12-(N12/Q12))/1000)/(I12/1000-I12/1000*((Z12+N12/Q12)/2000)))</f>
        <v>0.82243888978837687</v>
      </c>
      <c r="AE12" s="12">
        <f>(AC12-AC12*((AA12+Z12)/2000))/((AA12-Z12)/1000)</f>
        <v>1.2346028300353362</v>
      </c>
      <c r="AF12" s="12">
        <f>AE12+V12</f>
        <v>1.2406028300353362</v>
      </c>
      <c r="AG12" s="12">
        <f>AE12/1.6</f>
        <v>0.77162676877208514</v>
      </c>
      <c r="AH12" s="12">
        <f>AG12+Y12</f>
        <v>0.77186676877208515</v>
      </c>
      <c r="AI12" s="12">
        <f>U12/1.37</f>
        <v>1.7810218978102188</v>
      </c>
      <c r="AJ12" s="8">
        <f>(E12/Q12*(AI12-I12/1000/2)-G12)/(AI12+I12/1000/2)</f>
        <v>374.63807573834953</v>
      </c>
      <c r="AK12" s="13">
        <f>(AJ12*(AH12-AC12/2)-G12)/(AH12+AC12/2)</f>
        <v>326.54892753319751</v>
      </c>
      <c r="AL12" s="8">
        <f>AK12*Q12</f>
        <v>312.83387257680323</v>
      </c>
      <c r="AM12" s="4"/>
      <c r="AN12" s="18"/>
      <c r="AO12">
        <v>833</v>
      </c>
      <c r="AP12">
        <v>1044</v>
      </c>
      <c r="AQ12" s="12">
        <f>P12*1000*(1+(N12-M12)/(Q12*1000))</f>
        <v>0.84565401790396655</v>
      </c>
      <c r="AR12" s="8"/>
      <c r="AS12" s="8"/>
      <c r="AT12" s="8">
        <f>1/(U12*1.186)</f>
        <v>0.34556160672324665</v>
      </c>
      <c r="AU12" s="8"/>
      <c r="AV12" s="8"/>
      <c r="AW12" s="8"/>
      <c r="AX12" s="8"/>
      <c r="AY12" s="8">
        <f>1/AD12</f>
        <v>1.2158958099091248</v>
      </c>
      <c r="AZ12" s="8"/>
      <c r="BA12" s="8"/>
    </row>
    <row r="13" spans="1:53" x14ac:dyDescent="0.25">
      <c r="A13" s="5"/>
      <c r="B13" s="6"/>
      <c r="D13">
        <v>282.08</v>
      </c>
      <c r="E13">
        <v>279</v>
      </c>
      <c r="F13">
        <v>275</v>
      </c>
      <c r="G13">
        <v>-0.12</v>
      </c>
      <c r="H13">
        <v>0.624</v>
      </c>
      <c r="I13">
        <v>6.7519999999999998</v>
      </c>
      <c r="J13">
        <v>10.1</v>
      </c>
      <c r="K13">
        <v>0.98</v>
      </c>
      <c r="L13">
        <v>-0.13</v>
      </c>
      <c r="M13">
        <v>14.71</v>
      </c>
      <c r="N13">
        <v>22.07</v>
      </c>
      <c r="O13">
        <v>26.71</v>
      </c>
      <c r="P13" s="7">
        <v>8.586399E-4</v>
      </c>
      <c r="Q13">
        <v>0.95799999999999996</v>
      </c>
      <c r="R13">
        <v>25.26</v>
      </c>
      <c r="S13">
        <v>32.18</v>
      </c>
      <c r="T13">
        <v>0.83699999999999997</v>
      </c>
      <c r="U13">
        <v>2.44</v>
      </c>
      <c r="V13">
        <v>7.0000000000000001E-3</v>
      </c>
      <c r="X13" s="4">
        <v>0.95</v>
      </c>
      <c r="Y13">
        <f>V13*0.04</f>
        <v>2.8000000000000003E-4</v>
      </c>
      <c r="Z13">
        <f>((I13/1000/U13)*(1-N13/Q13/2000)+N13/Q13/1000)/(1+I13/1000/(2*U13))*1000</f>
        <v>25.73730615290642</v>
      </c>
      <c r="AA13" s="8">
        <f>S13/Q13*X13</f>
        <v>31.911273486430062</v>
      </c>
      <c r="AB13" s="9">
        <f>V13*(AA13/1000-Z13/1000)</f>
        <v>4.3217771334665467E-5</v>
      </c>
      <c r="AC13" s="10">
        <f>I13/1000-AB13</f>
        <v>6.7087822286653349E-3</v>
      </c>
      <c r="AD13" s="11">
        <f>1/(((AA13/1000-Z13/1000)/(I13/1000-AC13*((AA13+Z13)/2000)))+((Z13-(N13/Q13))/1000)/(I13/1000-I13/1000*((Z13+N13/Q13)/2000)))</f>
        <v>0.74008997695009182</v>
      </c>
      <c r="AE13" s="12">
        <f>(AC13-AC13*((AA13+Z13)/2000))/((AA13-Z13)/1000)</f>
        <v>1.055303015613906</v>
      </c>
      <c r="AF13" s="12">
        <f>AE13+V13</f>
        <v>1.0623030156139059</v>
      </c>
      <c r="AG13" s="12">
        <f>AE13/1.6</f>
        <v>0.65956438475869128</v>
      </c>
      <c r="AH13" s="12">
        <f>AG13+Y13</f>
        <v>0.65984438475869123</v>
      </c>
      <c r="AI13" s="12">
        <f>U13/1.37</f>
        <v>1.7810218978102188</v>
      </c>
      <c r="AJ13" s="8">
        <f>(E13/Q13*(AI13-I13/1000/2)-G13)/(AI13+I13/1000/2)</f>
        <v>290.19698785679168</v>
      </c>
      <c r="AK13" s="13">
        <f>(AJ13*(AH13-AC13/2)-G13)/(AH13+AC13/2)</f>
        <v>287.44235612131996</v>
      </c>
      <c r="AL13" s="8">
        <f>AK13*Q13</f>
        <v>275.3697771642245</v>
      </c>
      <c r="AM13" s="4"/>
      <c r="AN13" s="18"/>
      <c r="AO13">
        <v>208</v>
      </c>
      <c r="AQ13" s="12">
        <f>P13*1000*(1+(N13-M13)/(Q13*1000))</f>
        <v>0.86523654891858026</v>
      </c>
      <c r="AR13" s="8">
        <f t="shared" ref="AR13" si="2">AQ13*AO13</f>
        <v>179.96920217506471</v>
      </c>
      <c r="AS13" s="8">
        <f t="shared" ref="AS13" si="3">(AO12-AO13)/AR13</f>
        <v>3.4728164177336986</v>
      </c>
      <c r="AT13" s="8">
        <f>1/(U13*1.186)</f>
        <v>0.34556160672324665</v>
      </c>
      <c r="AU13" s="8">
        <f t="shared" ref="AU13" si="4">AS13-(AT12+AT13)</f>
        <v>2.7816932042872056</v>
      </c>
      <c r="AV13" s="8">
        <f t="shared" ref="AV13" si="5">AU13*1.292</f>
        <v>3.5939476199390699</v>
      </c>
      <c r="AW13" s="8">
        <f>AV13+1/U13+1/U12</f>
        <v>4.4136197510866113</v>
      </c>
      <c r="AX13" s="8">
        <f>1/H12+1/H13</f>
        <v>3.07531815263774</v>
      </c>
      <c r="AY13" s="8">
        <f>1/AD13</f>
        <v>1.3511870598774982</v>
      </c>
      <c r="AZ13" s="8">
        <f>AW13-AX13</f>
        <v>1.3383015984488713</v>
      </c>
      <c r="BA13" s="8">
        <f>AW13-AY14</f>
        <v>1.8465368812999881</v>
      </c>
    </row>
    <row r="14" spans="1:53" x14ac:dyDescent="0.25">
      <c r="A14" s="5"/>
      <c r="B14" s="6"/>
      <c r="G14">
        <f>SUM(G12:G13)</f>
        <v>34.650000000000006</v>
      </c>
      <c r="I14">
        <f>SUM(I12:I13)</f>
        <v>13.481999999999999</v>
      </c>
      <c r="J14">
        <f>AVERAGE(J12:J13)</f>
        <v>9.66</v>
      </c>
      <c r="N14">
        <f>AVERAGE(N12:N13)</f>
        <v>22.509999999999998</v>
      </c>
      <c r="R14" s="7"/>
      <c r="X14" s="4"/>
      <c r="AA14" s="8"/>
      <c r="AC14" s="10"/>
      <c r="AD14" s="8"/>
      <c r="AE14" s="12"/>
      <c r="AF14" s="12"/>
      <c r="AG14" s="8"/>
      <c r="AH14" s="7"/>
      <c r="AJ14" s="8"/>
      <c r="AK14" s="13">
        <f>AK12-AK13</f>
        <v>39.106571411877553</v>
      </c>
      <c r="AL14" s="8"/>
      <c r="AM14" s="13">
        <f>(AK8-AK9)/G10*G14</f>
        <v>39.685250078985007</v>
      </c>
      <c r="AN14" s="19"/>
      <c r="AO14" s="7"/>
      <c r="AQ14" s="12"/>
      <c r="AR14" s="8"/>
      <c r="AS14" s="8"/>
      <c r="AT14" s="8"/>
      <c r="AU14" s="8"/>
      <c r="AV14" s="8"/>
      <c r="AW14" s="8"/>
      <c r="AX14" s="8"/>
      <c r="AY14" s="8">
        <f>SUM(AY12:AY13)</f>
        <v>2.5670828697866233</v>
      </c>
      <c r="AZ14" s="8"/>
      <c r="BA14" s="8"/>
    </row>
    <row r="15" spans="1:53" x14ac:dyDescent="0.25">
      <c r="A15" s="5"/>
      <c r="B15" s="6"/>
      <c r="R15" s="7"/>
      <c r="X15" s="4"/>
      <c r="AI15" s="7"/>
      <c r="AK15" s="13"/>
      <c r="AM15" s="4"/>
      <c r="AN15" s="18"/>
      <c r="AT15" s="8"/>
      <c r="AU15" s="8"/>
      <c r="AV15" s="8"/>
      <c r="AW15" s="8"/>
      <c r="AZ15" s="8"/>
      <c r="BA15" s="8"/>
    </row>
    <row r="16" spans="1:53" x14ac:dyDescent="0.25">
      <c r="A16" s="5">
        <v>44245</v>
      </c>
      <c r="B16" s="6">
        <v>0.47</v>
      </c>
      <c r="C16">
        <v>11.27</v>
      </c>
      <c r="D16">
        <v>428.38</v>
      </c>
      <c r="E16">
        <v>384</v>
      </c>
      <c r="F16">
        <v>285</v>
      </c>
      <c r="G16">
        <v>34.86</v>
      </c>
      <c r="H16">
        <v>0.56000000000000005</v>
      </c>
      <c r="I16">
        <v>7.1379999999999999</v>
      </c>
      <c r="J16">
        <v>11.89</v>
      </c>
      <c r="K16">
        <v>0.74</v>
      </c>
      <c r="L16">
        <v>40.97</v>
      </c>
      <c r="M16">
        <v>11.65</v>
      </c>
      <c r="N16">
        <v>19.77</v>
      </c>
      <c r="O16">
        <v>26.75</v>
      </c>
      <c r="P16" s="7">
        <v>8.2727880000000003E-4</v>
      </c>
      <c r="Q16">
        <v>0.95799999999999996</v>
      </c>
      <c r="R16">
        <v>24.98</v>
      </c>
      <c r="S16">
        <v>31.65</v>
      </c>
      <c r="T16">
        <v>0.72599999999999998</v>
      </c>
      <c r="U16">
        <v>2.44</v>
      </c>
      <c r="V16">
        <v>6.0000000000000001E-3</v>
      </c>
      <c r="X16" s="4">
        <v>0.91</v>
      </c>
      <c r="Y16">
        <f>V16*0.04</f>
        <v>2.4000000000000001E-4</v>
      </c>
      <c r="Z16">
        <f>((I16/1000/U16)*(1-N16/Q16/2000)+N16/Q16/1000)/(1+I16/1000/(2*U16))*1000</f>
        <v>23.497597533829399</v>
      </c>
      <c r="AA16" s="8">
        <f>S16/Q16*X16</f>
        <v>30.064196242171189</v>
      </c>
      <c r="AB16" s="9">
        <f>V16*(AA16/1000-Z16/1000)</f>
        <v>3.9399592250050726E-5</v>
      </c>
      <c r="AC16" s="10">
        <f>I16/1000-AB16</f>
        <v>7.0986004077499493E-3</v>
      </c>
      <c r="AD16" s="11">
        <f>1/(((AA16/1000-Z16/1000)/(I16/1000-AC16*((AA16+Z16)/2000)))+((Z16-(N16/Q16))/1000)/(I16/1000-I16/1000*((Z16+N16/Q16)/2000)))</f>
        <v>0.7380308420777355</v>
      </c>
      <c r="AE16" s="12">
        <f>(AC16-AC16*((AA16+Z16)/2000))/((AA16-Z16)/1000)</f>
        <v>1.052065738904491</v>
      </c>
      <c r="AF16" s="12">
        <f>AE16+V16</f>
        <v>1.058065738904491</v>
      </c>
      <c r="AG16" s="12">
        <f>AE16/1.6</f>
        <v>0.65754108681530676</v>
      </c>
      <c r="AH16" s="12">
        <f>AG16+Y16</f>
        <v>0.65778108681530678</v>
      </c>
      <c r="AI16" s="12">
        <f>U16/1.37</f>
        <v>1.7810218978102188</v>
      </c>
      <c r="AJ16" s="8">
        <f>(E16/Q16*(AI16-I16/1000/2)-G16)/(AI16+I16/1000/2)</f>
        <v>379.69792572725271</v>
      </c>
      <c r="AK16" s="13">
        <f>(AJ16*(AH16-AC16/2)-G16)/(AH16+AC16/2)</f>
        <v>322.91038868444025</v>
      </c>
      <c r="AL16" s="8">
        <f>AK16*Q16</f>
        <v>309.34815235969376</v>
      </c>
      <c r="AM16" s="4"/>
      <c r="AN16" s="18"/>
      <c r="AO16">
        <v>833</v>
      </c>
      <c r="AP16">
        <v>1044</v>
      </c>
      <c r="AQ16" s="12">
        <f>P16*1000*(1+(N16-M16)/(Q16*1000))</f>
        <v>0.83429080820041757</v>
      </c>
      <c r="AR16" s="8"/>
      <c r="AS16" s="8"/>
      <c r="AT16" s="8">
        <f>1/(U16*1.186)</f>
        <v>0.34556160672324665</v>
      </c>
      <c r="AU16" s="8"/>
      <c r="AV16" s="8"/>
      <c r="AW16" s="8"/>
      <c r="AX16" s="8"/>
      <c r="AY16" s="8">
        <f>1/AD16</f>
        <v>1.3549569245436381</v>
      </c>
      <c r="AZ16" s="8"/>
      <c r="BA16" s="8"/>
    </row>
    <row r="17" spans="1:53" x14ac:dyDescent="0.25">
      <c r="A17" s="5"/>
      <c r="B17" s="6"/>
      <c r="D17">
        <v>278.73</v>
      </c>
      <c r="E17">
        <v>276</v>
      </c>
      <c r="F17">
        <v>270</v>
      </c>
      <c r="G17">
        <v>0.09</v>
      </c>
      <c r="H17">
        <v>0.54100000000000004</v>
      </c>
      <c r="I17">
        <v>6.907</v>
      </c>
      <c r="J17">
        <v>11.93</v>
      </c>
      <c r="K17">
        <v>0.97</v>
      </c>
      <c r="L17">
        <v>0.1</v>
      </c>
      <c r="M17">
        <v>11.96</v>
      </c>
      <c r="N17">
        <v>19.72</v>
      </c>
      <c r="O17">
        <v>26.75</v>
      </c>
      <c r="P17" s="7">
        <v>8.3545769999999998E-4</v>
      </c>
      <c r="Q17">
        <v>0.95799999999999996</v>
      </c>
      <c r="R17">
        <v>24.98</v>
      </c>
      <c r="S17">
        <v>31.65</v>
      </c>
      <c r="T17">
        <v>0.69399999999999995</v>
      </c>
      <c r="U17">
        <v>2.44</v>
      </c>
      <c r="V17">
        <v>7.0000000000000001E-3</v>
      </c>
      <c r="X17" s="4">
        <v>0.91</v>
      </c>
      <c r="Y17">
        <f>V17*0.04</f>
        <v>2.8000000000000003E-4</v>
      </c>
      <c r="Z17">
        <f>((I17/1000/U17)*(1-N17/Q17/2000)+N17/Q17/1000)/(1+I17/1000/(2*U17))*1000</f>
        <v>23.353100869028101</v>
      </c>
      <c r="AA17" s="8">
        <f>S17/Q17*X17</f>
        <v>30.064196242171189</v>
      </c>
      <c r="AB17" s="9">
        <f>V17*(AA17/1000-Z17/1000)</f>
        <v>4.6977667612001605E-5</v>
      </c>
      <c r="AC17" s="10">
        <f>I17/1000-AB17</f>
        <v>6.8600223323879985E-3</v>
      </c>
      <c r="AD17" s="11">
        <f>1/(((AA17/1000-Z17/1000)/(I17/1000-AC17*((AA17+Z17)/2000)))+((Z17-(N17/Q17))/1000)/(I17/1000-I17/1000*((Z17+N17/Q17)/2000)))</f>
        <v>0.71025258591449536</v>
      </c>
      <c r="AE17" s="12">
        <f>(AC17-AC17*((AA17+Z17)/2000))/((AA17-Z17)/1000)</f>
        <v>0.994889810916464</v>
      </c>
      <c r="AF17" s="12">
        <f>AE17+V17</f>
        <v>1.001889810916464</v>
      </c>
      <c r="AG17" s="12">
        <f>AE17/1.6</f>
        <v>0.62180613182278999</v>
      </c>
      <c r="AH17" s="12">
        <f>AG17+Y17</f>
        <v>0.62208613182278993</v>
      </c>
      <c r="AI17" s="12">
        <f>U17/1.37</f>
        <v>1.7810218978102188</v>
      </c>
      <c r="AJ17" s="8">
        <f>(E17/Q17*(AI17-I17/1000/2)-G17)/(AI17+I17/1000/2)</f>
        <v>286.93465157172938</v>
      </c>
      <c r="AK17" s="13">
        <f>(AJ17*(AH17-AC17/2)-G17)/(AH17+AC17/2)</f>
        <v>283.64396412778552</v>
      </c>
      <c r="AL17" s="8">
        <f>AK17*Q17</f>
        <v>271.73091763441852</v>
      </c>
      <c r="AM17" s="4"/>
      <c r="AN17" s="18"/>
      <c r="AO17">
        <v>201</v>
      </c>
      <c r="AQ17" s="12">
        <f>P17*1000*(1+(N17-M17)/(Q17*1000))</f>
        <v>0.84222508178705624</v>
      </c>
      <c r="AR17" s="8">
        <f t="shared" ref="AR17" si="6">AQ17*AO17</f>
        <v>169.28724143919831</v>
      </c>
      <c r="AS17" s="8">
        <f t="shared" ref="AS17" si="7">(AO16-AO17)/AR17</f>
        <v>3.7332996546404882</v>
      </c>
      <c r="AT17" s="8">
        <f>1/(U17*1.186)</f>
        <v>0.34556160672324665</v>
      </c>
      <c r="AU17" s="8">
        <f>AS17-(AT16+AT17)</f>
        <v>3.0421764411939947</v>
      </c>
      <c r="AV17" s="8">
        <f>AU17*1.292</f>
        <v>3.9304919620226411</v>
      </c>
      <c r="AW17" s="8">
        <f>AV17+1/U17+1/U16</f>
        <v>4.7501640931701825</v>
      </c>
      <c r="AX17" s="8">
        <f>1/H16+1/H17</f>
        <v>3.6341431212041191</v>
      </c>
      <c r="AY17" s="8">
        <f>1/AD17</f>
        <v>1.4079498193060944</v>
      </c>
      <c r="AZ17" s="8">
        <f>AW17-AX17</f>
        <v>1.1160209719660634</v>
      </c>
      <c r="BA17" s="8">
        <f>AW17-AY18</f>
        <v>1.98725734932045</v>
      </c>
    </row>
    <row r="18" spans="1:53" x14ac:dyDescent="0.25">
      <c r="A18" s="5"/>
      <c r="B18" s="6"/>
      <c r="G18">
        <f>SUM(G16:G17)</f>
        <v>34.950000000000003</v>
      </c>
      <c r="I18">
        <f>SUM(I16:I17)</f>
        <v>14.045</v>
      </c>
      <c r="J18">
        <f>AVERAGE(J16:J17)</f>
        <v>11.91</v>
      </c>
      <c r="N18">
        <f>AVERAGE(N16:N17)</f>
        <v>19.744999999999997</v>
      </c>
      <c r="R18" s="7"/>
      <c r="X18" s="4"/>
      <c r="AC18" s="10"/>
      <c r="AE18" s="12"/>
      <c r="AF18" s="12"/>
      <c r="AG18" s="8"/>
      <c r="AJ18" s="8"/>
      <c r="AK18" s="13">
        <f>AK16-AK17</f>
        <v>39.266424556654727</v>
      </c>
      <c r="AL18" s="8"/>
      <c r="AM18" s="13">
        <f>(AK12-AK13)/G14*G18</f>
        <v>39.445156445746619</v>
      </c>
      <c r="AN18" s="19"/>
      <c r="AQ18" s="12"/>
      <c r="AR18" s="8"/>
      <c r="AS18" s="8"/>
      <c r="AT18" s="8"/>
      <c r="AU18" s="8"/>
      <c r="AV18" s="8"/>
      <c r="AW18" s="8"/>
      <c r="AX18" s="8"/>
      <c r="AY18" s="8">
        <f>SUM(AY16:AY17)</f>
        <v>2.7629067438497326</v>
      </c>
      <c r="AZ18" s="8"/>
      <c r="BA18" s="8"/>
    </row>
    <row r="19" spans="1:53" x14ac:dyDescent="0.25">
      <c r="A19" s="5"/>
      <c r="B19" s="6"/>
      <c r="R19" s="7"/>
      <c r="X19" s="4"/>
      <c r="AC19" s="10"/>
      <c r="AE19" s="12"/>
      <c r="AF19" s="12"/>
      <c r="AJ19" s="8"/>
      <c r="AK19" s="13"/>
      <c r="AL19" s="8"/>
      <c r="AM19" s="4"/>
      <c r="AN19" s="18"/>
      <c r="AQ19" s="12"/>
      <c r="AR19" s="8"/>
      <c r="AS19" s="8"/>
      <c r="AT19" s="8"/>
      <c r="AU19" s="8"/>
      <c r="AV19" s="8"/>
      <c r="AW19" s="8"/>
      <c r="AX19" s="8"/>
      <c r="AZ19" s="8"/>
      <c r="BA19" s="8"/>
    </row>
    <row r="20" spans="1:53" x14ac:dyDescent="0.25">
      <c r="A20" s="5">
        <v>44245</v>
      </c>
      <c r="B20" s="6">
        <v>0.50319444444444439</v>
      </c>
      <c r="C20">
        <v>12.07</v>
      </c>
      <c r="D20">
        <v>430.16</v>
      </c>
      <c r="E20">
        <v>388</v>
      </c>
      <c r="F20">
        <v>269</v>
      </c>
      <c r="G20">
        <v>32.590000000000003</v>
      </c>
      <c r="H20">
        <v>0.439</v>
      </c>
      <c r="I20">
        <v>6.9080000000000004</v>
      </c>
      <c r="J20">
        <v>14.68</v>
      </c>
      <c r="K20">
        <v>0.68</v>
      </c>
      <c r="L20">
        <v>38.43</v>
      </c>
      <c r="M20">
        <v>8.8800000000000008</v>
      </c>
      <c r="N20">
        <v>16.8</v>
      </c>
      <c r="O20">
        <v>26.63</v>
      </c>
      <c r="P20" s="7">
        <v>8.2080719999999996E-4</v>
      </c>
      <c r="Q20">
        <v>0.95799999999999996</v>
      </c>
      <c r="R20">
        <v>24.9</v>
      </c>
      <c r="S20">
        <v>31.51</v>
      </c>
      <c r="T20">
        <v>0.53500000000000003</v>
      </c>
      <c r="U20">
        <v>2.44</v>
      </c>
      <c r="V20">
        <v>6.0000000000000001E-3</v>
      </c>
      <c r="X20" s="4">
        <v>0.89</v>
      </c>
      <c r="Y20">
        <f>V20*0.04</f>
        <v>2.4000000000000001E-4</v>
      </c>
      <c r="Z20">
        <f>((I20/1000/U20)*(1-N20/Q20/2000)+N20/Q20/1000)/(1+I20/1000/(2*U20))*1000</f>
        <v>20.31410162013497</v>
      </c>
      <c r="AA20" s="8">
        <f>S20/Q20*X20</f>
        <v>29.273382045929022</v>
      </c>
      <c r="AB20" s="9">
        <f>V20*(AA20/1000-Z20/1000)</f>
        <v>5.3755682554764319E-5</v>
      </c>
      <c r="AC20" s="10">
        <f>I20/1000-AB20</f>
        <v>6.8542443174452357E-3</v>
      </c>
      <c r="AD20" s="11">
        <f>1/(((AA20/1000-Z20/1000)/(I20/1000-AC20*((AA20+Z20)/2000)))+((Z20-(N20/Q20))/1000)/(I20/1000-I20/1000*((Z20+N20/Q20)/2000)))</f>
        <v>0.57488136012643676</v>
      </c>
      <c r="AE20" s="12">
        <f>(AC20-AC20*((AA20+Z20)/2000))/((AA20-Z20)/1000)</f>
        <v>0.74607576007261189</v>
      </c>
      <c r="AF20" s="12">
        <f>AE20+V20</f>
        <v>0.7520757600726119</v>
      </c>
      <c r="AG20" s="12">
        <f>AE20/1.6</f>
        <v>0.46629735004538242</v>
      </c>
      <c r="AH20" s="12">
        <f>AG20+Y20</f>
        <v>0.46653735004538244</v>
      </c>
      <c r="AI20" s="12">
        <f>U20/1.37</f>
        <v>1.7810218978102188</v>
      </c>
      <c r="AJ20" s="8">
        <f>(E20/Q20*(AI20-I20/1000/2)-G20)/(AI20+I20/1000/2)</f>
        <v>385.17951093937006</v>
      </c>
      <c r="AK20" s="13">
        <f>(AJ20*(AH20-AC20/2)-G20)/(AH20+AC20/2)</f>
        <v>310.21615400980176</v>
      </c>
      <c r="AL20" s="8">
        <f>AK20*Q20</f>
        <v>297.18707554139007</v>
      </c>
      <c r="AM20" s="4"/>
      <c r="AN20" s="18"/>
      <c r="AO20">
        <v>847</v>
      </c>
      <c r="AP20">
        <v>1051</v>
      </c>
      <c r="AQ20" s="12">
        <f>P20*1000*(1+(N20-M20)/(Q20*1000))</f>
        <v>0.82759299647599172</v>
      </c>
      <c r="AR20" s="8"/>
      <c r="AS20" s="8"/>
      <c r="AT20" s="8">
        <f>1/(U20*1.186)</f>
        <v>0.34556160672324665</v>
      </c>
      <c r="AU20" s="8"/>
      <c r="AV20" s="8"/>
      <c r="AW20" s="8"/>
      <c r="AX20" s="8"/>
      <c r="AY20" s="8">
        <f>1/AD20</f>
        <v>1.7394893439927581</v>
      </c>
      <c r="AZ20" s="8"/>
      <c r="BA20" s="8"/>
    </row>
    <row r="21" spans="1:53" x14ac:dyDescent="0.25">
      <c r="A21" s="5"/>
      <c r="B21" s="6"/>
      <c r="D21">
        <v>269.29000000000002</v>
      </c>
      <c r="E21">
        <v>266</v>
      </c>
      <c r="F21">
        <v>259</v>
      </c>
      <c r="G21">
        <v>0.3</v>
      </c>
      <c r="H21">
        <v>0.441</v>
      </c>
      <c r="I21">
        <v>6.8360000000000003</v>
      </c>
      <c r="J21">
        <v>14.47</v>
      </c>
      <c r="K21">
        <v>0.97</v>
      </c>
      <c r="L21">
        <v>0.34</v>
      </c>
      <c r="M21">
        <v>9.2200000000000006</v>
      </c>
      <c r="N21">
        <v>17.03</v>
      </c>
      <c r="O21">
        <v>26.63</v>
      </c>
      <c r="P21" s="7">
        <v>8.2429879999999995E-4</v>
      </c>
      <c r="Q21">
        <v>0.95799999999999996</v>
      </c>
      <c r="R21">
        <v>24.9</v>
      </c>
      <c r="S21">
        <v>31.51</v>
      </c>
      <c r="T21">
        <v>0.53700000000000003</v>
      </c>
      <c r="U21">
        <v>2.44</v>
      </c>
      <c r="V21">
        <v>7.0000000000000001E-3</v>
      </c>
      <c r="X21" s="4">
        <v>0.89</v>
      </c>
      <c r="Y21">
        <f>V21*0.04</f>
        <v>2.8000000000000003E-4</v>
      </c>
      <c r="Z21">
        <f>((I21/1000/U21)*(1-N21/Q21/2000)+N21/Q21/1000)/(1+I21/1000/(2*U21))*1000</f>
        <v>20.524604192883164</v>
      </c>
      <c r="AA21" s="8">
        <f>S21/Q21*X21</f>
        <v>29.273382045929022</v>
      </c>
      <c r="AB21" s="9">
        <f>V21*(AA21/1000-Z21/1000)</f>
        <v>6.1241444971321012E-5</v>
      </c>
      <c r="AC21" s="10">
        <f>I21/1000-AB21</f>
        <v>6.7747585550286789E-3</v>
      </c>
      <c r="AD21" s="11">
        <f>1/(((AA21/1000-Z21/1000)/(I21/1000-AC21*((AA21+Z21)/2000)))+((Z21-(N21/Q21))/1000)/(I21/1000-I21/1000*((Z21+N21/Q21)/2000)))</f>
        <v>0.5807116393667392</v>
      </c>
      <c r="AE21" s="12">
        <f>(AC21-AC21*((AA21+Z21)/2000))/((AA21-Z21)/1000)</f>
        <v>0.75508533870036476</v>
      </c>
      <c r="AF21" s="12">
        <f>AE21+V21</f>
        <v>0.76208533870036477</v>
      </c>
      <c r="AG21" s="12">
        <f>AE21/1.6</f>
        <v>0.47192833668772793</v>
      </c>
      <c r="AH21" s="12">
        <f>AG21+Y21</f>
        <v>0.47220833668772794</v>
      </c>
      <c r="AI21" s="12">
        <f>U21/1.37</f>
        <v>1.7810218978102188</v>
      </c>
      <c r="AJ21" s="8">
        <f>(E21/Q21*(AI21-I21/1000/2)-G21)/(AI21+I21/1000/2)</f>
        <v>276.4299825362358</v>
      </c>
      <c r="AK21" s="13">
        <f>(AJ21*(AH21-AC21/2)-G21)/(AH21+AC21/2)</f>
        <v>271.86150911202907</v>
      </c>
      <c r="AL21" s="8">
        <f>AK21*Q21</f>
        <v>260.44332572932382</v>
      </c>
      <c r="AM21" s="4"/>
      <c r="AN21" s="18"/>
      <c r="AO21">
        <v>189</v>
      </c>
      <c r="AQ21" s="12">
        <f>P21*1000*(1+(N21-M21)/(Q21*1000))</f>
        <v>0.83101881422546975</v>
      </c>
      <c r="AR21" s="8">
        <f t="shared" ref="AR21" si="8">AQ21*AO21</f>
        <v>157.06255588861379</v>
      </c>
      <c r="AS21" s="8">
        <f t="shared" ref="AS21" si="9">(AO20-AO21)/AR21</f>
        <v>4.1894135510353143</v>
      </c>
      <c r="AT21" s="8">
        <f>1/(U21*1.186)</f>
        <v>0.34556160672324665</v>
      </c>
      <c r="AU21" s="8">
        <f t="shared" ref="AU21" si="10">AS21-(AT20+AT21)</f>
        <v>3.4982903375888208</v>
      </c>
      <c r="AV21" s="8">
        <f t="shared" ref="AV21" si="11">AU21*1.292</f>
        <v>4.5197911161647566</v>
      </c>
      <c r="AW21" s="8">
        <f>AV21+1/U21+1/U20</f>
        <v>5.339463247312298</v>
      </c>
      <c r="AX21" s="8">
        <f>1/H20+1/H21</f>
        <v>4.5454780241633479</v>
      </c>
      <c r="AY21" s="8">
        <f>1/AD21</f>
        <v>1.7220250675369466</v>
      </c>
      <c r="AZ21" s="8">
        <f>AW21-AX21</f>
        <v>0.79398522314895015</v>
      </c>
      <c r="BA21" s="8">
        <f>AW21-AY22</f>
        <v>1.8779488357825933</v>
      </c>
    </row>
    <row r="22" spans="1:53" x14ac:dyDescent="0.25">
      <c r="A22" s="5"/>
      <c r="B22" s="6"/>
      <c r="G22">
        <f>SUM(G20:G21)</f>
        <v>32.89</v>
      </c>
      <c r="I22">
        <f>SUM(I20:I21)</f>
        <v>13.744</v>
      </c>
      <c r="J22">
        <f>AVERAGE(J20:J21)</f>
        <v>14.574999999999999</v>
      </c>
      <c r="N22">
        <f>AVERAGE(N20:N21)</f>
        <v>16.914999999999999</v>
      </c>
      <c r="R22" s="7"/>
      <c r="X22" s="4"/>
      <c r="AA22" s="8"/>
      <c r="AC22" s="10"/>
      <c r="AD22" s="8"/>
      <c r="AE22" s="12"/>
      <c r="AF22" s="12"/>
      <c r="AG22" s="8"/>
      <c r="AH22" s="7"/>
      <c r="AJ22" s="8"/>
      <c r="AK22" s="13">
        <f>AK20-AK21</f>
        <v>38.354644897772687</v>
      </c>
      <c r="AL22" s="8"/>
      <c r="AM22" s="13">
        <f>(AK16-AK17)/G18*G22</f>
        <v>36.95200868865161</v>
      </c>
      <c r="AN22" s="19"/>
      <c r="AQ22" s="12"/>
      <c r="AR22" s="8"/>
      <c r="AS22" s="8"/>
      <c r="AT22" s="8"/>
      <c r="AU22" s="8"/>
      <c r="AV22" s="8"/>
      <c r="AW22" s="8"/>
      <c r="AX22" s="8"/>
      <c r="AY22" s="8">
        <f>SUM(AY20:AY21)</f>
        <v>3.4615144115297047</v>
      </c>
      <c r="AZ22" s="8"/>
      <c r="BA22" s="8"/>
    </row>
    <row r="23" spans="1:53" x14ac:dyDescent="0.25">
      <c r="A23" s="5"/>
      <c r="B23" s="6"/>
      <c r="R23" s="7"/>
      <c r="X23" s="4"/>
      <c r="AI23" s="7"/>
      <c r="AK23" s="13"/>
      <c r="AM23" s="4"/>
      <c r="AN23" s="18"/>
      <c r="AT23" s="8"/>
      <c r="AU23" s="8"/>
      <c r="AV23" s="8"/>
      <c r="AW23" s="8"/>
      <c r="AZ23" s="8"/>
      <c r="BA23" s="8"/>
    </row>
    <row r="24" spans="1:53" x14ac:dyDescent="0.25">
      <c r="A24" s="5">
        <v>44245</v>
      </c>
      <c r="B24" s="6">
        <v>0.51523148148148146</v>
      </c>
      <c r="C24">
        <v>12.36</v>
      </c>
      <c r="D24">
        <v>434.89</v>
      </c>
      <c r="E24">
        <v>392</v>
      </c>
      <c r="F24">
        <v>258</v>
      </c>
      <c r="G24">
        <v>33.25</v>
      </c>
      <c r="H24">
        <v>0.4</v>
      </c>
      <c r="I24">
        <v>7.2960000000000003</v>
      </c>
      <c r="J24">
        <v>17.04</v>
      </c>
      <c r="K24">
        <v>0.64</v>
      </c>
      <c r="L24">
        <v>39.43</v>
      </c>
      <c r="M24">
        <v>5.86</v>
      </c>
      <c r="N24">
        <v>14.34</v>
      </c>
      <c r="O24">
        <v>26.62</v>
      </c>
      <c r="P24" s="7">
        <v>8.1375849999999999E-4</v>
      </c>
      <c r="Q24">
        <v>0.95799999999999996</v>
      </c>
      <c r="R24">
        <v>24.85</v>
      </c>
      <c r="S24">
        <v>31.39</v>
      </c>
      <c r="T24">
        <v>0.47699999999999998</v>
      </c>
      <c r="U24">
        <v>2.44</v>
      </c>
      <c r="V24">
        <v>6.0000000000000001E-3</v>
      </c>
      <c r="X24" s="4">
        <v>0.83</v>
      </c>
      <c r="Y24">
        <f>V24*0.04</f>
        <v>2.4000000000000001E-4</v>
      </c>
      <c r="Z24">
        <f>((I24/1000/U24)*(1-N24/Q24/2000)+N24/Q24/1000)/(1+I24/1000/(2*U24))*1000</f>
        <v>17.909692824904436</v>
      </c>
      <c r="AA24" s="8">
        <f>S24/Q24*X24</f>
        <v>27.195929018789144</v>
      </c>
      <c r="AB24" s="9">
        <f>V24*(AA24/1000-Z24/1000)</f>
        <v>5.571741716330826E-5</v>
      </c>
      <c r="AC24" s="10">
        <f>I24/1000-AB24</f>
        <v>7.2402825828366919E-3</v>
      </c>
      <c r="AD24" s="11">
        <f>1/(((AA24/1000-Z24/1000)/(I24/1000-AC24*((AA24+Z24)/2000)))+((Z24-(N24/Q24))/1000)/(I24/1000-I24/1000*((Z24+N24/Q24)/2000)))</f>
        <v>0.58419458817709624</v>
      </c>
      <c r="AE24" s="12">
        <f>(AC24-AC24*((AA24+Z24)/2000))/((AA24-Z24)/1000)</f>
        <v>0.76209496624538453</v>
      </c>
      <c r="AF24" s="12">
        <f>AE24+V24</f>
        <v>0.76809496624538454</v>
      </c>
      <c r="AG24" s="12">
        <f>AE24/1.6</f>
        <v>0.47630935390336532</v>
      </c>
      <c r="AH24" s="12">
        <f>AG24+Y24</f>
        <v>0.47654935390336534</v>
      </c>
      <c r="AI24" s="12">
        <f>U24/1.37</f>
        <v>1.7810218978102188</v>
      </c>
      <c r="AJ24" s="8">
        <f>(E24/Q24*(AI24-I24/1000/2)-G24)/(AI24+I24/1000/2)</f>
        <v>388.88209399689327</v>
      </c>
      <c r="AK24" s="13">
        <f>(AJ24*(AH24-AC24/2)-G24)/(AH24+AC24/2)</f>
        <v>313.77191600169903</v>
      </c>
      <c r="AL24" s="8">
        <f>AK24*Q24</f>
        <v>300.59349552962766</v>
      </c>
      <c r="AM24" s="4"/>
      <c r="AN24" s="18"/>
      <c r="AO24">
        <v>860</v>
      </c>
      <c r="AP24">
        <v>1058</v>
      </c>
      <c r="AQ24" s="12">
        <f>P24*1000*(1+(N24-M24)/(Q24*1000))</f>
        <v>0.82096170676409186</v>
      </c>
      <c r="AR24" s="8"/>
      <c r="AS24" s="8"/>
      <c r="AT24" s="8">
        <f>1/(U24*1.186)</f>
        <v>0.34556160672324665</v>
      </c>
      <c r="AU24" s="8"/>
      <c r="AV24" s="8"/>
      <c r="AW24" s="8"/>
      <c r="AX24" s="8"/>
      <c r="AY24" s="8">
        <f>1/AF24</f>
        <v>1.3019223454727451</v>
      </c>
      <c r="AZ24" s="8"/>
      <c r="BA24" s="8"/>
    </row>
    <row r="25" spans="1:53" x14ac:dyDescent="0.25">
      <c r="A25" s="5"/>
      <c r="B25" s="6"/>
      <c r="D25">
        <v>273.98</v>
      </c>
      <c r="E25">
        <v>270</v>
      </c>
      <c r="F25">
        <v>261</v>
      </c>
      <c r="G25">
        <v>0.46</v>
      </c>
      <c r="H25">
        <v>0.38600000000000001</v>
      </c>
      <c r="I25">
        <v>7.0609999999999999</v>
      </c>
      <c r="J25">
        <v>17.059999999999999</v>
      </c>
      <c r="K25">
        <v>0.95</v>
      </c>
      <c r="L25">
        <v>0.56000000000000005</v>
      </c>
      <c r="M25">
        <v>6.03</v>
      </c>
      <c r="N25">
        <v>14.31</v>
      </c>
      <c r="O25">
        <v>26.62</v>
      </c>
      <c r="P25" s="7">
        <v>8.0590709999999995E-4</v>
      </c>
      <c r="Q25">
        <v>0.95799999999999996</v>
      </c>
      <c r="R25">
        <v>24.85</v>
      </c>
      <c r="S25">
        <v>31.39</v>
      </c>
      <c r="T25">
        <v>0.46</v>
      </c>
      <c r="U25">
        <v>2.44</v>
      </c>
      <c r="V25">
        <v>7.0000000000000001E-3</v>
      </c>
      <c r="X25" s="4">
        <v>0.83</v>
      </c>
      <c r="Y25">
        <f>V25*0.04</f>
        <v>2.8000000000000003E-4</v>
      </c>
      <c r="Z25">
        <f>((I25/1000/U25)*(1-N25/Q25/2000)+N25/Q25/1000)/(1+I25/1000/(2*U25))*1000</f>
        <v>17.783876749360285</v>
      </c>
      <c r="AA25" s="8">
        <f>S25/Q25*X25</f>
        <v>27.195929018789144</v>
      </c>
      <c r="AB25" s="9">
        <f>V25*(AA25/1000-Z25/1000)</f>
        <v>6.5884365886002006E-5</v>
      </c>
      <c r="AC25" s="10">
        <f>I25/1000-AB25</f>
        <v>6.995115634113998E-3</v>
      </c>
      <c r="AD25" s="11">
        <f>1/(((AA25/1000-Z25/1000)/(I25/1000-AC25*((AA25+Z25)/2000)))+((Z25-(N25/Q25))/1000)/(I25/1000-I25/1000*((Z25+N25/Q25)/2000)))</f>
        <v>0.56396032087739678</v>
      </c>
      <c r="AE25" s="12">
        <f>(AC25-AC25*((AA25+Z25)/2000))/((AA25-Z25)/1000)</f>
        <v>0.72649364528601712</v>
      </c>
      <c r="AF25" s="12">
        <f>AE25+V25</f>
        <v>0.73349364528601713</v>
      </c>
      <c r="AG25" s="12">
        <f>AE25/1.6</f>
        <v>0.4540585283037607</v>
      </c>
      <c r="AH25" s="12">
        <f>AG25+Y25</f>
        <v>0.4543385283037607</v>
      </c>
      <c r="AI25" s="12">
        <f>U25/1.37</f>
        <v>1.7810218978102188</v>
      </c>
      <c r="AJ25" s="8">
        <f>(E25/Q25*(AI25-I25/1000/2)-G25)/(AI25+I25/1000/2)</f>
        <v>280.46423822204338</v>
      </c>
      <c r="AK25" s="13">
        <f>(AJ25*(AH25-AC25/2)-G25)/(AH25+AC25/2)</f>
        <v>275.17439792544911</v>
      </c>
      <c r="AL25" s="8">
        <f>AK25*Q25</f>
        <v>263.61707321258024</v>
      </c>
      <c r="AM25" s="4"/>
      <c r="AN25" s="18"/>
      <c r="AO25">
        <v>182</v>
      </c>
      <c r="AQ25" s="12">
        <f>P25*1000*(1+(N25-M25)/(Q25*1000))</f>
        <v>0.8128725601127349</v>
      </c>
      <c r="AR25" s="8">
        <f t="shared" ref="AR25" si="12">AQ25*AO25</f>
        <v>147.94280594051776</v>
      </c>
      <c r="AS25" s="8">
        <f t="shared" ref="AS25" si="13">(AO24-AO25)/AR25</f>
        <v>4.5828521075407904</v>
      </c>
      <c r="AT25" s="8">
        <f>1/(U25*1.186)</f>
        <v>0.34556160672324665</v>
      </c>
      <c r="AU25" s="8">
        <f>AS25-(AT24+AT25)</f>
        <v>3.8917288940942969</v>
      </c>
      <c r="AV25" s="8">
        <f>AU25*1.292</f>
        <v>5.0281137311698316</v>
      </c>
      <c r="AW25" s="8">
        <f>AV25+1/U25+1/U24</f>
        <v>5.8477858623173731</v>
      </c>
      <c r="AX25" s="8">
        <f>1/H24+1/H25</f>
        <v>5.090673575129534</v>
      </c>
      <c r="AY25" s="8">
        <f>1/AF25</f>
        <v>1.3633383280506295</v>
      </c>
      <c r="AZ25" s="8">
        <f>AW25-AX25</f>
        <v>0.75711228718783907</v>
      </c>
      <c r="BA25" s="8">
        <f>AW25-AY26</f>
        <v>3.1825251887939983</v>
      </c>
    </row>
    <row r="26" spans="1:53" x14ac:dyDescent="0.25">
      <c r="A26" s="5"/>
      <c r="B26" s="6"/>
      <c r="G26">
        <f>SUM(G24:G25)</f>
        <v>33.71</v>
      </c>
      <c r="I26">
        <f>SUM(I24:I25)</f>
        <v>14.356999999999999</v>
      </c>
      <c r="J26">
        <f>AVERAGE(J24:J25)</f>
        <v>17.049999999999997</v>
      </c>
      <c r="N26">
        <f>AVERAGE(N24:N25)</f>
        <v>14.324999999999999</v>
      </c>
      <c r="R26" s="7"/>
      <c r="X26" s="4"/>
      <c r="AC26" s="10"/>
      <c r="AE26" s="12"/>
      <c r="AF26" s="12"/>
      <c r="AG26" s="8"/>
      <c r="AJ26" s="8"/>
      <c r="AK26" s="13">
        <f>AK24-AK25</f>
        <v>38.597518076249912</v>
      </c>
      <c r="AL26" s="8"/>
      <c r="AM26" s="13">
        <f>(AK20-AK21)/G22*G26</f>
        <v>39.310887184673682</v>
      </c>
      <c r="AN26" s="19"/>
      <c r="AQ26" s="12"/>
      <c r="AR26" s="8"/>
      <c r="AS26" s="8"/>
      <c r="AT26" s="8"/>
      <c r="AU26" s="8"/>
      <c r="AV26" s="8"/>
      <c r="AW26" s="8"/>
      <c r="AX26" s="8"/>
      <c r="AY26" s="8">
        <f>SUM(AY24:AY25)</f>
        <v>2.6652606735233748</v>
      </c>
      <c r="AZ26" s="8"/>
      <c r="BA26" s="8"/>
    </row>
    <row r="27" spans="1:53" x14ac:dyDescent="0.25">
      <c r="A27" s="5"/>
      <c r="B27" s="6"/>
      <c r="R27" s="7"/>
      <c r="X27" s="4"/>
      <c r="AC27" s="10"/>
      <c r="AE27" s="12"/>
      <c r="AF27" s="12"/>
      <c r="AJ27" s="8"/>
      <c r="AK27" s="13"/>
      <c r="AL27" s="8"/>
      <c r="AM27" s="4"/>
      <c r="AN27" s="18"/>
      <c r="AQ27" s="12"/>
      <c r="AR27" s="8"/>
      <c r="AS27" s="8"/>
      <c r="AT27" s="8"/>
      <c r="AU27" s="8"/>
      <c r="AV27" s="8"/>
      <c r="AW27" s="8"/>
      <c r="AX27" s="8"/>
      <c r="AZ27" s="8"/>
      <c r="BA27" s="8"/>
    </row>
    <row r="28" spans="1:53" x14ac:dyDescent="0.25">
      <c r="A28" s="5">
        <v>44245</v>
      </c>
      <c r="B28" s="6">
        <v>0.5700115740740741</v>
      </c>
      <c r="C28">
        <v>13.68</v>
      </c>
      <c r="D28">
        <v>438.54</v>
      </c>
      <c r="E28">
        <v>395</v>
      </c>
      <c r="F28">
        <v>235</v>
      </c>
      <c r="G28">
        <v>33.340000000000003</v>
      </c>
      <c r="H28">
        <v>0.33500000000000002</v>
      </c>
      <c r="I28">
        <v>7.0170000000000003</v>
      </c>
      <c r="J28">
        <v>19.559999999999999</v>
      </c>
      <c r="K28">
        <v>0.57999999999999996</v>
      </c>
      <c r="L28">
        <v>39.9</v>
      </c>
      <c r="M28">
        <v>3.44</v>
      </c>
      <c r="N28">
        <v>11.71</v>
      </c>
      <c r="O28">
        <v>26.62</v>
      </c>
      <c r="P28" s="7">
        <v>8.0332989999999996E-4</v>
      </c>
      <c r="Q28">
        <v>0.95699999999999996</v>
      </c>
      <c r="R28">
        <v>24.79</v>
      </c>
      <c r="S28">
        <v>31.28</v>
      </c>
      <c r="T28">
        <v>0.38800000000000001</v>
      </c>
      <c r="U28">
        <v>2.44</v>
      </c>
      <c r="V28">
        <v>6.0000000000000001E-3</v>
      </c>
      <c r="X28" s="4">
        <v>0.83</v>
      </c>
      <c r="Y28">
        <f>V28*0.04</f>
        <v>2.4000000000000001E-4</v>
      </c>
      <c r="Z28">
        <f>((I28/1000/U28)*(1-N28/Q28/2000)+N28/Q28/1000)/(1+I28/1000/(2*U28))*1000</f>
        <v>15.072706641815726</v>
      </c>
      <c r="AA28" s="8">
        <f>S28/Q28*X28</f>
        <v>27.128944618599789</v>
      </c>
      <c r="AB28" s="9">
        <f>V28*(AA28/1000-Z28/1000)</f>
        <v>7.2337427860704381E-5</v>
      </c>
      <c r="AC28" s="10">
        <f>I28/1000-AB28</f>
        <v>6.9446625721392959E-3</v>
      </c>
      <c r="AD28" s="11">
        <f>1/(((AA28/1000-Z28/1000)/(I28/1000-AC28*((AA28+Z28)/2000)))+((Z28-(N28/Q28))/1000)/(I28/1000-I28/1000*((Z28+N28/Q28)/2000)))</f>
        <v>0.46197292921777</v>
      </c>
      <c r="AE28" s="12">
        <f>(AC28-AC28*((AA28+Z28)/2000))/((AA28-Z28)/1000)</f>
        <v>0.56386780612946374</v>
      </c>
      <c r="AF28" s="12">
        <f>AE28+V28</f>
        <v>0.56986780612946375</v>
      </c>
      <c r="AG28" s="12">
        <f>AE28/1.6</f>
        <v>0.35241737883091484</v>
      </c>
      <c r="AH28" s="12">
        <f>AG28+Y28</f>
        <v>0.35265737883091486</v>
      </c>
      <c r="AI28" s="12">
        <f>U28/1.37</f>
        <v>1.7810218978102188</v>
      </c>
      <c r="AJ28" s="8">
        <f>(E28/Q28*(AI28-I28/1000/2)-G28)/(AI28+I28/1000/2)</f>
        <v>392.44240691510873</v>
      </c>
      <c r="AK28" s="13">
        <f>(AJ28*(AH28-AC28/2)-G28)/(AH28+AC28/2)</f>
        <v>291.17205774043146</v>
      </c>
      <c r="AL28" s="8">
        <f>AK28*Q28</f>
        <v>278.65165925759288</v>
      </c>
      <c r="AM28" s="4"/>
      <c r="AN28" s="18"/>
      <c r="AO28">
        <v>874</v>
      </c>
      <c r="AP28">
        <v>1058</v>
      </c>
      <c r="AQ28" s="12">
        <f>P28*1000*(1+(N28-M28)/(Q28*1000))</f>
        <v>0.81027194626227794</v>
      </c>
      <c r="AR28" s="8"/>
      <c r="AS28" s="8"/>
      <c r="AT28" s="8">
        <f>1/(U28*1.186)</f>
        <v>0.34556160672324665</v>
      </c>
      <c r="AU28" s="8"/>
      <c r="AV28" s="8"/>
      <c r="AW28" s="8"/>
      <c r="AX28" s="8"/>
      <c r="AY28" s="8">
        <f>1/AD28</f>
        <v>2.1646290004335054</v>
      </c>
      <c r="AZ28" s="8"/>
      <c r="BA28" s="8"/>
    </row>
    <row r="29" spans="1:53" x14ac:dyDescent="0.25">
      <c r="A29" s="5"/>
      <c r="B29" s="6"/>
      <c r="D29">
        <v>251.21</v>
      </c>
      <c r="E29">
        <v>248</v>
      </c>
      <c r="F29">
        <v>240</v>
      </c>
      <c r="G29">
        <v>7.0000000000000007E-2</v>
      </c>
      <c r="H29">
        <v>0.30299999999999999</v>
      </c>
      <c r="I29">
        <v>6.5039999999999996</v>
      </c>
      <c r="J29">
        <v>20.05</v>
      </c>
      <c r="K29">
        <v>0.95</v>
      </c>
      <c r="L29">
        <v>0.09</v>
      </c>
      <c r="M29">
        <v>3.31</v>
      </c>
      <c r="N29">
        <v>11.22</v>
      </c>
      <c r="O29">
        <v>26.62</v>
      </c>
      <c r="P29" s="7">
        <v>7.7991569999999997E-4</v>
      </c>
      <c r="Q29">
        <v>0.95699999999999996</v>
      </c>
      <c r="R29">
        <v>24.79</v>
      </c>
      <c r="S29">
        <v>31.28</v>
      </c>
      <c r="T29">
        <v>0.34499999999999997</v>
      </c>
      <c r="U29">
        <v>2.44</v>
      </c>
      <c r="V29">
        <v>7.0000000000000001E-3</v>
      </c>
      <c r="X29" s="4">
        <v>0.83</v>
      </c>
      <c r="Y29">
        <f>V29*0.04</f>
        <v>2.8000000000000003E-4</v>
      </c>
      <c r="Z29">
        <f>((I29/1000/U29)*(1-N29/Q29/2000)+N29/Q29/1000)/(1+I29/1000/(2*U29))*1000</f>
        <v>14.354953830047993</v>
      </c>
      <c r="AA29" s="8">
        <f>S29/Q29*X29</f>
        <v>27.128944618599789</v>
      </c>
      <c r="AB29" s="9">
        <f>V29*(AA29/1000-Z29/1000)</f>
        <v>8.9417935519862574E-5</v>
      </c>
      <c r="AC29" s="10">
        <f>I29/1000-AB29</f>
        <v>6.4145820644801368E-3</v>
      </c>
      <c r="AD29" s="11">
        <f>1/(((AA29/1000-Z29/1000)/(I29/1000-AC29*((AA29+Z29)/2000)))+((Z29-(N29/Q29))/1000)/(I29/1000-I29/1000*((Z29+N29/Q29)/2000)))</f>
        <v>0.41410038149434508</v>
      </c>
      <c r="AE29" s="12">
        <f>(AC29-AC29*((AA29+Z29)/2000))/((AA29-Z29)/1000)</f>
        <v>0.49174382798467453</v>
      </c>
      <c r="AF29" s="12">
        <f>AE29+V29</f>
        <v>0.49874382798467454</v>
      </c>
      <c r="AG29" s="12">
        <f>AE29/1.6</f>
        <v>0.30733989249042154</v>
      </c>
      <c r="AH29" s="12">
        <f>AG29+Y29</f>
        <v>0.30761989249042154</v>
      </c>
      <c r="AI29" s="12">
        <f>U29/1.37</f>
        <v>1.7810218978102188</v>
      </c>
      <c r="AJ29" s="8">
        <f>(E29/Q29*(AI29-I29/1000/2)-G29)/(AI29+I29/1000/2)</f>
        <v>258.15930053295995</v>
      </c>
      <c r="AK29" s="13">
        <f>(AJ29*(AH29-AC29/2)-G29)/(AH29+AC29/2)</f>
        <v>252.60642706991032</v>
      </c>
      <c r="AL29" s="8">
        <f>AK29*Q29</f>
        <v>241.74435070590417</v>
      </c>
      <c r="AM29" s="4"/>
      <c r="AN29" s="18"/>
      <c r="AO29">
        <v>170</v>
      </c>
      <c r="AQ29" s="12">
        <f>P29*1000*(1+(N29-M29)/(Q29*1000))</f>
        <v>0.786362025169279</v>
      </c>
      <c r="AR29" s="8">
        <f t="shared" ref="AR29" si="14">AQ29*AO29</f>
        <v>133.68154427877744</v>
      </c>
      <c r="AS29" s="8">
        <f t="shared" ref="AS29" si="15">(AO28-AO29)/AR29</f>
        <v>5.266246764264551</v>
      </c>
      <c r="AT29" s="8">
        <f>1/(U29*1.186)</f>
        <v>0.34556160672324665</v>
      </c>
      <c r="AU29" s="8">
        <f t="shared" ref="AU29" si="16">AS29-(AT28+AT29)</f>
        <v>4.5751235508180574</v>
      </c>
      <c r="AV29" s="8">
        <f t="shared" ref="AV29" si="17">AU29*1.292</f>
        <v>5.9110596276569307</v>
      </c>
      <c r="AW29" s="8">
        <f>AV29+1/U29+1/U28</f>
        <v>6.7307317588044722</v>
      </c>
      <c r="AX29" s="8">
        <f>1/H28+1/H29</f>
        <v>6.2854046598689717</v>
      </c>
      <c r="AY29" s="8">
        <f>1/AD29</f>
        <v>2.4148734091752</v>
      </c>
      <c r="AZ29" s="8">
        <f>AW29-AX29</f>
        <v>0.44532709893550049</v>
      </c>
      <c r="BA29" s="8">
        <f>AW29-AY30</f>
        <v>2.1512293491957664</v>
      </c>
    </row>
    <row r="30" spans="1:53" x14ac:dyDescent="0.25">
      <c r="A30" s="5"/>
      <c r="B30" s="6"/>
      <c r="G30">
        <f>SUM(G28:G29)</f>
        <v>33.410000000000004</v>
      </c>
      <c r="I30">
        <f>SUM(I28:I29)</f>
        <v>13.521000000000001</v>
      </c>
      <c r="J30">
        <f>AVERAGE(J28:J29)</f>
        <v>19.805</v>
      </c>
      <c r="N30">
        <f>AVERAGE(N28:N29)</f>
        <v>11.465</v>
      </c>
      <c r="R30" s="7"/>
      <c r="X30" s="4"/>
      <c r="AA30" s="8"/>
      <c r="AC30" s="10"/>
      <c r="AD30" s="8"/>
      <c r="AE30" s="12"/>
      <c r="AF30" s="12"/>
      <c r="AG30" s="8"/>
      <c r="AH30" s="7"/>
      <c r="AJ30" s="8"/>
      <c r="AK30" s="13">
        <f>AK28-AK29</f>
        <v>38.565630670521131</v>
      </c>
      <c r="AL30" s="8"/>
      <c r="AM30" s="13">
        <f>(AK24-AK25)/G26*G30</f>
        <v>38.25402192012784</v>
      </c>
      <c r="AN30" s="19"/>
      <c r="AQ30" s="12"/>
      <c r="AR30" s="8"/>
      <c r="AS30" s="8"/>
      <c r="AT30" s="8"/>
      <c r="AU30" s="8"/>
      <c r="AV30" s="8"/>
      <c r="AW30" s="8"/>
      <c r="AX30" s="8"/>
      <c r="AY30" s="8">
        <f>SUM(AY28:AY29)</f>
        <v>4.5795024096087058</v>
      </c>
      <c r="AZ30" s="8"/>
      <c r="BA30" s="8"/>
    </row>
    <row r="31" spans="1:53" x14ac:dyDescent="0.25">
      <c r="A31" s="5"/>
      <c r="B31" s="6"/>
      <c r="R31" s="7"/>
      <c r="X31" s="4"/>
      <c r="AI31" s="7"/>
      <c r="AK31" s="13"/>
      <c r="AM31" s="4"/>
      <c r="AN31" s="18"/>
      <c r="AT31" s="8"/>
      <c r="AU31" s="8"/>
      <c r="AV31" s="8"/>
      <c r="AW31" s="8"/>
      <c r="AZ31" s="8"/>
      <c r="BA31" s="8"/>
    </row>
    <row r="32" spans="1:53" x14ac:dyDescent="0.25">
      <c r="A32" s="5">
        <v>44245</v>
      </c>
      <c r="B32" s="6">
        <v>0.59732638888888889</v>
      </c>
      <c r="C32">
        <v>14.33</v>
      </c>
      <c r="D32">
        <v>438.26</v>
      </c>
      <c r="E32">
        <v>396</v>
      </c>
      <c r="F32">
        <v>232</v>
      </c>
      <c r="G32">
        <v>31.53</v>
      </c>
      <c r="H32">
        <v>0.31</v>
      </c>
      <c r="I32">
        <v>7.4530000000000003</v>
      </c>
      <c r="J32">
        <v>22.39</v>
      </c>
      <c r="K32">
        <v>0.56999999999999995</v>
      </c>
      <c r="L32">
        <v>37.75</v>
      </c>
      <c r="M32">
        <v>3.49</v>
      </c>
      <c r="N32">
        <v>12.27</v>
      </c>
      <c r="O32">
        <v>28.2</v>
      </c>
      <c r="P32" s="7">
        <v>8.0302080000000005E-4</v>
      </c>
      <c r="Q32">
        <v>0.95699999999999996</v>
      </c>
      <c r="R32">
        <v>26.52</v>
      </c>
      <c r="S32">
        <v>34.659999999999997</v>
      </c>
      <c r="T32">
        <v>0.35599999999999998</v>
      </c>
      <c r="U32">
        <v>2.44</v>
      </c>
      <c r="V32">
        <v>6.0000000000000001E-3</v>
      </c>
      <c r="X32" s="4">
        <v>0.8</v>
      </c>
      <c r="Y32">
        <f>V32*0.04</f>
        <v>2.4000000000000001E-4</v>
      </c>
      <c r="Z32">
        <f>((I32/1000/U32)*(1-N32/Q32/2000)+N32/Q32/1000)/(1+I32/1000/(2*U32))*1000</f>
        <v>15.832063818443396</v>
      </c>
      <c r="AA32" s="8">
        <f>S32/Q32*X32</f>
        <v>28.973876698014632</v>
      </c>
      <c r="AB32" s="9">
        <f>V32*(AA32/1000-Z32/1000)</f>
        <v>7.8850877277427412E-5</v>
      </c>
      <c r="AC32" s="10">
        <f>I32/1000-AB32</f>
        <v>7.3741491227225734E-3</v>
      </c>
      <c r="AD32" s="11">
        <f>1/(((AA32/1000-Z32/1000)/(I32/1000-AC32*((AA32+Z32)/2000)))+((Z32-(N32/Q32))/1000)/(I32/1000-I32/1000*((Z32+N32/Q32)/2000)))</f>
        <v>0.45185511339515239</v>
      </c>
      <c r="AE32" s="12">
        <f>(AC32-AC32*((AA32+Z32)/2000))/((AA32-Z32)/1000)</f>
        <v>0.54855036708464178</v>
      </c>
      <c r="AF32" s="12">
        <f>AE32+V32</f>
        <v>0.55455036708464178</v>
      </c>
      <c r="AG32" s="12">
        <f>AE32/1.6</f>
        <v>0.34284397942790107</v>
      </c>
      <c r="AH32" s="12">
        <f>AG32+Y32</f>
        <v>0.34308397942790109</v>
      </c>
      <c r="AI32" s="12">
        <f>U32/1.37</f>
        <v>1.7810218978102188</v>
      </c>
      <c r="AJ32" s="8">
        <f>(E32/Q32*(AI32-I32/1000/2)-G32)/(AI32+I32/1000/2)</f>
        <v>394.39877310878973</v>
      </c>
      <c r="AK32" s="13">
        <f>(AJ32*(AH32-AC32/2)-G32)/(AH32+AC32/2)</f>
        <v>295.08726780711191</v>
      </c>
      <c r="AL32" s="8">
        <f>AK32*Q32</f>
        <v>282.39851529140611</v>
      </c>
      <c r="AM32" s="4"/>
      <c r="AN32" s="18"/>
      <c r="AO32">
        <v>887</v>
      </c>
      <c r="AP32">
        <v>1065</v>
      </c>
      <c r="AQ32" s="12">
        <f>P32*1000*(1+(N32-M32)/(Q32*1000))</f>
        <v>0.81038811726645787</v>
      </c>
      <c r="AR32" s="8"/>
      <c r="AS32" s="8"/>
      <c r="AT32" s="8">
        <f>1/(U32*1.186)</f>
        <v>0.34556160672324665</v>
      </c>
      <c r="AU32" s="8"/>
      <c r="AV32" s="8"/>
      <c r="AW32" s="8"/>
      <c r="AX32" s="8"/>
      <c r="AY32" s="8">
        <f>1/AD32</f>
        <v>2.2130987795760291</v>
      </c>
      <c r="AZ32" s="8"/>
      <c r="BA32" s="8"/>
    </row>
    <row r="33" spans="3:53" x14ac:dyDescent="0.25">
      <c r="D33">
        <v>258.57</v>
      </c>
      <c r="E33">
        <v>256</v>
      </c>
      <c r="F33">
        <v>245</v>
      </c>
      <c r="G33">
        <v>0.17</v>
      </c>
      <c r="H33">
        <v>0.25900000000000001</v>
      </c>
      <c r="I33">
        <v>6.4989999999999997</v>
      </c>
      <c r="J33">
        <v>23.43</v>
      </c>
      <c r="K33">
        <v>0.94</v>
      </c>
      <c r="L33">
        <v>0.21</v>
      </c>
      <c r="M33">
        <v>3.34</v>
      </c>
      <c r="N33">
        <v>11.23</v>
      </c>
      <c r="O33">
        <v>28.2</v>
      </c>
      <c r="P33" s="7">
        <v>7.7986069999999997E-4</v>
      </c>
      <c r="Q33">
        <v>0.95699999999999996</v>
      </c>
      <c r="R33">
        <v>26.52</v>
      </c>
      <c r="S33">
        <v>34.659999999999997</v>
      </c>
      <c r="T33">
        <v>0.28899999999999998</v>
      </c>
      <c r="U33">
        <v>2.44</v>
      </c>
      <c r="V33">
        <v>7.0000000000000001E-3</v>
      </c>
      <c r="X33" s="4">
        <v>0.8</v>
      </c>
      <c r="Y33">
        <f>V33*0.04</f>
        <v>2.8000000000000003E-4</v>
      </c>
      <c r="Z33">
        <f>((I33/1000/U33)*(1-N33/Q33/2000)+N33/Q33/1000)/(1+I33/1000/(2*U33))*1000</f>
        <v>14.363355585742285</v>
      </c>
      <c r="AA33" s="8">
        <f>S33/Q33*X33</f>
        <v>28.973876698014632</v>
      </c>
      <c r="AB33" s="9">
        <f>V33*(AA33/1000-Z33/1000)</f>
        <v>1.0227364778590642E-4</v>
      </c>
      <c r="AC33" s="10">
        <f>I33/1000-AB33</f>
        <v>6.3967263522140931E-3</v>
      </c>
      <c r="AD33" s="11">
        <f>1/(((AA33/1000-Z33/1000)/(I33/1000-AC33*((AA33+Z33)/2000)))+((Z33-(N33/Q33))/1000)/(I33/1000-I33/1000*((Z33+N33/Q33)/2000)))</f>
        <v>0.36941996158596957</v>
      </c>
      <c r="AE33" s="12">
        <f>(AC33-AC33*((AA33+Z33)/2000))/((AA33-Z33)/1000)</f>
        <v>0.42832956444426329</v>
      </c>
      <c r="AF33" s="12">
        <f>AE33+V33</f>
        <v>0.4353295644442633</v>
      </c>
      <c r="AG33" s="12">
        <f>AE33/1.6</f>
        <v>0.26770597777766453</v>
      </c>
      <c r="AH33" s="12">
        <f>AG33+Y33</f>
        <v>0.26798597777766453</v>
      </c>
      <c r="AI33" s="12">
        <f>U33/1.37</f>
        <v>1.7810218978102188</v>
      </c>
      <c r="AJ33" s="8">
        <f>(E33/Q33*(AI33-I33/1000/2)-G33)/(AI33+I33/1000/2)</f>
        <v>266.43298834817642</v>
      </c>
      <c r="AK33" s="13">
        <f>(AJ33*(AH33-AC33/2)-G33)/(AH33+AC33/2)</f>
        <v>259.52145757514609</v>
      </c>
      <c r="AL33" s="8">
        <f>AK33*Q33</f>
        <v>248.36203489941479</v>
      </c>
      <c r="AM33" s="4"/>
      <c r="AN33" s="18"/>
      <c r="AO33">
        <v>157</v>
      </c>
      <c r="AQ33" s="12">
        <f>P33*1000*(1+(N33-M33)/(Q33*1000))</f>
        <v>0.78629027254231965</v>
      </c>
      <c r="AR33" s="8">
        <f t="shared" ref="AR33" si="18">AQ33*AO33</f>
        <v>123.44757278914419</v>
      </c>
      <c r="AS33" s="8">
        <f t="shared" ref="AS33" si="19">(AO32-AO33)/AR33</f>
        <v>5.9134414999546694</v>
      </c>
      <c r="AT33" s="8">
        <f>1/(U33*1.186)</f>
        <v>0.34556160672324665</v>
      </c>
      <c r="AU33" s="8">
        <f>AS33-(AT32+AT33)</f>
        <v>5.2223182865081759</v>
      </c>
      <c r="AV33" s="8">
        <f>AU33*1.292</f>
        <v>6.7472352261685637</v>
      </c>
      <c r="AW33" s="8">
        <f>AV33+1/U33+1/U32</f>
        <v>7.5669073573161052</v>
      </c>
      <c r="AX33" s="8">
        <f>1/H32+1/H33</f>
        <v>7.0868103126167643</v>
      </c>
      <c r="AY33" s="8">
        <f>1/AD33</f>
        <v>2.7069463049773095</v>
      </c>
      <c r="AZ33" s="8">
        <f>AW33-AX33</f>
        <v>0.48009704469934089</v>
      </c>
      <c r="BA33" s="8">
        <f>AW33-AY34</f>
        <v>2.6468622727627666</v>
      </c>
    </row>
    <row r="34" spans="3:53" x14ac:dyDescent="0.25">
      <c r="G34">
        <f>SUM(G32:G33)</f>
        <v>31.700000000000003</v>
      </c>
      <c r="I34">
        <f>SUM(I32:I33)</f>
        <v>13.952</v>
      </c>
      <c r="J34">
        <f>AVERAGE(J32:J33)</f>
        <v>22.91</v>
      </c>
      <c r="N34">
        <f>AVERAGE(N32:N33)</f>
        <v>11.75</v>
      </c>
      <c r="AC34" s="10"/>
      <c r="AE34" s="12"/>
      <c r="AF34" s="12"/>
      <c r="AG34" s="8"/>
      <c r="AJ34" s="8"/>
      <c r="AK34" s="13">
        <f>AK32-AK33</f>
        <v>35.565810231965827</v>
      </c>
      <c r="AL34" s="8"/>
      <c r="AM34" s="13">
        <f>(AK28-AK29)/G30*G34</f>
        <v>36.591753734077216</v>
      </c>
      <c r="AN34" s="19"/>
      <c r="AQ34" s="12"/>
      <c r="AR34" s="8"/>
      <c r="AS34" s="8"/>
      <c r="AT34" s="8"/>
      <c r="AU34" s="8"/>
      <c r="AV34" s="8"/>
      <c r="AW34" s="8"/>
      <c r="AX34" s="8"/>
      <c r="AY34" s="8">
        <f>SUM(AY32:AY33)</f>
        <v>4.9200450845533386</v>
      </c>
    </row>
    <row r="36" spans="3:53" x14ac:dyDescent="0.25">
      <c r="C36" t="s">
        <v>42</v>
      </c>
      <c r="D36" t="s">
        <v>43</v>
      </c>
    </row>
    <row r="37" spans="3:53" x14ac:dyDescent="0.25">
      <c r="C37" t="s">
        <v>44</v>
      </c>
      <c r="D37" t="s">
        <v>45</v>
      </c>
    </row>
    <row r="38" spans="3:53" x14ac:dyDescent="0.25">
      <c r="C38" t="s">
        <v>46</v>
      </c>
      <c r="D38" t="s">
        <v>47</v>
      </c>
    </row>
    <row r="39" spans="3:53" x14ac:dyDescent="0.25">
      <c r="C39" t="s">
        <v>48</v>
      </c>
      <c r="D39" t="s">
        <v>49</v>
      </c>
    </row>
    <row r="40" spans="3:53" x14ac:dyDescent="0.25">
      <c r="C40" t="s">
        <v>50</v>
      </c>
      <c r="D40" t="s">
        <v>51</v>
      </c>
    </row>
    <row r="41" spans="3:53" x14ac:dyDescent="0.25">
      <c r="C41" t="s">
        <v>52</v>
      </c>
      <c r="D41" t="s">
        <v>53</v>
      </c>
    </row>
    <row r="42" spans="3:53" x14ac:dyDescent="0.25">
      <c r="C42" t="s">
        <v>54</v>
      </c>
      <c r="D42" t="s">
        <v>55</v>
      </c>
    </row>
    <row r="43" spans="3:53" x14ac:dyDescent="0.25">
      <c r="C43" t="s">
        <v>56</v>
      </c>
      <c r="D43" t="s">
        <v>57</v>
      </c>
    </row>
    <row r="44" spans="3:53" x14ac:dyDescent="0.25">
      <c r="C44" t="s">
        <v>58</v>
      </c>
      <c r="D44" t="s">
        <v>59</v>
      </c>
    </row>
    <row r="45" spans="3:53" x14ac:dyDescent="0.25">
      <c r="C45" t="s">
        <v>60</v>
      </c>
      <c r="D45" t="s">
        <v>61</v>
      </c>
    </row>
    <row r="46" spans="3:53" x14ac:dyDescent="0.25">
      <c r="C46" t="s">
        <v>62</v>
      </c>
      <c r="D46" t="s">
        <v>63</v>
      </c>
    </row>
    <row r="47" spans="3:53" x14ac:dyDescent="0.25">
      <c r="C47" t="s">
        <v>64</v>
      </c>
      <c r="D47" t="s">
        <v>65</v>
      </c>
    </row>
    <row r="48" spans="3:53" x14ac:dyDescent="0.25">
      <c r="C48" t="s">
        <v>66</v>
      </c>
      <c r="D48" t="s">
        <v>67</v>
      </c>
    </row>
    <row r="49" spans="3:9" x14ac:dyDescent="0.25">
      <c r="C49" t="s">
        <v>68</v>
      </c>
      <c r="D49" t="s">
        <v>69</v>
      </c>
    </row>
    <row r="50" spans="3:9" x14ac:dyDescent="0.25">
      <c r="C50" t="s">
        <v>70</v>
      </c>
      <c r="D50" t="s">
        <v>71</v>
      </c>
    </row>
    <row r="51" spans="3:9" x14ac:dyDescent="0.25">
      <c r="C51" t="s">
        <v>72</v>
      </c>
      <c r="D51" t="s">
        <v>73</v>
      </c>
    </row>
    <row r="52" spans="3:9" x14ac:dyDescent="0.25">
      <c r="C52" t="s">
        <v>74</v>
      </c>
      <c r="D52" t="s">
        <v>75</v>
      </c>
    </row>
    <row r="53" spans="3:9" x14ac:dyDescent="0.25">
      <c r="C53" t="s">
        <v>76</v>
      </c>
      <c r="D53" t="s">
        <v>77</v>
      </c>
    </row>
    <row r="54" spans="3:9" x14ac:dyDescent="0.25">
      <c r="C54" t="s">
        <v>78</v>
      </c>
      <c r="D54" t="s">
        <v>79</v>
      </c>
    </row>
    <row r="55" spans="3:9" x14ac:dyDescent="0.25">
      <c r="C55" t="s">
        <v>80</v>
      </c>
      <c r="D55" t="s">
        <v>81</v>
      </c>
    </row>
    <row r="56" spans="3:9" x14ac:dyDescent="0.25">
      <c r="C56" t="s">
        <v>82</v>
      </c>
      <c r="D56" s="16" t="s">
        <v>83</v>
      </c>
      <c r="E56" s="17"/>
      <c r="F56" s="17"/>
      <c r="G56" s="17"/>
      <c r="H56" s="17"/>
      <c r="I56" s="17"/>
    </row>
    <row r="57" spans="3:9" x14ac:dyDescent="0.25">
      <c r="C57" t="s">
        <v>84</v>
      </c>
      <c r="D57" t="s">
        <v>85</v>
      </c>
    </row>
    <row r="58" spans="3:9" x14ac:dyDescent="0.25">
      <c r="C58" t="s">
        <v>86</v>
      </c>
      <c r="D58" t="s">
        <v>87</v>
      </c>
    </row>
    <row r="59" spans="3:9" x14ac:dyDescent="0.25">
      <c r="C59" t="s">
        <v>88</v>
      </c>
      <c r="D59" t="s">
        <v>89</v>
      </c>
    </row>
    <row r="60" spans="3:9" x14ac:dyDescent="0.25">
      <c r="C60" t="s">
        <v>90</v>
      </c>
      <c r="D60" t="s">
        <v>51</v>
      </c>
    </row>
    <row r="61" spans="3:9" x14ac:dyDescent="0.25">
      <c r="C61" t="s">
        <v>91</v>
      </c>
      <c r="D61" t="s">
        <v>75</v>
      </c>
    </row>
    <row r="62" spans="3:9" x14ac:dyDescent="0.25">
      <c r="C62" t="s">
        <v>92</v>
      </c>
      <c r="D62" t="s">
        <v>93</v>
      </c>
    </row>
    <row r="63" spans="3:9" x14ac:dyDescent="0.25">
      <c r="C63" t="s">
        <v>94</v>
      </c>
      <c r="D63" t="s">
        <v>95</v>
      </c>
    </row>
    <row r="64" spans="3:9" x14ac:dyDescent="0.25">
      <c r="C64" t="s">
        <v>96</v>
      </c>
      <c r="D64" t="s">
        <v>97</v>
      </c>
    </row>
    <row r="65" spans="3:14" x14ac:dyDescent="0.25">
      <c r="C65" t="s">
        <v>98</v>
      </c>
      <c r="D65" t="s">
        <v>99</v>
      </c>
    </row>
    <row r="66" spans="3:14" x14ac:dyDescent="0.25">
      <c r="C66" t="s">
        <v>100</v>
      </c>
      <c r="D66" s="16" t="s">
        <v>101</v>
      </c>
      <c r="E66" s="17"/>
      <c r="F66" s="17"/>
      <c r="G66" s="17"/>
      <c r="H66" s="17"/>
      <c r="I66" s="17"/>
      <c r="J66" s="17"/>
      <c r="K66" s="17"/>
      <c r="L66" s="17"/>
      <c r="M66" s="17"/>
      <c r="N66" s="17"/>
    </row>
    <row r="67" spans="3:14" x14ac:dyDescent="0.25">
      <c r="C67" t="s">
        <v>40</v>
      </c>
      <c r="D67" s="16" t="s">
        <v>102</v>
      </c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3:14" x14ac:dyDescent="0.25">
      <c r="C68" t="s">
        <v>46</v>
      </c>
      <c r="D68" t="s">
        <v>47</v>
      </c>
    </row>
  </sheetData>
  <mergeCells count="2">
    <mergeCell ref="A4:V4"/>
    <mergeCell ref="X4:A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26C28-B3FD-433E-AEA9-58D6E2AA2667}">
  <dimension ref="A1:BA66"/>
  <sheetViews>
    <sheetView workbookViewId="0">
      <selection activeCell="I32" sqref="I32"/>
    </sheetView>
  </sheetViews>
  <sheetFormatPr defaultRowHeight="15" x14ac:dyDescent="0.25"/>
  <sheetData>
    <row r="1" spans="1:53" x14ac:dyDescent="0.25">
      <c r="A1" t="s">
        <v>126</v>
      </c>
    </row>
    <row r="2" spans="1:53" x14ac:dyDescent="0.25">
      <c r="A2" t="s">
        <v>127</v>
      </c>
      <c r="D2" s="1" t="s">
        <v>128</v>
      </c>
    </row>
    <row r="4" spans="1:53" x14ac:dyDescent="0.25">
      <c r="D4" s="53" t="s">
        <v>2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Z4" s="53" t="s">
        <v>3</v>
      </c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</row>
    <row r="6" spans="1:53" x14ac:dyDescent="0.25">
      <c r="V6" t="s">
        <v>26</v>
      </c>
      <c r="AM6" s="4" t="s">
        <v>107</v>
      </c>
      <c r="AO6" t="s">
        <v>129</v>
      </c>
      <c r="AP6" t="s">
        <v>130</v>
      </c>
      <c r="AU6" t="s">
        <v>131</v>
      </c>
      <c r="AV6" t="s">
        <v>111</v>
      </c>
      <c r="AW6" t="s">
        <v>112</v>
      </c>
      <c r="AY6" t="s">
        <v>132</v>
      </c>
      <c r="AZ6" t="s">
        <v>133</v>
      </c>
    </row>
    <row r="7" spans="1:53" x14ac:dyDescent="0.25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115</v>
      </c>
      <c r="U7" t="s">
        <v>116</v>
      </c>
      <c r="V7" t="s">
        <v>134</v>
      </c>
      <c r="W7" t="s">
        <v>28</v>
      </c>
      <c r="X7" t="s">
        <v>29</v>
      </c>
      <c r="Z7" s="4" t="s">
        <v>27</v>
      </c>
      <c r="AA7" t="s">
        <v>30</v>
      </c>
      <c r="AB7" t="s">
        <v>31</v>
      </c>
      <c r="AC7" t="s">
        <v>32</v>
      </c>
      <c r="AD7" t="s">
        <v>33</v>
      </c>
      <c r="AE7" t="s">
        <v>34</v>
      </c>
      <c r="AF7" t="s">
        <v>35</v>
      </c>
      <c r="AG7" t="s">
        <v>36</v>
      </c>
      <c r="AH7" t="s">
        <v>37</v>
      </c>
      <c r="AI7" t="s">
        <v>38</v>
      </c>
      <c r="AJ7" t="s">
        <v>39</v>
      </c>
      <c r="AK7" s="4" t="s">
        <v>40</v>
      </c>
      <c r="AL7" t="s">
        <v>10</v>
      </c>
      <c r="AM7" s="4" t="s">
        <v>41</v>
      </c>
      <c r="AO7" t="s">
        <v>117</v>
      </c>
      <c r="AP7" t="s">
        <v>117</v>
      </c>
      <c r="AQ7" t="s">
        <v>118</v>
      </c>
      <c r="AR7" t="s">
        <v>135</v>
      </c>
      <c r="AS7" t="s">
        <v>136</v>
      </c>
      <c r="AT7" t="s">
        <v>137</v>
      </c>
      <c r="AU7" t="s">
        <v>137</v>
      </c>
      <c r="AV7" t="s">
        <v>123</v>
      </c>
      <c r="AW7" t="s">
        <v>138</v>
      </c>
      <c r="AX7" t="s">
        <v>113</v>
      </c>
      <c r="AY7" t="s">
        <v>139</v>
      </c>
      <c r="AZ7" t="s">
        <v>113</v>
      </c>
      <c r="BA7" t="s">
        <v>114</v>
      </c>
    </row>
    <row r="8" spans="1:53" x14ac:dyDescent="0.25">
      <c r="A8" s="5">
        <v>44273</v>
      </c>
      <c r="B8" s="6">
        <v>0.46890046296296295</v>
      </c>
      <c r="C8">
        <v>11.25</v>
      </c>
      <c r="D8">
        <v>443.29</v>
      </c>
      <c r="E8">
        <v>402</v>
      </c>
      <c r="F8">
        <v>272</v>
      </c>
      <c r="G8">
        <v>28.23</v>
      </c>
      <c r="H8">
        <v>0.33700000000000002</v>
      </c>
      <c r="I8">
        <v>3.3980000000000001</v>
      </c>
      <c r="J8">
        <v>9.31</v>
      </c>
      <c r="K8">
        <v>0.67</v>
      </c>
      <c r="L8">
        <v>39.15</v>
      </c>
      <c r="M8">
        <v>19.63</v>
      </c>
      <c r="N8">
        <v>24.13</v>
      </c>
      <c r="O8">
        <v>26.67</v>
      </c>
      <c r="P8" s="7">
        <v>7.0609190000000004E-4</v>
      </c>
      <c r="Q8">
        <v>0.95799999999999996</v>
      </c>
      <c r="R8">
        <v>25.93</v>
      </c>
      <c r="S8">
        <v>33.47</v>
      </c>
      <c r="T8">
        <v>0.39300000000000002</v>
      </c>
      <c r="U8">
        <v>2.44</v>
      </c>
      <c r="V8">
        <v>2E-3</v>
      </c>
      <c r="W8">
        <f>V8*0.04</f>
        <v>8.0000000000000007E-5</v>
      </c>
      <c r="X8">
        <f>((I8/1000/U8)*(1-N8/Q8/2000)+N8/Q8/1000)/(1+I8/1000/(2*U8))*1000</f>
        <v>26.544492538705683</v>
      </c>
      <c r="Z8" s="15">
        <v>1</v>
      </c>
      <c r="AA8" s="8">
        <f>S8/Q8*Z8</f>
        <v>34.937369519832984</v>
      </c>
      <c r="AB8" s="9">
        <f>V8*(AA8/1000-X8/1000)</f>
        <v>1.6785753962254604E-5</v>
      </c>
      <c r="AC8" s="10">
        <f>I8/1000-AB8</f>
        <v>3.3812142460377453E-3</v>
      </c>
      <c r="AD8" s="11">
        <f>1/(((AA8/1000-X8/1000)/(I8/1000-AC8*((AA8+X8)/2000)))+((X8-(N8/Q8))/1000)/(I8/1000-I8/1000*((X8+N8/Q8)/2000)))</f>
        <v>0.33809831023255255</v>
      </c>
      <c r="AE8" s="12">
        <f>(AC8-AC8*((AA8+X8)/2000))/((AA8-X8)/1000)</f>
        <v>0.39048261751894814</v>
      </c>
      <c r="AF8" s="12">
        <f>AE8+V8</f>
        <v>0.39248261751894814</v>
      </c>
      <c r="AG8" s="12">
        <f>AE8/1.6</f>
        <v>0.24405163594934257</v>
      </c>
      <c r="AH8" s="12">
        <f>AG8+W8</f>
        <v>0.24413163594934256</v>
      </c>
      <c r="AI8" s="12">
        <f>U8/1.37</f>
        <v>1.7810218978102188</v>
      </c>
      <c r="AJ8" s="8">
        <f>(E8/Q8*(AI8-I8/1000/2)-G8)/(AI8+I8/1000/2)</f>
        <v>402.98903708257285</v>
      </c>
      <c r="AK8" s="13">
        <f>(AJ8*(AH8-AC8/2)-G8)/(AH8+AC8/2)</f>
        <v>282.6069597598563</v>
      </c>
      <c r="AL8" s="14">
        <f>AK8*Q8</f>
        <v>270.7374674499423</v>
      </c>
      <c r="AM8" s="4"/>
      <c r="AO8">
        <v>821.9</v>
      </c>
      <c r="AP8">
        <v>942.4</v>
      </c>
      <c r="AQ8" s="12">
        <f>P8*1000*(1+(N8-M8)/(Q8*1000))</f>
        <v>0.70940861560542789</v>
      </c>
      <c r="AR8" s="8"/>
      <c r="AS8" s="8"/>
      <c r="AT8" s="8">
        <f>1/(U8*1.186)</f>
        <v>0.34556160672324665</v>
      </c>
      <c r="AU8" s="8"/>
      <c r="AV8" s="8"/>
      <c r="AW8" s="8"/>
      <c r="AX8" s="8"/>
      <c r="AY8" s="8">
        <f>1/AD8</f>
        <v>2.9577196032484596</v>
      </c>
    </row>
    <row r="9" spans="1:53" x14ac:dyDescent="0.25">
      <c r="A9" s="5"/>
      <c r="B9" s="6"/>
      <c r="D9">
        <v>233.02</v>
      </c>
      <c r="E9">
        <v>231</v>
      </c>
      <c r="F9">
        <v>228</v>
      </c>
      <c r="G9">
        <v>-0.34</v>
      </c>
      <c r="H9">
        <v>0.53600000000000003</v>
      </c>
      <c r="I9">
        <v>5.5430000000000001</v>
      </c>
      <c r="J9">
        <v>9.6</v>
      </c>
      <c r="K9">
        <v>0.98</v>
      </c>
      <c r="L9">
        <v>-0.47</v>
      </c>
      <c r="M9">
        <v>16.55</v>
      </c>
      <c r="N9">
        <v>23.86</v>
      </c>
      <c r="O9">
        <v>26.75</v>
      </c>
      <c r="P9" s="7">
        <v>7.1024939999999996E-4</v>
      </c>
      <c r="Q9">
        <v>0.95799999999999996</v>
      </c>
      <c r="R9">
        <v>25.93</v>
      </c>
      <c r="S9">
        <v>33.47</v>
      </c>
      <c r="T9">
        <v>0.68799999999999994</v>
      </c>
      <c r="U9">
        <v>2.44</v>
      </c>
      <c r="V9">
        <v>3.5000000000000001E-3</v>
      </c>
      <c r="W9">
        <f>V9*0.04</f>
        <v>1.4000000000000001E-4</v>
      </c>
      <c r="X9">
        <f>((I9/1000/U9)*(1-N9/Q9/2000)+N9/Q9/1000)/(1+I9/1000/(2*U9))*1000</f>
        <v>27.11868273931983</v>
      </c>
      <c r="Z9" s="15">
        <v>1</v>
      </c>
      <c r="AA9" s="8">
        <f>S9/Q9*Z9</f>
        <v>34.937369519832984</v>
      </c>
      <c r="AB9" s="9">
        <f>V9*(AA9/1000-X9/1000)</f>
        <v>2.7365403731796045E-5</v>
      </c>
      <c r="AC9" s="10">
        <f>I9/1000-AB9</f>
        <v>5.5156345962682042E-3</v>
      </c>
      <c r="AD9" s="11">
        <f>1/(((AA9/1000-X9/1000)/(I9/1000-AC9*((AA9+X9)/2000)))+((X9-(N9/Q9))/1000)/(I9/1000-I9/1000*((X9+N9/Q9)/2000)))</f>
        <v>0.53609945172589712</v>
      </c>
      <c r="AE9" s="12">
        <f>(AC9-AC9*((AA9+X9)/2000))/((AA9-X9)/1000)</f>
        <v>0.683554091873115</v>
      </c>
      <c r="AF9" s="12">
        <f>AE9+V9</f>
        <v>0.68705409187311495</v>
      </c>
      <c r="AG9" s="12">
        <f>AE9/1.6</f>
        <v>0.42722130742069686</v>
      </c>
      <c r="AH9" s="12">
        <f>AG9+W9</f>
        <v>0.42736130742069683</v>
      </c>
      <c r="AI9" s="12">
        <f>U9/1.37</f>
        <v>1.7810218978102188</v>
      </c>
      <c r="AJ9" s="8">
        <f>(E9/Q9*(AI9-I9/1000/2)-G9)/(AI9+I9/1000/2)</f>
        <v>240.56866909258775</v>
      </c>
      <c r="AK9" s="13">
        <f>(AJ9*(AH9-AC9/2)-G9)/(AH9+AC9/2)</f>
        <v>238.27421433038575</v>
      </c>
      <c r="AL9" s="14">
        <f>AK9*Q9</f>
        <v>228.26669732850954</v>
      </c>
      <c r="AM9" s="4"/>
      <c r="AO9">
        <v>111.9</v>
      </c>
      <c r="AQ9" s="12">
        <f>P9*1000*(1+(N9-M9)/(Q9*1000))</f>
        <v>0.71566894396033398</v>
      </c>
      <c r="AR9" s="8">
        <f t="shared" ref="AR9" si="0">AQ9*AO9</f>
        <v>80.083354829161379</v>
      </c>
      <c r="AS9" s="8">
        <f t="shared" ref="AS9" si="1">(AO8-AO9)/AR9</f>
        <v>8.8657624485714237</v>
      </c>
      <c r="AT9" s="8">
        <f>1/(U9*0.848)</f>
        <v>0.48329724713888034</v>
      </c>
      <c r="AU9" s="8">
        <f>AS9-(AT8+AT9)</f>
        <v>8.0369035947092975</v>
      </c>
      <c r="AV9" s="8">
        <f>AU9*0.781</f>
        <v>6.2768217074679615</v>
      </c>
      <c r="AW9" s="8">
        <f>AV9+1/U8+1/U9</f>
        <v>7.096493838615503</v>
      </c>
      <c r="AX9" s="8">
        <f>1/H8+1/H9</f>
        <v>4.8330306922361483</v>
      </c>
      <c r="AY9" s="8">
        <f>1/AD9</f>
        <v>1.8653255413349892</v>
      </c>
      <c r="AZ9" s="8">
        <f>AW9-AX9</f>
        <v>2.2634631463793546</v>
      </c>
      <c r="BA9" s="8">
        <f>AW9-AY10</f>
        <v>2.2734486940320542</v>
      </c>
    </row>
    <row r="10" spans="1:53" x14ac:dyDescent="0.25">
      <c r="A10" s="5"/>
      <c r="B10" s="6"/>
      <c r="G10">
        <f>SUM(G8:G9)</f>
        <v>27.89</v>
      </c>
      <c r="I10">
        <f>SUM(I8:I9)</f>
        <v>8.9410000000000007</v>
      </c>
      <c r="J10">
        <f>AVERAGE(J8:J9)</f>
        <v>9.4550000000000001</v>
      </c>
      <c r="N10">
        <f>AVERAGE(N8:N9)</f>
        <v>23.994999999999997</v>
      </c>
      <c r="P10" s="7"/>
      <c r="Z10" s="15"/>
      <c r="AC10" s="10"/>
      <c r="AE10" s="12"/>
      <c r="AF10" s="12"/>
      <c r="AG10" s="8"/>
      <c r="AJ10" s="8"/>
      <c r="AK10" s="13">
        <f>AK8-AK9</f>
        <v>44.332745429470549</v>
      </c>
      <c r="AL10" s="14"/>
      <c r="AM10" s="15"/>
      <c r="AN10" s="8"/>
      <c r="AQ10" s="12"/>
      <c r="AR10" s="8"/>
      <c r="AS10" s="8"/>
      <c r="AT10" s="8"/>
      <c r="AU10" s="8"/>
      <c r="AV10" s="8"/>
      <c r="AW10" s="8"/>
      <c r="AX10" s="8"/>
      <c r="AY10" s="8">
        <f>SUM(AY8:AY9)</f>
        <v>4.8230451445834488</v>
      </c>
      <c r="AZ10" s="8"/>
      <c r="BA10" s="8"/>
    </row>
    <row r="11" spans="1:53" x14ac:dyDescent="0.25">
      <c r="A11" s="5"/>
      <c r="B11" s="6"/>
      <c r="P11" s="7"/>
      <c r="Z11" s="15"/>
      <c r="AC11" s="10"/>
      <c r="AE11" s="12"/>
      <c r="AF11" s="12"/>
      <c r="AJ11" s="8"/>
      <c r="AK11" s="13"/>
      <c r="AL11" s="14"/>
      <c r="AM11" s="4"/>
      <c r="AQ11" s="12"/>
      <c r="AR11" s="8"/>
      <c r="AS11" s="8"/>
      <c r="AT11" s="8"/>
      <c r="AU11" s="8"/>
      <c r="AV11" s="8"/>
      <c r="AW11" s="8"/>
      <c r="AX11" s="8"/>
      <c r="AZ11" s="8"/>
      <c r="BA11" s="8"/>
    </row>
    <row r="12" spans="1:53" x14ac:dyDescent="0.25">
      <c r="A12" s="5">
        <v>44273</v>
      </c>
      <c r="B12" s="6">
        <v>0.48413194444444446</v>
      </c>
      <c r="C12">
        <v>11.61</v>
      </c>
      <c r="D12">
        <v>448.58</v>
      </c>
      <c r="E12">
        <v>406</v>
      </c>
      <c r="F12">
        <v>271</v>
      </c>
      <c r="G12">
        <v>28.62</v>
      </c>
      <c r="H12">
        <v>0.33300000000000002</v>
      </c>
      <c r="I12">
        <v>4.1559999999999997</v>
      </c>
      <c r="J12">
        <v>11.59</v>
      </c>
      <c r="K12">
        <v>0.66</v>
      </c>
      <c r="L12">
        <v>40.08</v>
      </c>
      <c r="M12">
        <v>15.56</v>
      </c>
      <c r="N12">
        <v>21.17</v>
      </c>
      <c r="O12">
        <v>26.67</v>
      </c>
      <c r="P12" s="7">
        <v>6.9597249999999995E-4</v>
      </c>
      <c r="Q12">
        <v>0.95799999999999996</v>
      </c>
      <c r="R12">
        <v>25.56</v>
      </c>
      <c r="S12">
        <v>32.75</v>
      </c>
      <c r="T12">
        <v>0.38600000000000001</v>
      </c>
      <c r="U12">
        <v>2.44</v>
      </c>
      <c r="V12">
        <v>2E-3</v>
      </c>
      <c r="W12">
        <f>V12*0.04</f>
        <v>8.0000000000000007E-5</v>
      </c>
      <c r="X12">
        <f>((I12/1000/U12)*(1-N12/Q12/2000)+N12/Q12/1000)/(1+I12/1000/(2*U12))*1000</f>
        <v>23.762343198389207</v>
      </c>
      <c r="Z12" s="15">
        <v>0.99</v>
      </c>
      <c r="AA12" s="8">
        <f>S12/Q12*Z12</f>
        <v>33.843945720250524</v>
      </c>
      <c r="AB12" s="9">
        <f>V12*(AA12/1000-X12/1000)</f>
        <v>2.0163205043722642E-5</v>
      </c>
      <c r="AC12" s="10">
        <f>I12/1000-AB12</f>
        <v>4.1358367949562774E-3</v>
      </c>
      <c r="AD12" s="11">
        <f t="shared" ref="AD12:AD13" si="2">1/(((AA12/1000-X12/1000)/(I12/1000-AC12*((AA12+X12)/2000)))+((X12-(N12/Q12))/1000)/(I12/1000-I12/1000*((X12+N12/Q12)/2000)))</f>
        <v>0.34397191952270501</v>
      </c>
      <c r="AE12" s="12">
        <f>(AC12-AC12*((AA12+X12)/2000))/((AA12-X12)/1000)</f>
        <v>0.39841996166591537</v>
      </c>
      <c r="AF12" s="12">
        <f>AE12+V12</f>
        <v>0.40041996166591537</v>
      </c>
      <c r="AG12" s="12">
        <f>AE12/1.6</f>
        <v>0.24901247604119708</v>
      </c>
      <c r="AH12" s="12">
        <f>AG12+W12</f>
        <v>0.24909247604119708</v>
      </c>
      <c r="AI12" s="12">
        <f>U12/1.37</f>
        <v>1.7810218978102188</v>
      </c>
      <c r="AJ12" s="8">
        <f>(E12/Q12*(AI12-I12/1000/2)-G12)/(AI12+I12/1000/2)</f>
        <v>406.76110295817892</v>
      </c>
      <c r="AK12" s="13">
        <f>(AJ12*(AH12-AC12/2)-G12)/(AH12+AC12/2)</f>
        <v>286.11191539779617</v>
      </c>
      <c r="AL12" s="14">
        <f>AK12*Q12</f>
        <v>274.09521495108874</v>
      </c>
      <c r="AM12" s="4"/>
      <c r="AO12">
        <v>824.6</v>
      </c>
      <c r="AP12">
        <v>947.8</v>
      </c>
      <c r="AQ12" s="12">
        <f>P12*1000*(1+(N12-M12)/(Q12*1000))</f>
        <v>0.70004808008872654</v>
      </c>
      <c r="AR12" s="8"/>
      <c r="AS12" s="8"/>
      <c r="AT12" s="8">
        <f>1/(U12*0.848)</f>
        <v>0.48329724713888034</v>
      </c>
      <c r="AU12" s="8"/>
      <c r="AV12" s="8"/>
      <c r="AW12" s="8"/>
      <c r="AX12" s="8"/>
      <c r="AY12" s="8">
        <f>1/AD12</f>
        <v>2.9072140580184533</v>
      </c>
      <c r="AZ12" s="8"/>
      <c r="BA12" s="8"/>
    </row>
    <row r="13" spans="1:53" x14ac:dyDescent="0.25">
      <c r="A13" s="5"/>
      <c r="B13" s="6"/>
      <c r="D13">
        <v>238.72</v>
      </c>
      <c r="E13">
        <v>236</v>
      </c>
      <c r="F13">
        <v>231</v>
      </c>
      <c r="G13">
        <v>0.11</v>
      </c>
      <c r="H13">
        <v>0.57699999999999996</v>
      </c>
      <c r="I13">
        <v>7.0979999999999999</v>
      </c>
      <c r="J13">
        <v>11.44</v>
      </c>
      <c r="K13">
        <v>0.97</v>
      </c>
      <c r="L13">
        <v>0.17</v>
      </c>
      <c r="M13">
        <v>11.85</v>
      </c>
      <c r="N13">
        <v>21.3</v>
      </c>
      <c r="O13">
        <v>26.72</v>
      </c>
      <c r="P13" s="7">
        <v>7.0337899999999996E-4</v>
      </c>
      <c r="Q13">
        <v>0.95799999999999996</v>
      </c>
      <c r="R13">
        <v>25.56</v>
      </c>
      <c r="S13">
        <v>32.75</v>
      </c>
      <c r="T13">
        <v>0.755</v>
      </c>
      <c r="U13">
        <v>2.44</v>
      </c>
      <c r="V13">
        <v>3.5000000000000001E-3</v>
      </c>
      <c r="W13">
        <f>V13*0.04</f>
        <v>1.4000000000000001E-4</v>
      </c>
      <c r="X13">
        <f>((I13/1000/U13)*(1-N13/Q13/2000)+N13/Q13/1000)/(1+I13/1000/(2*U13))*1000</f>
        <v>25.07402720054235</v>
      </c>
      <c r="Z13" s="15">
        <v>0.98699999999999999</v>
      </c>
      <c r="AA13" s="8">
        <f>S13/Q13*Z13</f>
        <v>33.741388308977037</v>
      </c>
      <c r="AB13" s="9">
        <f>V13*(AA13/1000-X13/1000)</f>
        <v>3.0335763879521405E-5</v>
      </c>
      <c r="AC13" s="10">
        <f>I13/1000-AB13</f>
        <v>7.0676642361204786E-3</v>
      </c>
      <c r="AD13" s="11">
        <f t="shared" si="2"/>
        <v>0.5996030723500787</v>
      </c>
      <c r="AE13" s="12">
        <f>(AC13-AC13*((AA13+X13)/2000))/((AA13-X13)/1000)</f>
        <v>0.79145432455562648</v>
      </c>
      <c r="AF13" s="12">
        <f>AE13+V13</f>
        <v>0.79495432455562642</v>
      </c>
      <c r="AG13" s="12">
        <f>AE13/1.6</f>
        <v>0.49465895284726652</v>
      </c>
      <c r="AH13" s="12">
        <f>AG13+W13</f>
        <v>0.49479895284726649</v>
      </c>
      <c r="AI13" s="12">
        <f>U13/1.37</f>
        <v>1.7810218978102188</v>
      </c>
      <c r="AJ13" s="8">
        <f>(E13/Q13*(AI13-I13/1000/2)-G13)/(AI13+I13/1000/2)</f>
        <v>245.30509048071602</v>
      </c>
      <c r="AK13" s="13">
        <f>(AJ13*(AH13-AC13/2)-G13)/(AH13+AC13/2)</f>
        <v>241.60528571058205</v>
      </c>
      <c r="AL13" s="14">
        <f>AK13*Q13</f>
        <v>231.4578637107376</v>
      </c>
      <c r="AM13" s="4"/>
      <c r="AO13">
        <v>115.1</v>
      </c>
      <c r="AQ13" s="12">
        <f>P13*1000*(1+(N13-M13)/(Q13*1000))</f>
        <v>0.71031734191022966</v>
      </c>
      <c r="AR13" s="8">
        <f t="shared" ref="AR13" si="3">AQ13*AO13</f>
        <v>81.757526053867423</v>
      </c>
      <c r="AS13" s="8">
        <f t="shared" ref="AS13" si="4">(AO12-AO13)/AR13</f>
        <v>8.6781001608651067</v>
      </c>
      <c r="AT13" s="8">
        <f>1/(U13*0.848)</f>
        <v>0.48329724713888034</v>
      </c>
      <c r="AU13" s="8">
        <f t="shared" ref="AU13:AU29" si="5">AS13-(AT12+AT13)</f>
        <v>7.711505666587346</v>
      </c>
      <c r="AV13" s="8">
        <f t="shared" ref="AV13:AV29" si="6">AU13*0.781</f>
        <v>6.0226859256047174</v>
      </c>
      <c r="AW13" s="8">
        <f>AV13+1/U12+1/U13</f>
        <v>6.8423580567522588</v>
      </c>
      <c r="AX13" s="8">
        <f>1/H12+1/H13</f>
        <v>4.7361052560359322</v>
      </c>
      <c r="AY13" s="8">
        <f>1/AD13</f>
        <v>1.6677699733602254</v>
      </c>
      <c r="AZ13" s="8">
        <f t="shared" ref="AZ13:AZ29" si="7">AW13-AX13</f>
        <v>2.1062528007163266</v>
      </c>
      <c r="BA13" s="8">
        <f t="shared" ref="BA13:BA29" si="8">AW13-AY14</f>
        <v>2.2673740253735799</v>
      </c>
    </row>
    <row r="14" spans="1:53" x14ac:dyDescent="0.25">
      <c r="A14" s="5"/>
      <c r="B14" s="6"/>
      <c r="G14">
        <f>SUM(G12:G13)</f>
        <v>28.73</v>
      </c>
      <c r="I14">
        <f>SUM(I12:I13)</f>
        <v>11.254</v>
      </c>
      <c r="J14">
        <f>AVERAGE(J12:J13)</f>
        <v>11.515000000000001</v>
      </c>
      <c r="N14">
        <f>AVERAGE(N12:N13)</f>
        <v>21.234999999999999</v>
      </c>
      <c r="P14" s="7"/>
      <c r="Z14" s="15"/>
      <c r="AA14" s="8"/>
      <c r="AC14" s="10"/>
      <c r="AD14" s="8"/>
      <c r="AE14" s="12"/>
      <c r="AF14" s="12"/>
      <c r="AG14" s="8"/>
      <c r="AH14" s="7"/>
      <c r="AJ14" s="8"/>
      <c r="AK14" s="13">
        <f>AK12-AK13</f>
        <v>44.506629687214115</v>
      </c>
      <c r="AL14" s="14"/>
      <c r="AM14" s="13">
        <f>($AK$8-$AK$9)/$G$10*G14</f>
        <v>45.667973330537428</v>
      </c>
      <c r="AN14" s="8"/>
      <c r="AO14" s="7"/>
      <c r="AT14" s="8"/>
      <c r="AU14" s="8"/>
      <c r="AV14" s="8"/>
      <c r="AW14" s="8"/>
      <c r="AY14" s="8">
        <f>SUM(AY12:AY13)</f>
        <v>4.5749840313786789</v>
      </c>
      <c r="AZ14" s="8"/>
      <c r="BA14" s="8"/>
    </row>
    <row r="15" spans="1:53" x14ac:dyDescent="0.25">
      <c r="A15" s="5"/>
      <c r="B15" s="6"/>
      <c r="P15" s="7"/>
      <c r="Z15" s="15"/>
      <c r="AK15" s="13"/>
      <c r="AL15" s="14"/>
      <c r="AM15" s="13"/>
      <c r="AN15" s="7"/>
      <c r="AT15" s="8"/>
      <c r="AU15" s="8"/>
      <c r="AV15" s="8"/>
      <c r="AW15" s="8"/>
      <c r="AZ15" s="8"/>
      <c r="BA15" s="8"/>
    </row>
    <row r="16" spans="1:53" x14ac:dyDescent="0.25">
      <c r="A16" s="5">
        <v>44273</v>
      </c>
      <c r="B16" s="6">
        <v>0.49534722222222222</v>
      </c>
      <c r="C16">
        <v>11.88</v>
      </c>
      <c r="D16">
        <v>452.32</v>
      </c>
      <c r="E16">
        <v>410</v>
      </c>
      <c r="F16">
        <v>267</v>
      </c>
      <c r="G16">
        <v>28.13</v>
      </c>
      <c r="H16">
        <v>0.312</v>
      </c>
      <c r="I16">
        <v>4.5190000000000001</v>
      </c>
      <c r="J16">
        <v>13.46</v>
      </c>
      <c r="K16">
        <v>0.64</v>
      </c>
      <c r="L16">
        <v>39.65</v>
      </c>
      <c r="M16">
        <v>12.64</v>
      </c>
      <c r="N16">
        <v>18.79</v>
      </c>
      <c r="O16">
        <v>26.62</v>
      </c>
      <c r="P16" s="7">
        <v>6.8972759999999999E-4</v>
      </c>
      <c r="Q16">
        <v>0.95799999999999996</v>
      </c>
      <c r="R16">
        <v>25.3</v>
      </c>
      <c r="S16">
        <v>32.25</v>
      </c>
      <c r="T16">
        <v>0.35799999999999998</v>
      </c>
      <c r="U16">
        <v>2.44</v>
      </c>
      <c r="V16">
        <v>2E-3</v>
      </c>
      <c r="W16">
        <f>V16*0.04</f>
        <v>8.0000000000000007E-5</v>
      </c>
      <c r="X16">
        <f>((I16/1000/U16)*(1-N16/Q16/2000)+N16/Q16/1000)/(1+I16/1000/(2*U16))*1000</f>
        <v>21.427822354163546</v>
      </c>
      <c r="Z16" s="15">
        <v>0.96599999999999997</v>
      </c>
      <c r="AA16" s="8">
        <f>S16/Q16*Z16</f>
        <v>32.519311064718167</v>
      </c>
      <c r="AB16" s="9">
        <f>V16*(AA16/1000-X16/1000)</f>
        <v>2.2182977421109238E-5</v>
      </c>
      <c r="AC16" s="10">
        <f>I16/1000-AB16</f>
        <v>4.4968170225788912E-3</v>
      </c>
      <c r="AD16" s="11">
        <f>1/(((AA16/1000-X16/1000)/(I16/1000-AC16*((AA16+X16)/2000)))+((X16-(N16/Q16))/1000)/(I16/1000-I16/1000*((X16+N16/Q16)/2000)))</f>
        <v>0.34107056754776588</v>
      </c>
      <c r="AE16" s="12">
        <f>(AC16-AC16*((AA16+X16)/2000))/((AA16-X16)/1000)</f>
        <v>0.39449364668932846</v>
      </c>
      <c r="AF16" s="12">
        <f>AE16+V16</f>
        <v>0.39649364668932846</v>
      </c>
      <c r="AG16" s="12">
        <f>AE16/1.6</f>
        <v>0.24655852918083027</v>
      </c>
      <c r="AH16" s="12">
        <f>AG16+W16</f>
        <v>0.24663852918083026</v>
      </c>
      <c r="AI16" s="12">
        <f>U16/1.37</f>
        <v>1.7810218978102188</v>
      </c>
      <c r="AJ16" s="8">
        <f>(E16/Q16*(AI16-I16/1000/2)-G16)/(AI16+I16/1000/2)</f>
        <v>411.11612854022752</v>
      </c>
      <c r="AK16" s="13">
        <f>(AJ16*(AH16-AC16/2)-G16)/(AH16+AC16/2)</f>
        <v>290.66499404894722</v>
      </c>
      <c r="AL16" s="14">
        <f>AK16*Q16</f>
        <v>278.45706429889145</v>
      </c>
      <c r="AM16" s="13"/>
      <c r="AO16">
        <v>830</v>
      </c>
      <c r="AP16">
        <v>953.1</v>
      </c>
      <c r="AQ16" s="12">
        <f>P16*1000*(1+(N16-M16)/(Q16*1000))</f>
        <v>0.69415539200417542</v>
      </c>
      <c r="AT16" s="8">
        <f>1/(U16*0.848)</f>
        <v>0.48329724713888034</v>
      </c>
      <c r="AU16" s="8"/>
      <c r="AV16" s="8"/>
      <c r="AW16" s="8"/>
      <c r="AY16" s="8">
        <f>1/AD16</f>
        <v>2.9319445743730235</v>
      </c>
      <c r="AZ16" s="8"/>
      <c r="BA16" s="8"/>
    </row>
    <row r="17" spans="1:53" x14ac:dyDescent="0.25">
      <c r="A17" s="5"/>
      <c r="B17" s="6"/>
      <c r="D17">
        <v>242.71</v>
      </c>
      <c r="E17">
        <v>240</v>
      </c>
      <c r="F17">
        <v>235</v>
      </c>
      <c r="G17">
        <v>-0.28999999999999998</v>
      </c>
      <c r="H17">
        <v>0.54400000000000004</v>
      </c>
      <c r="I17">
        <v>7.8150000000000004</v>
      </c>
      <c r="J17">
        <v>13.39</v>
      </c>
      <c r="K17">
        <v>0.98</v>
      </c>
      <c r="L17">
        <v>-0.41</v>
      </c>
      <c r="M17">
        <v>8.18</v>
      </c>
      <c r="N17">
        <v>18.86</v>
      </c>
      <c r="O17">
        <v>26.7</v>
      </c>
      <c r="P17" s="7">
        <v>6.8850390000000001E-4</v>
      </c>
      <c r="Q17">
        <v>0.95799999999999996</v>
      </c>
      <c r="R17">
        <v>25.3</v>
      </c>
      <c r="S17">
        <v>32.25</v>
      </c>
      <c r="T17">
        <v>0.69899999999999995</v>
      </c>
      <c r="U17">
        <v>2.44</v>
      </c>
      <c r="V17">
        <v>3.5000000000000001E-3</v>
      </c>
      <c r="W17">
        <f>V17*0.04</f>
        <v>1.4000000000000001E-4</v>
      </c>
      <c r="X17">
        <f>((I17/1000/U17)*(1-N17/Q17/2000)+N17/Q17/1000)/(1+I17/1000/(2*U17))*1000</f>
        <v>22.821641893143948</v>
      </c>
      <c r="Z17" s="15">
        <v>0.96599999999999997</v>
      </c>
      <c r="AA17" s="8">
        <f>S17/Q17*Z17</f>
        <v>32.519311064718167</v>
      </c>
      <c r="AB17" s="9">
        <f>V17*(AA17/1000-X17/1000)</f>
        <v>3.3941842100509759E-5</v>
      </c>
      <c r="AC17" s="10">
        <f>I17/1000-AB17</f>
        <v>7.7810581578994908E-3</v>
      </c>
      <c r="AD17" s="11">
        <f>1/(((AA17/1000-X17/1000)/(I17/1000-AC17*((AA17+X17)/2000)))+((X17-(N17/Q17))/1000)/(I17/1000-I17/1000*((X17+N17/Q17)/2000)))</f>
        <v>0.59315623128509531</v>
      </c>
      <c r="AE17" s="12">
        <f>(AC17-AC17*((AA17+X17)/2000))/((AA17-X17)/1000)</f>
        <v>0.7801619582298035</v>
      </c>
      <c r="AF17" s="12">
        <f>AE17+V17</f>
        <v>0.78366195822980345</v>
      </c>
      <c r="AG17" s="12">
        <f>AE17/1.6</f>
        <v>0.48760122389362714</v>
      </c>
      <c r="AH17" s="12">
        <f>AG17+W17</f>
        <v>0.48774122389362712</v>
      </c>
      <c r="AI17" s="12">
        <f>U17/1.37</f>
        <v>1.7810218978102188</v>
      </c>
      <c r="AJ17" s="8">
        <f>(E17/Q17*(AI17-I17/1000/2)-G17)/(AI17+I17/1000/2)</f>
        <v>249.58752583313282</v>
      </c>
      <c r="AK17" s="13">
        <f>(AJ17*(AH17-AC17/2)-G17)/(AH17+AC17/2)</f>
        <v>246.22717523737705</v>
      </c>
      <c r="AL17" s="14">
        <f>AK17*Q17</f>
        <v>235.8856338774072</v>
      </c>
      <c r="AM17" s="13"/>
      <c r="AO17">
        <v>117.8</v>
      </c>
      <c r="AQ17" s="12">
        <f>P17*1000*(1+(N17-M17)/(Q17*1000))</f>
        <v>0.69617949671398749</v>
      </c>
      <c r="AR17" s="8">
        <f t="shared" ref="AR17" si="9">AQ17*AO17</f>
        <v>82.009944712907725</v>
      </c>
      <c r="AS17" s="8">
        <f t="shared" ref="AS17" si="10">(AO16-AO17)/AR17</f>
        <v>8.6843126463893991</v>
      </c>
      <c r="AT17" s="8">
        <f>1/(U17*0.848)</f>
        <v>0.48329724713888034</v>
      </c>
      <c r="AU17" s="8">
        <f t="shared" si="5"/>
        <v>7.7177181521116385</v>
      </c>
      <c r="AV17" s="8">
        <f t="shared" si="6"/>
        <v>6.0275378767991903</v>
      </c>
      <c r="AW17" s="8">
        <f>AV17+1/U16+1/U17</f>
        <v>6.8472100079467317</v>
      </c>
      <c r="AX17" s="8">
        <f>1/H16+1/H17</f>
        <v>5.043363499245852</v>
      </c>
      <c r="AY17" s="8">
        <f>1/AD17</f>
        <v>1.6858964759309067</v>
      </c>
      <c r="AZ17" s="8">
        <f t="shared" si="7"/>
        <v>1.8038465087008797</v>
      </c>
      <c r="BA17" s="8">
        <f t="shared" si="8"/>
        <v>2.2293689576428015</v>
      </c>
    </row>
    <row r="18" spans="1:53" x14ac:dyDescent="0.25">
      <c r="A18" s="5"/>
      <c r="B18" s="6"/>
      <c r="G18">
        <f>SUM(G16:G17)</f>
        <v>27.84</v>
      </c>
      <c r="I18">
        <f>SUM(I16:I17)</f>
        <v>12.334</v>
      </c>
      <c r="J18">
        <f>AVERAGE(J16:J17)</f>
        <v>13.425000000000001</v>
      </c>
      <c r="N18">
        <f>AVERAGE(N16:N17)</f>
        <v>18.824999999999999</v>
      </c>
      <c r="P18" s="7"/>
      <c r="Z18" s="15"/>
      <c r="AC18" s="10"/>
      <c r="AE18" s="12"/>
      <c r="AF18" s="12"/>
      <c r="AG18" s="8"/>
      <c r="AJ18" s="8"/>
      <c r="AK18" s="13">
        <f>AK16-AK17</f>
        <v>44.437818811570168</v>
      </c>
      <c r="AL18" s="14"/>
      <c r="AM18" s="13">
        <f>($AK$8-$AK$9)/$G$10*G18</f>
        <v>44.253267578216565</v>
      </c>
      <c r="AN18" s="8"/>
      <c r="AT18" s="8"/>
      <c r="AU18" s="8"/>
      <c r="AV18" s="8"/>
      <c r="AW18" s="8"/>
      <c r="AY18" s="8">
        <f>SUM(AY16:AY17)</f>
        <v>4.6178410503039302</v>
      </c>
      <c r="AZ18" s="8"/>
      <c r="BA18" s="8"/>
    </row>
    <row r="19" spans="1:53" x14ac:dyDescent="0.25">
      <c r="A19" s="5"/>
      <c r="B19" s="6"/>
      <c r="P19" s="7"/>
      <c r="Z19" s="15"/>
      <c r="AC19" s="10"/>
      <c r="AE19" s="12"/>
      <c r="AF19" s="12"/>
      <c r="AJ19" s="8"/>
      <c r="AK19" s="13"/>
      <c r="AL19" s="14"/>
      <c r="AM19" s="13"/>
      <c r="AN19" s="7"/>
      <c r="AT19" s="8"/>
      <c r="AU19" s="8"/>
      <c r="AV19" s="8"/>
      <c r="AW19" s="8"/>
      <c r="AZ19" s="8"/>
      <c r="BA19" s="8"/>
    </row>
    <row r="20" spans="1:53" x14ac:dyDescent="0.25">
      <c r="A20" s="5">
        <v>44273</v>
      </c>
      <c r="B20" s="6">
        <v>0.5143402777777778</v>
      </c>
      <c r="C20">
        <v>12.34</v>
      </c>
      <c r="D20">
        <v>456.69</v>
      </c>
      <c r="E20">
        <v>414</v>
      </c>
      <c r="F20">
        <v>246</v>
      </c>
      <c r="G20">
        <v>27.64</v>
      </c>
      <c r="H20">
        <v>0.26100000000000001</v>
      </c>
      <c r="I20">
        <v>4.7380000000000004</v>
      </c>
      <c r="J20">
        <v>16.850000000000001</v>
      </c>
      <c r="K20">
        <v>0.57999999999999996</v>
      </c>
      <c r="L20">
        <v>39.18</v>
      </c>
      <c r="M20">
        <v>8.86</v>
      </c>
      <c r="N20">
        <v>15.42</v>
      </c>
      <c r="O20">
        <v>26.62</v>
      </c>
      <c r="P20" s="7">
        <v>6.8315300000000004E-4</v>
      </c>
      <c r="Q20">
        <v>0.95799999999999996</v>
      </c>
      <c r="R20">
        <v>25.3</v>
      </c>
      <c r="S20">
        <v>32.270000000000003</v>
      </c>
      <c r="T20">
        <v>0.29299999999999998</v>
      </c>
      <c r="U20">
        <v>2.44</v>
      </c>
      <c r="V20">
        <v>2E-3</v>
      </c>
      <c r="W20">
        <f>V20*0.04</f>
        <v>8.0000000000000007E-5</v>
      </c>
      <c r="X20">
        <f>((I20/1000/U20)*(1-N20/Q20/2000)+N20/Q20/1000)/(1+I20/1000/(2*U20))*1000</f>
        <v>18.004728196271735</v>
      </c>
      <c r="Z20" s="15">
        <v>0.89600000000000002</v>
      </c>
      <c r="AA20" s="8">
        <f>S20/Q20*Z20</f>
        <v>30.181544885177455</v>
      </c>
      <c r="AB20" s="9">
        <f>V20*(AA20/1000-X20/1000)</f>
        <v>2.4353633377811443E-5</v>
      </c>
      <c r="AC20" s="10">
        <f>I20/1000-AB20</f>
        <v>4.7136463666221885E-3</v>
      </c>
      <c r="AD20" s="11">
        <f t="shared" ref="AD20:AD21" si="11">1/(((AA20/1000-X20/1000)/(I20/1000-AC20*((AA20+X20)/2000)))+((X20-(N20/Q20))/1000)/(I20/1000-I20/1000*((X20+N20/Q20)/2000)))</f>
        <v>0.32862481504103258</v>
      </c>
      <c r="AE20" s="12">
        <f>(AC20-AC20*((AA20+X20)/2000))/((AA20-X20)/1000)</f>
        <v>0.3777735970434371</v>
      </c>
      <c r="AF20" s="12">
        <f>AE20+V20</f>
        <v>0.37977359704343711</v>
      </c>
      <c r="AG20" s="12">
        <f>AE20/1.6</f>
        <v>0.23610849815214818</v>
      </c>
      <c r="AH20" s="12">
        <f>AG20+W20</f>
        <v>0.23618849815214818</v>
      </c>
      <c r="AI20" s="12">
        <f>U20/1.37</f>
        <v>1.7810218978102188</v>
      </c>
      <c r="AJ20" s="8">
        <f>(E20/Q20*(AI20-I20/1000/2)-G20)/(AI20+I20/1000/2)</f>
        <v>415.5036384272081</v>
      </c>
      <c r="AK20" s="13">
        <f>(AJ20*(AH20-AC20/2)-G20)/(AH20+AC20/2)</f>
        <v>291.42433538371154</v>
      </c>
      <c r="AL20" s="14">
        <f>AK20*Q20</f>
        <v>279.18451329759563</v>
      </c>
      <c r="AM20" s="13"/>
      <c r="AO20">
        <v>848.7</v>
      </c>
      <c r="AP20">
        <v>961.2</v>
      </c>
      <c r="AQ20" s="12">
        <f>P20*1000*(1+(N20-M20)/(Q20*1000))</f>
        <v>0.6878309579123173</v>
      </c>
      <c r="AT20" s="8">
        <f>1/(U20*0.848)</f>
        <v>0.48329724713888034</v>
      </c>
      <c r="AU20" s="8"/>
      <c r="AV20" s="8"/>
      <c r="AW20" s="8"/>
      <c r="AY20" s="8">
        <f>1/AD20</f>
        <v>3.0429838351529801</v>
      </c>
      <c r="AZ20" s="8"/>
      <c r="BA20" s="8"/>
    </row>
    <row r="21" spans="1:53" x14ac:dyDescent="0.25">
      <c r="A21" s="5"/>
      <c r="B21" s="6"/>
      <c r="D21">
        <v>248.3</v>
      </c>
      <c r="E21">
        <v>244</v>
      </c>
      <c r="F21">
        <v>235</v>
      </c>
      <c r="G21">
        <v>0.6</v>
      </c>
      <c r="H21">
        <v>0.34899999999999998</v>
      </c>
      <c r="I21">
        <v>6.7140000000000004</v>
      </c>
      <c r="J21">
        <v>17.899999999999999</v>
      </c>
      <c r="K21">
        <v>0.95</v>
      </c>
      <c r="L21">
        <v>0.85</v>
      </c>
      <c r="M21">
        <v>5.05</v>
      </c>
      <c r="N21">
        <v>14.36</v>
      </c>
      <c r="O21">
        <v>26.69</v>
      </c>
      <c r="P21" s="7">
        <v>6.813174E-4</v>
      </c>
      <c r="Q21">
        <v>0.95799999999999996</v>
      </c>
      <c r="R21">
        <v>25.3</v>
      </c>
      <c r="S21">
        <v>32.270000000000003</v>
      </c>
      <c r="T21">
        <v>0.40899999999999997</v>
      </c>
      <c r="U21">
        <v>2.44</v>
      </c>
      <c r="V21">
        <v>3.5000000000000001E-3</v>
      </c>
      <c r="W21">
        <f>V21*0.04</f>
        <v>1.4000000000000001E-4</v>
      </c>
      <c r="X21">
        <f>((I21/1000/U21)*(1-N21/Q21/2000)+N21/Q21/1000)/(1+I21/1000/(2*U21))*1000</f>
        <v>17.696231174221534</v>
      </c>
      <c r="Z21" s="15">
        <v>0.89600000000000002</v>
      </c>
      <c r="AA21" s="8">
        <f>S21/Q21*Z21</f>
        <v>30.181544885177455</v>
      </c>
      <c r="AB21" s="9">
        <f>V21*(AA21/1000-X21/1000)</f>
        <v>4.3698597988345738E-5</v>
      </c>
      <c r="AC21" s="10">
        <f>I21/1000-AB21</f>
        <v>6.6703014020116549E-3</v>
      </c>
      <c r="AD21" s="11">
        <f t="shared" si="11"/>
        <v>0.43201501655136376</v>
      </c>
      <c r="AE21" s="12">
        <f>(AC21-AC21*((AA21+X21)/2000))/((AA21-X21)/1000)</f>
        <v>0.52146241210674982</v>
      </c>
      <c r="AF21" s="12">
        <f>AE21+V21</f>
        <v>0.52496241210674977</v>
      </c>
      <c r="AG21" s="12">
        <f>AE21/1.6</f>
        <v>0.32591400756671862</v>
      </c>
      <c r="AH21" s="12">
        <f>AG21+W21</f>
        <v>0.3260540075667186</v>
      </c>
      <c r="AI21" s="12">
        <f>U21/1.37</f>
        <v>1.7810218978102188</v>
      </c>
      <c r="AJ21" s="8">
        <f>(E21/Q21*(AI21-I21/1000/2)-G21)/(AI21+I21/1000/2)</f>
        <v>253.40269685261001</v>
      </c>
      <c r="AK21" s="13">
        <f>(AJ21*(AH21-AC21/2)-G21)/(AH21+AC21/2)</f>
        <v>246.44960715125447</v>
      </c>
      <c r="AL21" s="14">
        <f>AK21*Q21</f>
        <v>236.09872365090177</v>
      </c>
      <c r="AM21" s="13"/>
      <c r="AO21">
        <v>101.7</v>
      </c>
      <c r="AQ21" s="12">
        <f>P21*1000*(1+(N21-M21)/(Q21*1000))</f>
        <v>0.68793855343841337</v>
      </c>
      <c r="AR21" s="8">
        <f t="shared" ref="AR21" si="12">AQ21*AO21</f>
        <v>69.963350884686648</v>
      </c>
      <c r="AS21" s="8">
        <f t="shared" ref="AS21" si="13">(AO20-AO21)/AR21</f>
        <v>10.677018618379254</v>
      </c>
      <c r="AT21" s="8">
        <f>1/(U21*0.848)</f>
        <v>0.48329724713888034</v>
      </c>
      <c r="AU21" s="8">
        <f t="shared" si="5"/>
        <v>9.7104241241014932</v>
      </c>
      <c r="AV21" s="8">
        <f t="shared" si="6"/>
        <v>7.5838412409232667</v>
      </c>
      <c r="AW21" s="8">
        <f>AV21+1/U20+1/U21</f>
        <v>8.4035133720708082</v>
      </c>
      <c r="AX21" s="8">
        <f>1/H20+1/H21</f>
        <v>6.6967471374150556</v>
      </c>
      <c r="AY21" s="8">
        <f>1/AD21</f>
        <v>2.3147343534090012</v>
      </c>
      <c r="AZ21" s="8">
        <f t="shared" si="7"/>
        <v>1.7067662346557526</v>
      </c>
      <c r="BA21" s="8">
        <f t="shared" si="8"/>
        <v>3.0457951835088268</v>
      </c>
    </row>
    <row r="22" spans="1:53" x14ac:dyDescent="0.25">
      <c r="A22" s="5"/>
      <c r="B22" s="6"/>
      <c r="G22">
        <f>SUM(G20:G21)</f>
        <v>28.240000000000002</v>
      </c>
      <c r="I22">
        <f>SUM(I20:I21)</f>
        <v>11.452000000000002</v>
      </c>
      <c r="J22">
        <f>AVERAGE(J20:J21)</f>
        <v>17.375</v>
      </c>
      <c r="N22">
        <f>AVERAGE(N20:N21)</f>
        <v>14.89</v>
      </c>
      <c r="P22" s="7"/>
      <c r="Z22" s="15"/>
      <c r="AA22" s="8"/>
      <c r="AC22" s="10"/>
      <c r="AD22" s="8"/>
      <c r="AE22" s="12"/>
      <c r="AF22" s="12"/>
      <c r="AG22" s="8"/>
      <c r="AH22" s="7"/>
      <c r="AJ22" s="8"/>
      <c r="AK22" s="13">
        <f>AK20-AK21</f>
        <v>44.974728232457068</v>
      </c>
      <c r="AL22" s="14"/>
      <c r="AM22" s="13">
        <f>($AK$8-$AK$9)/$G$10*G22</f>
        <v>44.88909038824842</v>
      </c>
      <c r="AN22" s="8"/>
      <c r="AT22" s="8"/>
      <c r="AU22" s="8"/>
      <c r="AV22" s="8"/>
      <c r="AW22" s="8"/>
      <c r="AY22" s="8">
        <f>SUM(AY20:AY21)</f>
        <v>5.3577181885619813</v>
      </c>
      <c r="AZ22" s="8"/>
      <c r="BA22" s="8"/>
    </row>
    <row r="23" spans="1:53" x14ac:dyDescent="0.25">
      <c r="A23" s="5"/>
      <c r="B23" s="6"/>
      <c r="P23" s="7"/>
      <c r="Z23" s="15"/>
      <c r="AK23" s="13"/>
      <c r="AL23" s="14"/>
      <c r="AM23" s="13"/>
      <c r="AN23" s="7"/>
      <c r="AT23" s="8"/>
      <c r="AU23" s="8"/>
      <c r="AV23" s="8"/>
      <c r="AW23" s="8"/>
      <c r="AZ23" s="8"/>
      <c r="BA23" s="8"/>
    </row>
    <row r="24" spans="1:53" x14ac:dyDescent="0.25">
      <c r="A24" s="5">
        <v>44273</v>
      </c>
      <c r="B24" s="6">
        <v>0.53585648148148146</v>
      </c>
      <c r="C24">
        <v>12.86</v>
      </c>
      <c r="D24">
        <v>461.39</v>
      </c>
      <c r="E24">
        <v>420</v>
      </c>
      <c r="F24">
        <v>231</v>
      </c>
      <c r="G24">
        <v>26.79</v>
      </c>
      <c r="H24">
        <v>0.22800000000000001</v>
      </c>
      <c r="I24">
        <v>4.9560000000000004</v>
      </c>
      <c r="J24">
        <v>20.309999999999999</v>
      </c>
      <c r="K24">
        <v>0.55000000000000004</v>
      </c>
      <c r="L24">
        <v>38.29</v>
      </c>
      <c r="M24">
        <v>5.1100000000000003</v>
      </c>
      <c r="N24">
        <v>12.07</v>
      </c>
      <c r="O24">
        <v>26.62</v>
      </c>
      <c r="P24" s="7">
        <v>6.7453800000000003E-4</v>
      </c>
      <c r="Q24">
        <v>0.95799999999999996</v>
      </c>
      <c r="R24">
        <v>25.37</v>
      </c>
      <c r="S24">
        <v>32.4</v>
      </c>
      <c r="T24">
        <v>0.252</v>
      </c>
      <c r="U24">
        <v>2.44</v>
      </c>
      <c r="V24">
        <v>2E-3</v>
      </c>
      <c r="W24">
        <f>V24*0.04</f>
        <v>8.0000000000000007E-5</v>
      </c>
      <c r="X24">
        <f>((I24/1000/U24)*(1-N24/Q24/2000)+N24/Q24/1000)/(1+I24/1000/(2*U24))*1000</f>
        <v>14.602686980608615</v>
      </c>
      <c r="Z24" s="15">
        <v>0.871</v>
      </c>
      <c r="AA24" s="8">
        <f>S24/Q24*Z24</f>
        <v>29.457620041753653</v>
      </c>
      <c r="AB24" s="9">
        <f>V24*(AA24/1000-X24/1000)</f>
        <v>2.9709866122290075E-5</v>
      </c>
      <c r="AC24" s="10">
        <f>I24/1000-AB24</f>
        <v>4.92629013387771E-3</v>
      </c>
      <c r="AD24" s="11">
        <f>1/(((AA24/1000-X24/1000)/(I24/1000-AC24*((AA24+X24)/2000)))+((X24-(N24/Q24))/1000)/(I24/1000-I24/1000*((X24+N24/Q24)/2000)))</f>
        <v>0.2878273082637216</v>
      </c>
      <c r="AE24" s="12">
        <f>(AC24-AC24*((AA24+X24)/2000))/((AA24-X24)/1000)</f>
        <v>0.32432076174003355</v>
      </c>
      <c r="AF24" s="12">
        <f>AE24+V24</f>
        <v>0.32632076174003355</v>
      </c>
      <c r="AG24" s="12">
        <f>AE24/1.6</f>
        <v>0.20270047608752095</v>
      </c>
      <c r="AH24" s="12">
        <f>AG24+W24</f>
        <v>0.20278047608752095</v>
      </c>
      <c r="AI24" s="12">
        <f>U24/1.37</f>
        <v>1.7810218978102188</v>
      </c>
      <c r="AJ24" s="8">
        <f>(E24/Q24*(AI24-I24/1000/2)-G24)/(AI24+I24/1000/2)</f>
        <v>422.17406861096168</v>
      </c>
      <c r="AK24" s="13">
        <f>(AJ24*(AH24-AC24/2)-G24)/(AH24+AC24/2)</f>
        <v>281.51317115363838</v>
      </c>
      <c r="AL24" s="14">
        <f>AK24*Q24</f>
        <v>269.68961796518556</v>
      </c>
      <c r="AM24" s="13"/>
      <c r="AO24">
        <v>859.4</v>
      </c>
      <c r="AP24">
        <v>965.2</v>
      </c>
      <c r="AQ24" s="12">
        <f>P24*1000*(1+(N24-M24)/(Q24*1000))</f>
        <v>0.679438610104384</v>
      </c>
      <c r="AT24" s="8">
        <f>1/(U24*0.848)</f>
        <v>0.48329724713888034</v>
      </c>
      <c r="AU24" s="8"/>
      <c r="AV24" s="8"/>
      <c r="AW24" s="8"/>
      <c r="AY24" s="8">
        <f>1/AD24</f>
        <v>3.4743054994759239</v>
      </c>
      <c r="AZ24" s="8"/>
      <c r="BA24" s="8"/>
    </row>
    <row r="25" spans="1:53" x14ac:dyDescent="0.25">
      <c r="A25" s="5"/>
      <c r="B25" s="6"/>
      <c r="D25">
        <v>239.05</v>
      </c>
      <c r="E25">
        <v>236</v>
      </c>
      <c r="F25">
        <v>227</v>
      </c>
      <c r="G25">
        <v>0.21</v>
      </c>
      <c r="H25">
        <v>0.28699999999999998</v>
      </c>
      <c r="I25">
        <v>6.5049999999999999</v>
      </c>
      <c r="J25">
        <v>21.1</v>
      </c>
      <c r="K25">
        <v>0.95</v>
      </c>
      <c r="L25">
        <v>0.31</v>
      </c>
      <c r="M25">
        <v>2.1</v>
      </c>
      <c r="N25">
        <v>11.3</v>
      </c>
      <c r="O25">
        <v>26.7</v>
      </c>
      <c r="P25" s="7">
        <v>6.7035809999999995E-4</v>
      </c>
      <c r="Q25">
        <v>0.95799999999999996</v>
      </c>
      <c r="R25">
        <v>25.37</v>
      </c>
      <c r="S25">
        <v>32.4</v>
      </c>
      <c r="T25">
        <v>0.32600000000000001</v>
      </c>
      <c r="U25">
        <v>2.44</v>
      </c>
      <c r="V25">
        <v>3.5000000000000001E-3</v>
      </c>
      <c r="W25">
        <f>V25*0.04</f>
        <v>1.4000000000000001E-4</v>
      </c>
      <c r="X25">
        <f>((I25/1000/U25)*(1-N25/Q25/2000)+N25/Q25/1000)/(1+I25/1000/(2*U25))*1000</f>
        <v>14.426437201160672</v>
      </c>
      <c r="Z25" s="15">
        <v>0.871</v>
      </c>
      <c r="AA25" s="8">
        <f>S25/Q25*Z25</f>
        <v>29.457620041753653</v>
      </c>
      <c r="AB25" s="9">
        <f>V25*(AA25/1000-X25/1000)</f>
        <v>5.2609139942075435E-5</v>
      </c>
      <c r="AC25" s="10">
        <f>I25/1000-AB25</f>
        <v>6.4523908600579239E-3</v>
      </c>
      <c r="AD25" s="11">
        <f>1/(((AA25/1000-X25/1000)/(I25/1000-AC25*((AA25+X25)/2000)))+((X25-(N25/Q25))/1000)/(I25/1000-I25/1000*((X25+N25/Q25)/2000)))</f>
        <v>0.36075571541582685</v>
      </c>
      <c r="AE25" s="12">
        <f>(AC25-AC25*((AA25+X25)/2000))/((AA25-X25)/1000)</f>
        <v>0.41984801742194378</v>
      </c>
      <c r="AF25" s="12">
        <f>AE25+V25</f>
        <v>0.42334801742194378</v>
      </c>
      <c r="AG25" s="12">
        <f>AE25/1.6</f>
        <v>0.26240501088871482</v>
      </c>
      <c r="AH25" s="12">
        <f>AG25+W25</f>
        <v>0.26254501088871479</v>
      </c>
      <c r="AI25" s="12">
        <f>U25/1.37</f>
        <v>1.7810218978102188</v>
      </c>
      <c r="AJ25" s="8">
        <f>(E25/Q25*(AI25-I25/1000/2)-G25)/(AI25+I25/1000/2)</f>
        <v>245.33074500618426</v>
      </c>
      <c r="AK25" s="13">
        <f>(AJ25*(AH25-AC25/2)-G25)/(AH25+AC25/2)</f>
        <v>238.58445415848891</v>
      </c>
      <c r="AL25" s="14">
        <f>AK25*Q25</f>
        <v>228.56390708383236</v>
      </c>
      <c r="AM25" s="13"/>
      <c r="AO25">
        <v>96.7</v>
      </c>
      <c r="AQ25" s="12">
        <f>P25*1000*(1+(N25-M25)/(Q25*1000))</f>
        <v>0.67679577695198323</v>
      </c>
      <c r="AR25" s="8">
        <f t="shared" ref="AR25" si="14">AQ25*AO25</f>
        <v>65.446151631256782</v>
      </c>
      <c r="AS25" s="8">
        <f t="shared" ref="AS25" si="15">(AO24-AO25)/AR25</f>
        <v>11.65385558951243</v>
      </c>
      <c r="AT25" s="8">
        <f>1/(U25*0.848)</f>
        <v>0.48329724713888034</v>
      </c>
      <c r="AU25" s="8">
        <f t="shared" si="5"/>
        <v>10.687261095234669</v>
      </c>
      <c r="AV25" s="8">
        <f t="shared" si="6"/>
        <v>8.3467509153782764</v>
      </c>
      <c r="AW25" s="8">
        <f>AV25+1/U24+1/U25</f>
        <v>9.1664230465258179</v>
      </c>
      <c r="AX25" s="8">
        <f>1/H24+1/H25</f>
        <v>7.8702854697719911</v>
      </c>
      <c r="AY25" s="8">
        <f>1/AD25</f>
        <v>2.7719588554469472</v>
      </c>
      <c r="AZ25" s="8">
        <f t="shared" si="7"/>
        <v>1.2961375767538268</v>
      </c>
      <c r="BA25" s="8">
        <f t="shared" si="8"/>
        <v>2.9201586916029463</v>
      </c>
    </row>
    <row r="26" spans="1:53" x14ac:dyDescent="0.25">
      <c r="A26" s="5"/>
      <c r="B26" s="6"/>
      <c r="G26">
        <f>SUM(G24:G25)</f>
        <v>27</v>
      </c>
      <c r="I26">
        <f>SUM(I24:I25)</f>
        <v>11.461</v>
      </c>
      <c r="J26">
        <f>AVERAGE(J24:J25)</f>
        <v>20.704999999999998</v>
      </c>
      <c r="N26">
        <f>AVERAGE(N24:N25)</f>
        <v>11.685</v>
      </c>
      <c r="P26" s="7"/>
      <c r="Z26" s="15"/>
      <c r="AC26" s="10"/>
      <c r="AE26" s="12"/>
      <c r="AF26" s="12"/>
      <c r="AG26" s="8"/>
      <c r="AJ26" s="8"/>
      <c r="AK26" s="13">
        <f>AK24-AK25</f>
        <v>42.928716995149472</v>
      </c>
      <c r="AL26" s="14"/>
      <c r="AM26" s="13">
        <f>($AK$8-$AK$9)/$G$10*G26</f>
        <v>42.918039677149686</v>
      </c>
      <c r="AN26" s="8"/>
      <c r="AT26" s="8"/>
      <c r="AU26" s="8"/>
      <c r="AV26" s="8"/>
      <c r="AW26" s="8"/>
      <c r="AY26" s="8">
        <f>SUM(AY24:AY25)</f>
        <v>6.2462643549228716</v>
      </c>
      <c r="AZ26" s="8"/>
      <c r="BA26" s="8"/>
    </row>
    <row r="27" spans="1:53" x14ac:dyDescent="0.25">
      <c r="A27" s="5"/>
      <c r="B27" s="6"/>
      <c r="P27" s="7"/>
      <c r="Z27" s="15"/>
      <c r="AC27" s="10"/>
      <c r="AE27" s="12"/>
      <c r="AF27" s="12"/>
      <c r="AJ27" s="8"/>
      <c r="AK27" s="13"/>
      <c r="AL27" s="14"/>
      <c r="AM27" s="13"/>
      <c r="AN27" s="7"/>
      <c r="AT27" s="8"/>
      <c r="AU27" s="8"/>
      <c r="AV27" s="8"/>
      <c r="AW27" s="8"/>
      <c r="AZ27" s="8"/>
      <c r="BA27" s="8"/>
    </row>
    <row r="28" spans="1:53" x14ac:dyDescent="0.25">
      <c r="A28" s="5">
        <v>44273</v>
      </c>
      <c r="B28" s="6">
        <v>0.5690277777777778</v>
      </c>
      <c r="C28">
        <v>13.65</v>
      </c>
      <c r="D28">
        <v>460.97</v>
      </c>
      <c r="E28">
        <v>422</v>
      </c>
      <c r="F28">
        <v>207</v>
      </c>
      <c r="G28">
        <v>25.22</v>
      </c>
      <c r="H28">
        <v>0.188</v>
      </c>
      <c r="I28">
        <v>4.8220000000000001</v>
      </c>
      <c r="J28">
        <v>23.79</v>
      </c>
      <c r="K28">
        <v>0.49</v>
      </c>
      <c r="L28">
        <v>35.99</v>
      </c>
      <c r="M28">
        <v>5.07</v>
      </c>
      <c r="N28">
        <v>11.84</v>
      </c>
      <c r="O28">
        <v>28.34</v>
      </c>
      <c r="P28" s="7">
        <v>6.7579529999999997E-4</v>
      </c>
      <c r="Q28">
        <v>0.95799999999999996</v>
      </c>
      <c r="R28">
        <v>26.98</v>
      </c>
      <c r="S28">
        <v>35.630000000000003</v>
      </c>
      <c r="T28">
        <v>0.20399999999999999</v>
      </c>
      <c r="U28">
        <v>2.44</v>
      </c>
      <c r="V28">
        <v>2E-3</v>
      </c>
      <c r="W28">
        <f>V28*0.04</f>
        <v>8.0000000000000007E-5</v>
      </c>
      <c r="X28">
        <f>((I28/1000/U28)*(1-N28/Q28/2000)+N28/Q28/1000)/(1+I28/1000/(2*U28))*1000</f>
        <v>14.308959842786646</v>
      </c>
      <c r="Z28" s="15">
        <v>0.85699999999999998</v>
      </c>
      <c r="AA28" s="8">
        <f>S28/Q28*Z28</f>
        <v>31.873601252609603</v>
      </c>
      <c r="AB28" s="9">
        <f>V28*(AA28/1000-X28/1000)</f>
        <v>3.5129282819645912E-5</v>
      </c>
      <c r="AC28" s="10">
        <f>I28/1000-AB28</f>
        <v>4.7868707171803537E-3</v>
      </c>
      <c r="AD28" s="11">
        <f t="shared" ref="AD28:AD29" si="16">1/(((AA28/1000-X28/1000)/(I28/1000-AC28*((AA28+X28)/2000)))+((X28-(N28/Q28))/1000)/(I28/1000-I28/1000*((X28+N28/Q28)/2000)))</f>
        <v>0.24166849689918196</v>
      </c>
      <c r="AE28" s="12">
        <f>(AC28-AC28*((AA28+X28)/2000))/((AA28-X28)/1000)</f>
        <v>0.26623576498915363</v>
      </c>
      <c r="AF28" s="12">
        <f>AE28+V28</f>
        <v>0.26823576498915364</v>
      </c>
      <c r="AG28" s="12">
        <f>AE28/1.6</f>
        <v>0.16639735311822101</v>
      </c>
      <c r="AH28" s="12">
        <f>AG28+W28</f>
        <v>0.16647735311822101</v>
      </c>
      <c r="AI28" s="12">
        <f>U28/1.37</f>
        <v>1.7810218978102188</v>
      </c>
      <c r="AJ28" s="8">
        <f>(E28/Q28*(AI28-I28/1000/2)-G28)/(AI28+I28/1000/2)</f>
        <v>425.16876188838052</v>
      </c>
      <c r="AK28" s="13">
        <f>(AJ28*(AH28-AC28/2)-G28)/(AH28+AC28/2)</f>
        <v>263.77182555628116</v>
      </c>
      <c r="AL28" s="14">
        <f>AK28*Q28</f>
        <v>252.69340888291734</v>
      </c>
      <c r="AM28" s="13"/>
      <c r="AO28">
        <v>862.1</v>
      </c>
      <c r="AP28">
        <v>961.2</v>
      </c>
      <c r="AQ28" s="12">
        <f>P28*1000*(1+(N28-M28)/(Q28*1000))</f>
        <v>0.68057101417640919</v>
      </c>
      <c r="AT28" s="8">
        <f>1/(U28*0.848)</f>
        <v>0.48329724713888034</v>
      </c>
      <c r="AU28" s="8"/>
      <c r="AV28" s="8"/>
      <c r="AW28" s="8"/>
      <c r="AY28" s="8">
        <f>1/AD28</f>
        <v>4.1378996966128145</v>
      </c>
      <c r="AZ28" s="8"/>
      <c r="BA28" s="8"/>
    </row>
    <row r="29" spans="1:53" x14ac:dyDescent="0.25">
      <c r="A29" s="5"/>
      <c r="B29" s="6"/>
      <c r="D29">
        <v>224.08</v>
      </c>
      <c r="E29">
        <v>221</v>
      </c>
      <c r="F29">
        <v>212</v>
      </c>
      <c r="G29">
        <v>0.05</v>
      </c>
      <c r="H29">
        <v>0.28000000000000003</v>
      </c>
      <c r="I29">
        <v>7.0739999999999998</v>
      </c>
      <c r="J29">
        <v>23.55</v>
      </c>
      <c r="K29">
        <v>0.94</v>
      </c>
      <c r="L29">
        <v>0.09</v>
      </c>
      <c r="M29">
        <v>2.1</v>
      </c>
      <c r="N29">
        <v>12.07</v>
      </c>
      <c r="O29">
        <v>28.37</v>
      </c>
      <c r="P29" s="7">
        <v>6.719381E-4</v>
      </c>
      <c r="Q29">
        <v>0.95799999999999996</v>
      </c>
      <c r="R29">
        <v>26.98</v>
      </c>
      <c r="S29">
        <v>35.630000000000003</v>
      </c>
      <c r="T29">
        <v>0.317</v>
      </c>
      <c r="U29">
        <v>2.44</v>
      </c>
      <c r="V29">
        <v>3.5000000000000001E-3</v>
      </c>
      <c r="W29">
        <f>V29*0.04</f>
        <v>1.4000000000000001E-4</v>
      </c>
      <c r="X29">
        <f>((I29/1000/U29)*(1-N29/Q29/2000)+N29/Q29/1000)/(1+I29/1000/(2*U29))*1000</f>
        <v>15.457674336572495</v>
      </c>
      <c r="Z29" s="15">
        <v>0.85699999999999998</v>
      </c>
      <c r="AA29" s="8">
        <f>S29/Q29*Z29</f>
        <v>31.873601252609603</v>
      </c>
      <c r="AB29" s="9">
        <f>V29*(AA29/1000-X29/1000)</f>
        <v>5.7455744206129865E-5</v>
      </c>
      <c r="AC29" s="10">
        <f>I29/1000-AB29</f>
        <v>7.01654425579387E-3</v>
      </c>
      <c r="AD29" s="11">
        <f t="shared" si="16"/>
        <v>0.35890942914714768</v>
      </c>
      <c r="AE29" s="12">
        <f>(AC29-AC29*((AA29+X29)/2000))/((AA29-X29)/1000)</f>
        <v>0.41730773387971926</v>
      </c>
      <c r="AF29" s="12">
        <f>AE29+V29</f>
        <v>0.42080773387971926</v>
      </c>
      <c r="AG29" s="12">
        <f>AE29/1.6</f>
        <v>0.26081733367482451</v>
      </c>
      <c r="AH29" s="12">
        <f>AG29+W29</f>
        <v>0.26095733367482449</v>
      </c>
      <c r="AI29" s="12">
        <f>U29/1.37</f>
        <v>1.7810218978102188</v>
      </c>
      <c r="AJ29" s="8">
        <f>(E29/Q29*(AI29-I29/1000/2)-G29)/(AI29+I29/1000/2)</f>
        <v>229.7464651116189</v>
      </c>
      <c r="AK29" s="13">
        <f>(AJ29*(AH29-AC29/2)-G29)/(AH29+AC29/2)</f>
        <v>223.46199483041465</v>
      </c>
      <c r="AL29" s="14">
        <f>AK29*Q29</f>
        <v>214.07659104753722</v>
      </c>
      <c r="AM29" s="13"/>
      <c r="AO29">
        <v>93.7</v>
      </c>
      <c r="AQ29" s="12">
        <f>P29*1000*(1+(N29-M29)/(Q29*1000))</f>
        <v>0.6789310257379958</v>
      </c>
      <c r="AR29" s="8">
        <f t="shared" ref="AR29" si="17">AQ29*AO29</f>
        <v>63.615837111650208</v>
      </c>
      <c r="AS29" s="8">
        <f t="shared" ref="AS29" si="18">(AO28-AO29)/AR29</f>
        <v>12.078753261572345</v>
      </c>
      <c r="AT29" s="8">
        <f>1/(U29*0.848)</f>
        <v>0.48329724713888034</v>
      </c>
      <c r="AU29" s="8">
        <f t="shared" si="5"/>
        <v>11.112158767294584</v>
      </c>
      <c r="AV29" s="8">
        <f t="shared" si="6"/>
        <v>8.6785959972570712</v>
      </c>
      <c r="AW29" s="8">
        <f>AV29+1/U28+1/U29</f>
        <v>9.4982681284046127</v>
      </c>
      <c r="AX29" s="8">
        <f>1/H28+1/H29</f>
        <v>8.8905775075987847</v>
      </c>
      <c r="AY29" s="8">
        <f>1/AD29</f>
        <v>2.7862182455786484</v>
      </c>
      <c r="AZ29" s="8">
        <f t="shared" si="7"/>
        <v>0.60769062080582792</v>
      </c>
      <c r="BA29" s="8">
        <f t="shared" si="8"/>
        <v>2.5741501862131493</v>
      </c>
    </row>
    <row r="30" spans="1:53" x14ac:dyDescent="0.25">
      <c r="G30">
        <f>SUM(G28:G29)</f>
        <v>25.27</v>
      </c>
      <c r="I30">
        <f>SUM(I28:I29)</f>
        <v>11.896000000000001</v>
      </c>
      <c r="J30">
        <f>AVERAGE(J28:J29)</f>
        <v>23.67</v>
      </c>
      <c r="N30">
        <f>AVERAGE(N28:N29)</f>
        <v>11.955</v>
      </c>
      <c r="AA30" s="8"/>
      <c r="AC30" s="10"/>
      <c r="AD30" s="8"/>
      <c r="AE30" s="12"/>
      <c r="AF30" s="12"/>
      <c r="AG30" s="8"/>
      <c r="AH30" s="7"/>
      <c r="AJ30" s="8"/>
      <c r="AK30" s="13">
        <f>AK28-AK29</f>
        <v>40.309830725866505</v>
      </c>
      <c r="AL30" s="14"/>
      <c r="AM30" s="13">
        <f>($AK$8-$AK$9)/$G$10*G30</f>
        <v>40.16810602376195</v>
      </c>
      <c r="AN30" s="8"/>
      <c r="AT30" s="8"/>
      <c r="AU30" s="8"/>
      <c r="AV30" s="8"/>
      <c r="AY30" s="8">
        <f>SUM(AY28:AY29)</f>
        <v>6.9241179421914634</v>
      </c>
      <c r="AZ30" s="8"/>
      <c r="BA30" s="8"/>
    </row>
    <row r="34" spans="3:4" x14ac:dyDescent="0.25">
      <c r="C34" t="s">
        <v>42</v>
      </c>
      <c r="D34" t="s">
        <v>43</v>
      </c>
    </row>
    <row r="35" spans="3:4" x14ac:dyDescent="0.25">
      <c r="C35" t="s">
        <v>44</v>
      </c>
      <c r="D35" t="s">
        <v>45</v>
      </c>
    </row>
    <row r="36" spans="3:4" x14ac:dyDescent="0.25">
      <c r="C36" t="s">
        <v>46</v>
      </c>
      <c r="D36" t="s">
        <v>47</v>
      </c>
    </row>
    <row r="37" spans="3:4" x14ac:dyDescent="0.25">
      <c r="C37" t="s">
        <v>48</v>
      </c>
      <c r="D37" t="s">
        <v>49</v>
      </c>
    </row>
    <row r="38" spans="3:4" x14ac:dyDescent="0.25">
      <c r="C38" t="s">
        <v>50</v>
      </c>
      <c r="D38" t="s">
        <v>51</v>
      </c>
    </row>
    <row r="39" spans="3:4" x14ac:dyDescent="0.25">
      <c r="C39" t="s">
        <v>52</v>
      </c>
      <c r="D39" t="s">
        <v>53</v>
      </c>
    </row>
    <row r="40" spans="3:4" x14ac:dyDescent="0.25">
      <c r="C40" t="s">
        <v>54</v>
      </c>
      <c r="D40" t="s">
        <v>55</v>
      </c>
    </row>
    <row r="41" spans="3:4" x14ac:dyDescent="0.25">
      <c r="C41" t="s">
        <v>56</v>
      </c>
      <c r="D41" t="s">
        <v>57</v>
      </c>
    </row>
    <row r="42" spans="3:4" x14ac:dyDescent="0.25">
      <c r="C42" t="s">
        <v>58</v>
      </c>
      <c r="D42" t="s">
        <v>59</v>
      </c>
    </row>
    <row r="43" spans="3:4" x14ac:dyDescent="0.25">
      <c r="C43" t="s">
        <v>60</v>
      </c>
      <c r="D43" t="s">
        <v>61</v>
      </c>
    </row>
    <row r="44" spans="3:4" x14ac:dyDescent="0.25">
      <c r="C44" t="s">
        <v>62</v>
      </c>
      <c r="D44" t="s">
        <v>63</v>
      </c>
    </row>
    <row r="45" spans="3:4" x14ac:dyDescent="0.25">
      <c r="C45" t="s">
        <v>64</v>
      </c>
      <c r="D45" t="s">
        <v>65</v>
      </c>
    </row>
    <row r="46" spans="3:4" x14ac:dyDescent="0.25">
      <c r="C46" t="s">
        <v>66</v>
      </c>
      <c r="D46" t="s">
        <v>67</v>
      </c>
    </row>
    <row r="47" spans="3:4" x14ac:dyDescent="0.25">
      <c r="C47" t="s">
        <v>68</v>
      </c>
      <c r="D47" t="s">
        <v>69</v>
      </c>
    </row>
    <row r="48" spans="3:4" x14ac:dyDescent="0.25">
      <c r="C48" t="s">
        <v>70</v>
      </c>
      <c r="D48" t="s">
        <v>71</v>
      </c>
    </row>
    <row r="49" spans="3:14" x14ac:dyDescent="0.25">
      <c r="C49" t="s">
        <v>72</v>
      </c>
      <c r="D49" t="s">
        <v>73</v>
      </c>
    </row>
    <row r="50" spans="3:14" x14ac:dyDescent="0.25">
      <c r="C50" t="s">
        <v>74</v>
      </c>
      <c r="D50" t="s">
        <v>75</v>
      </c>
    </row>
    <row r="51" spans="3:14" x14ac:dyDescent="0.25">
      <c r="C51" t="s">
        <v>76</v>
      </c>
      <c r="D51" t="s">
        <v>77</v>
      </c>
    </row>
    <row r="52" spans="3:14" x14ac:dyDescent="0.25">
      <c r="C52" t="s">
        <v>78</v>
      </c>
      <c r="D52" t="s">
        <v>79</v>
      </c>
    </row>
    <row r="53" spans="3:14" x14ac:dyDescent="0.25">
      <c r="C53" t="s">
        <v>80</v>
      </c>
      <c r="D53" t="s">
        <v>81</v>
      </c>
    </row>
    <row r="54" spans="3:14" x14ac:dyDescent="0.25">
      <c r="C54" t="s">
        <v>82</v>
      </c>
      <c r="D54" s="16" t="s">
        <v>83</v>
      </c>
      <c r="E54" s="17"/>
      <c r="F54" s="17"/>
      <c r="G54" s="17"/>
      <c r="H54" s="17"/>
      <c r="I54" s="17"/>
    </row>
    <row r="55" spans="3:14" x14ac:dyDescent="0.25">
      <c r="C55" t="s">
        <v>84</v>
      </c>
      <c r="D55" t="s">
        <v>85</v>
      </c>
    </row>
    <row r="56" spans="3:14" x14ac:dyDescent="0.25">
      <c r="C56" t="s">
        <v>86</v>
      </c>
      <c r="D56" t="s">
        <v>87</v>
      </c>
    </row>
    <row r="57" spans="3:14" x14ac:dyDescent="0.25">
      <c r="C57" t="s">
        <v>88</v>
      </c>
      <c r="D57" t="s">
        <v>89</v>
      </c>
    </row>
    <row r="58" spans="3:14" x14ac:dyDescent="0.25">
      <c r="C58" t="s">
        <v>90</v>
      </c>
      <c r="D58" t="s">
        <v>51</v>
      </c>
    </row>
    <row r="59" spans="3:14" x14ac:dyDescent="0.25">
      <c r="C59" t="s">
        <v>91</v>
      </c>
      <c r="D59" t="s">
        <v>75</v>
      </c>
    </row>
    <row r="60" spans="3:14" x14ac:dyDescent="0.25">
      <c r="C60" t="s">
        <v>92</v>
      </c>
      <c r="D60" t="s">
        <v>93</v>
      </c>
    </row>
    <row r="61" spans="3:14" x14ac:dyDescent="0.25">
      <c r="C61" t="s">
        <v>94</v>
      </c>
      <c r="D61" t="s">
        <v>95</v>
      </c>
    </row>
    <row r="62" spans="3:14" x14ac:dyDescent="0.25">
      <c r="C62" t="s">
        <v>96</v>
      </c>
      <c r="D62" t="s">
        <v>97</v>
      </c>
    </row>
    <row r="63" spans="3:14" x14ac:dyDescent="0.25">
      <c r="C63" t="s">
        <v>98</v>
      </c>
      <c r="D63" t="s">
        <v>99</v>
      </c>
    </row>
    <row r="64" spans="3:14" x14ac:dyDescent="0.25">
      <c r="C64" t="s">
        <v>100</v>
      </c>
      <c r="D64" s="16" t="s">
        <v>101</v>
      </c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3:14" x14ac:dyDescent="0.25">
      <c r="C65" t="s">
        <v>40</v>
      </c>
      <c r="D65" s="16" t="s">
        <v>102</v>
      </c>
      <c r="E65" s="17"/>
      <c r="F65" s="17"/>
      <c r="G65" s="17"/>
      <c r="H65" s="17"/>
      <c r="I65" s="17"/>
      <c r="J65" s="17"/>
      <c r="K65" s="17"/>
      <c r="L65" s="17"/>
      <c r="M65" s="17"/>
      <c r="N65" s="17"/>
    </row>
    <row r="66" spans="3:14" x14ac:dyDescent="0.25">
      <c r="C66" t="s">
        <v>46</v>
      </c>
      <c r="D66" t="s">
        <v>47</v>
      </c>
    </row>
  </sheetData>
  <mergeCells count="2">
    <mergeCell ref="D4:X4"/>
    <mergeCell ref="Z4:AL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61FF4-0935-407B-8F97-A87EC76D0421}">
  <dimension ref="A1:BA66"/>
  <sheetViews>
    <sheetView workbookViewId="0">
      <selection activeCell="J32" sqref="J32"/>
    </sheetView>
  </sheetViews>
  <sheetFormatPr defaultRowHeight="15" x14ac:dyDescent="0.25"/>
  <cols>
    <col min="39" max="39" width="11.5703125" customWidth="1"/>
    <col min="52" max="52" width="10.5703125" customWidth="1"/>
  </cols>
  <sheetData>
    <row r="1" spans="1:53" x14ac:dyDescent="0.25">
      <c r="A1" t="s">
        <v>140</v>
      </c>
      <c r="E1" s="1" t="s">
        <v>141</v>
      </c>
    </row>
    <row r="2" spans="1:53" x14ac:dyDescent="0.25">
      <c r="A2" t="s">
        <v>142</v>
      </c>
    </row>
    <row r="4" spans="1:53" x14ac:dyDescent="0.25">
      <c r="D4" s="53" t="s">
        <v>2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Z4" s="53" t="s">
        <v>3</v>
      </c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</row>
    <row r="6" spans="1:53" x14ac:dyDescent="0.25">
      <c r="V6" t="s">
        <v>26</v>
      </c>
      <c r="AM6" s="4" t="s">
        <v>107</v>
      </c>
      <c r="AO6" t="s">
        <v>143</v>
      </c>
      <c r="AP6" t="s">
        <v>144</v>
      </c>
      <c r="AU6" t="s">
        <v>145</v>
      </c>
      <c r="AV6" t="s">
        <v>111</v>
      </c>
      <c r="AW6" t="s">
        <v>112</v>
      </c>
      <c r="AZ6" t="s">
        <v>146</v>
      </c>
    </row>
    <row r="7" spans="1:53" x14ac:dyDescent="0.25">
      <c r="A7" t="s">
        <v>5</v>
      </c>
      <c r="B7" t="s">
        <v>6</v>
      </c>
      <c r="C7" t="s">
        <v>7</v>
      </c>
      <c r="D7" t="s">
        <v>147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115</v>
      </c>
      <c r="U7" t="s">
        <v>116</v>
      </c>
      <c r="V7" t="s">
        <v>134</v>
      </c>
      <c r="W7" t="s">
        <v>28</v>
      </c>
      <c r="X7" t="s">
        <v>29</v>
      </c>
      <c r="Z7" s="4" t="s">
        <v>27</v>
      </c>
      <c r="AA7" t="s">
        <v>30</v>
      </c>
      <c r="AB7" t="s">
        <v>31</v>
      </c>
      <c r="AC7" t="s">
        <v>32</v>
      </c>
      <c r="AD7" t="s">
        <v>33</v>
      </c>
      <c r="AE7" t="s">
        <v>34</v>
      </c>
      <c r="AF7" t="s">
        <v>35</v>
      </c>
      <c r="AG7" t="s">
        <v>36</v>
      </c>
      <c r="AH7" t="s">
        <v>37</v>
      </c>
      <c r="AI7" t="s">
        <v>38</v>
      </c>
      <c r="AJ7" t="s">
        <v>39</v>
      </c>
      <c r="AK7" s="4" t="s">
        <v>40</v>
      </c>
      <c r="AL7" t="s">
        <v>10</v>
      </c>
      <c r="AM7" s="4" t="s">
        <v>41</v>
      </c>
      <c r="AO7" t="s">
        <v>117</v>
      </c>
      <c r="AP7" t="s">
        <v>117</v>
      </c>
      <c r="AQ7" t="s">
        <v>118</v>
      </c>
      <c r="AR7" t="s">
        <v>148</v>
      </c>
      <c r="AS7" t="s">
        <v>149</v>
      </c>
      <c r="AT7" t="s">
        <v>150</v>
      </c>
      <c r="AU7" t="s">
        <v>150</v>
      </c>
      <c r="AV7" t="s">
        <v>123</v>
      </c>
      <c r="AW7" t="s">
        <v>151</v>
      </c>
      <c r="AX7" t="s">
        <v>113</v>
      </c>
      <c r="AY7" t="s">
        <v>125</v>
      </c>
      <c r="AZ7" t="s">
        <v>113</v>
      </c>
      <c r="BA7" t="s">
        <v>114</v>
      </c>
    </row>
    <row r="8" spans="1:53" x14ac:dyDescent="0.25">
      <c r="A8" s="5">
        <v>44284</v>
      </c>
      <c r="B8" s="6">
        <v>0.42141203703703706</v>
      </c>
      <c r="C8">
        <v>10.11</v>
      </c>
      <c r="D8">
        <v>426.11500000000001</v>
      </c>
      <c r="E8">
        <v>394</v>
      </c>
      <c r="F8">
        <v>251.5</v>
      </c>
      <c r="G8" s="8">
        <v>22.86</v>
      </c>
      <c r="H8">
        <v>0.2505</v>
      </c>
      <c r="I8">
        <v>2.444</v>
      </c>
      <c r="J8">
        <v>9</v>
      </c>
      <c r="K8">
        <v>0.625</v>
      </c>
      <c r="L8">
        <v>31.094999999999999</v>
      </c>
      <c r="M8">
        <v>21.484999999999999</v>
      </c>
      <c r="N8">
        <v>24.65</v>
      </c>
      <c r="O8">
        <v>26.689999999999998</v>
      </c>
      <c r="P8">
        <v>7.1822094999999999E-4</v>
      </c>
      <c r="Q8">
        <v>0.95299999999999996</v>
      </c>
      <c r="R8">
        <v>26.03</v>
      </c>
      <c r="S8">
        <v>33.664999999999999</v>
      </c>
      <c r="T8">
        <v>0.27849999999999997</v>
      </c>
      <c r="U8">
        <v>2.44</v>
      </c>
      <c r="V8">
        <v>2E-3</v>
      </c>
      <c r="W8">
        <f>V8*0.04</f>
        <v>8.0000000000000007E-5</v>
      </c>
      <c r="X8">
        <f>((I8/1000/U8)*(1-N8/Q8/2000)+N8/Q8/1000)/(1+I8/1000/(2*U8))*1000</f>
        <v>26.840930136649781</v>
      </c>
      <c r="Z8" s="15">
        <v>1</v>
      </c>
      <c r="AA8" s="8">
        <f>S8/Q8*Z8</f>
        <v>35.325288562434416</v>
      </c>
      <c r="AB8" s="9">
        <f>V8*(AA8/1000-X8/1000)</f>
        <v>1.6968716851569269E-5</v>
      </c>
      <c r="AC8" s="10">
        <f>I8/1000-AB8</f>
        <v>2.4270312831484306E-3</v>
      </c>
      <c r="AD8" s="11">
        <f>1/(((AA8/1000-X8/1000)/(I8/1000-AC8*((AA8+X8)/2000)))+((X8-(N8/Q8))/1000)/(I8/1000-I8/1000*((X8+N8/Q8)/2000)))</f>
        <v>0.25050664342020545</v>
      </c>
      <c r="AE8" s="12">
        <f>(AC8-AC8*((AA8+X8)/2000))/((AA8-X8)/1000)</f>
        <v>0.27716787603325382</v>
      </c>
      <c r="AF8" s="12">
        <f>AE8+V8</f>
        <v>0.27916787603325383</v>
      </c>
      <c r="AG8" s="12">
        <f>AE8/1.6</f>
        <v>0.17322992252078362</v>
      </c>
      <c r="AH8" s="12">
        <f>AG8+W8</f>
        <v>0.17330992252078362</v>
      </c>
      <c r="AI8" s="12">
        <f>U8/1.37</f>
        <v>1.7810218978102188</v>
      </c>
      <c r="AJ8" s="8">
        <f>(E8/Q8*(AI8-I8/1000/2)-G8)/(AI8+I8/1000/2)</f>
        <v>400.03780200599687</v>
      </c>
      <c r="AK8" s="13">
        <f>(AJ8*(AH8-AC8/2)-G8)/(AH8+AC8/2)</f>
        <v>263.48935607324609</v>
      </c>
      <c r="AL8" s="14">
        <f>AK8*Q8</f>
        <v>251.1053563378035</v>
      </c>
      <c r="AM8" s="4"/>
      <c r="AO8">
        <v>743.8</v>
      </c>
      <c r="AP8">
        <v>987.8</v>
      </c>
      <c r="AQ8" s="12">
        <f>P8*1000*(1+(N8-M8)/(Q8*1000))</f>
        <v>0.72060622734181534</v>
      </c>
      <c r="AR8" s="8"/>
      <c r="AS8" s="8"/>
      <c r="AT8" s="8">
        <f>1/(U8*2.024)</f>
        <v>0.20248817469059807</v>
      </c>
      <c r="AU8" s="8"/>
      <c r="AV8" s="8"/>
      <c r="AW8" s="8"/>
      <c r="AX8" s="8"/>
      <c r="AY8" s="8">
        <f>1/AD8</f>
        <v>3.9919101000550219</v>
      </c>
    </row>
    <row r="9" spans="1:53" x14ac:dyDescent="0.25">
      <c r="A9" s="5"/>
      <c r="B9" s="6"/>
      <c r="D9">
        <v>205.22</v>
      </c>
      <c r="E9">
        <v>203</v>
      </c>
      <c r="F9">
        <v>199.5</v>
      </c>
      <c r="G9" s="8">
        <v>0.11499999999999999</v>
      </c>
      <c r="H9">
        <v>0.64200000000000002</v>
      </c>
      <c r="I9">
        <v>5.8680000000000003</v>
      </c>
      <c r="J9">
        <v>8.4499999999999993</v>
      </c>
      <c r="K9">
        <v>0.98</v>
      </c>
      <c r="L9">
        <v>0.16999999999999998</v>
      </c>
      <c r="M9">
        <v>17.62</v>
      </c>
      <c r="N9">
        <v>25.215</v>
      </c>
      <c r="O9">
        <v>26.77</v>
      </c>
      <c r="P9">
        <v>7.1784164999999999E-4</v>
      </c>
      <c r="Q9">
        <v>0.95299999999999996</v>
      </c>
      <c r="R9">
        <v>26.03</v>
      </c>
      <c r="S9">
        <v>33.664999999999999</v>
      </c>
      <c r="T9">
        <v>0.87050000000000005</v>
      </c>
      <c r="U9">
        <v>2.44</v>
      </c>
      <c r="V9">
        <v>3.5000000000000001E-3</v>
      </c>
      <c r="W9">
        <f>V9*0.04</f>
        <v>1.4000000000000001E-4</v>
      </c>
      <c r="X9">
        <f>((I9/1000/U9)*(1-N9/Q9/2000)+N9/Q9/1000)/(1+I9/1000/(2*U9))*1000</f>
        <v>28.797027404434832</v>
      </c>
      <c r="Z9" s="15">
        <v>1</v>
      </c>
      <c r="AA9" s="8">
        <f>S9/Q9*Z9</f>
        <v>35.325288562434416</v>
      </c>
      <c r="AB9" s="9">
        <f>V9*(AA9/1000-X9/1000)</f>
        <v>2.2848914052998539E-5</v>
      </c>
      <c r="AC9" s="10">
        <f>I9/1000-AB9</f>
        <v>5.8451510859470011E-3</v>
      </c>
      <c r="AD9" s="11">
        <f>1/(((AA9/1000-X9/1000)/(I9/1000-AC9*((AA9+X9)/2000)))+((X9-(N9/Q9))/1000)/(I9/1000-I9/1000*((X9+N9/Q9)/2000)))</f>
        <v>0.64141341242168992</v>
      </c>
      <c r="AE9" s="12">
        <f>(AC9-AC9*((AA9+X9)/2000))/((AA9-X9)/1000)</f>
        <v>0.86665478549529718</v>
      </c>
      <c r="AF9" s="12">
        <f>AE9+V9</f>
        <v>0.87015478549529712</v>
      </c>
      <c r="AG9" s="12">
        <f>AE9/1.6</f>
        <v>0.54165924093456075</v>
      </c>
      <c r="AH9" s="12">
        <f>AG9+W9</f>
        <v>0.54179924093456078</v>
      </c>
      <c r="AI9" s="12">
        <f>U9/1.37</f>
        <v>1.7810218978102188</v>
      </c>
      <c r="AJ9" s="8">
        <f>(E9/Q9*(AI9-I9/1000/2)-G9)/(AI9+I9/1000/2)</f>
        <v>212.24641610997551</v>
      </c>
      <c r="AK9" s="13">
        <f>(AJ9*(AH9-AC9/2)-G9)/(AH9+AC9/2)</f>
        <v>209.75778369503075</v>
      </c>
      <c r="AL9" s="14">
        <f>AK9*Q9</f>
        <v>199.8991678613643</v>
      </c>
      <c r="AM9" s="4"/>
      <c r="AO9">
        <v>224</v>
      </c>
      <c r="AQ9" s="12">
        <f>P9*1000*(1+(N9-M9)/(Q9*1000))</f>
        <v>0.72356253912040913</v>
      </c>
      <c r="AR9" s="8">
        <f>AQ9*AO9</f>
        <v>162.07800876297165</v>
      </c>
      <c r="AS9" s="8">
        <f>(AO8-AO9)/AR9</f>
        <v>3.2070976437042304</v>
      </c>
      <c r="AT9" s="8">
        <f>1/(U9*2.024)</f>
        <v>0.20248817469059807</v>
      </c>
      <c r="AU9" s="8">
        <f>AS9-(AT8+AT9)</f>
        <v>2.8021212943230345</v>
      </c>
      <c r="AV9" s="8">
        <f>AU9*2.88</f>
        <v>8.0701093276503393</v>
      </c>
      <c r="AW9" s="8">
        <f>AV9+1/U8+1/U9</f>
        <v>8.8897814587978807</v>
      </c>
      <c r="AX9" s="8">
        <f>1/H8+1/H9</f>
        <v>5.5496483668177659</v>
      </c>
      <c r="AY9" s="8">
        <f>1/AD9</f>
        <v>1.5590568900398383</v>
      </c>
      <c r="AZ9" s="8">
        <f>AW9-AX9</f>
        <v>3.3401330919801149</v>
      </c>
      <c r="BA9" s="8">
        <f>AW9-AY10</f>
        <v>3.3388144687030206</v>
      </c>
    </row>
    <row r="10" spans="1:53" x14ac:dyDescent="0.25">
      <c r="A10" s="5"/>
      <c r="B10" s="6"/>
      <c r="G10" s="8">
        <f>SUM(G8:G9)</f>
        <v>22.974999999999998</v>
      </c>
      <c r="H10">
        <f>SUM(H8:H9)</f>
        <v>0.89250000000000007</v>
      </c>
      <c r="I10">
        <f>SUM(I8:I9)</f>
        <v>8.3120000000000012</v>
      </c>
      <c r="J10">
        <f>AVERAGE(J8:J9)</f>
        <v>8.7249999999999996</v>
      </c>
      <c r="N10">
        <f>AVERAGE(N8:N9)</f>
        <v>24.932499999999997</v>
      </c>
      <c r="P10" s="7"/>
      <c r="Z10" s="15"/>
      <c r="AC10" s="10"/>
      <c r="AD10" s="12">
        <f>SUM(AD8:AD9)</f>
        <v>0.89192005584189538</v>
      </c>
      <c r="AE10" s="12"/>
      <c r="AF10" s="12"/>
      <c r="AG10" s="8"/>
      <c r="AJ10" s="8"/>
      <c r="AK10" s="13">
        <f>AK8-AK9</f>
        <v>53.731572378215333</v>
      </c>
      <c r="AL10" s="14"/>
      <c r="AM10" s="15"/>
      <c r="AN10" s="8"/>
      <c r="AQ10" s="12"/>
      <c r="AR10" s="8"/>
      <c r="AS10" s="8"/>
      <c r="AT10" s="8"/>
      <c r="AU10" s="8"/>
      <c r="AV10" s="8"/>
      <c r="AW10" s="8"/>
      <c r="AX10" s="8"/>
      <c r="AY10" s="8">
        <f>SUM(AY8:AY9)</f>
        <v>5.5509669900948602</v>
      </c>
      <c r="AZ10" s="8"/>
      <c r="BA10" s="8"/>
    </row>
    <row r="11" spans="1:53" x14ac:dyDescent="0.25">
      <c r="A11" s="5"/>
      <c r="B11" s="6"/>
      <c r="G11" s="8"/>
      <c r="P11" s="7"/>
      <c r="Z11" s="15"/>
      <c r="AC11" s="10"/>
      <c r="AE11" s="12"/>
      <c r="AF11" s="12"/>
      <c r="AJ11" s="8"/>
      <c r="AK11" s="13"/>
      <c r="AL11" s="14"/>
      <c r="AM11" s="4"/>
      <c r="AR11" s="8"/>
      <c r="AS11" s="8"/>
      <c r="AT11" s="8"/>
      <c r="AU11" s="8"/>
      <c r="AV11" s="8"/>
      <c r="AW11" s="8"/>
      <c r="AZ11" s="8"/>
      <c r="BA11" s="8"/>
    </row>
    <row r="12" spans="1:53" x14ac:dyDescent="0.25">
      <c r="A12" s="5">
        <v>44284</v>
      </c>
      <c r="B12" s="6">
        <v>0.44009259259259265</v>
      </c>
      <c r="C12">
        <v>10.56</v>
      </c>
      <c r="D12">
        <v>432.61500000000001</v>
      </c>
      <c r="E12">
        <v>399.5</v>
      </c>
      <c r="F12">
        <v>250</v>
      </c>
      <c r="G12" s="8">
        <v>22.914999999999999</v>
      </c>
      <c r="H12">
        <v>0.24149999999999999</v>
      </c>
      <c r="I12">
        <v>3.266</v>
      </c>
      <c r="J12">
        <v>12.49</v>
      </c>
      <c r="K12">
        <v>0.62</v>
      </c>
      <c r="L12">
        <v>31.564999999999998</v>
      </c>
      <c r="M12">
        <v>16.59</v>
      </c>
      <c r="N12">
        <v>20.92</v>
      </c>
      <c r="O12">
        <v>26.689999999999998</v>
      </c>
      <c r="P12">
        <v>7.0541175000000001E-4</v>
      </c>
      <c r="Q12">
        <v>0.95299999999999996</v>
      </c>
      <c r="R12">
        <v>25.89</v>
      </c>
      <c r="S12">
        <v>33.414999999999999</v>
      </c>
      <c r="T12">
        <v>0.26900000000000002</v>
      </c>
      <c r="U12">
        <v>2.44</v>
      </c>
      <c r="V12">
        <v>2E-3</v>
      </c>
      <c r="W12">
        <f>V12*0.04</f>
        <v>8.0000000000000007E-5</v>
      </c>
      <c r="X12">
        <f>((I12/1000/U12)*(1-N12/Q12/2000)+N12/Q12/1000)/(1+I12/1000/(2*U12))*1000</f>
        <v>23.259997459366399</v>
      </c>
      <c r="Z12" s="15">
        <v>0.98699999999999999</v>
      </c>
      <c r="AA12" s="8">
        <f>S12/Q12*Z12</f>
        <v>34.607140608604404</v>
      </c>
      <c r="AB12" s="9">
        <f>V12*(AA12/1000-X12/1000)</f>
        <v>2.2694286298476009E-5</v>
      </c>
      <c r="AC12" s="10">
        <f>I12/1000-AB12</f>
        <v>3.2433057137015238E-3</v>
      </c>
      <c r="AD12" s="11">
        <f t="shared" ref="AD12:AD13" si="0">1/(((AA12/1000-X12/1000)/(I12/1000-AC12*((AA12+X12)/2000)))+((X12-(N12/Q12))/1000)/(I12/1000-I12/1000*((X12+N12/Q12)/2000)))</f>
        <v>0.25081895158297279</v>
      </c>
      <c r="AE12" s="12">
        <f>(AC12-AC12*((AA12+X12)/2000))/((AA12-X12)/1000)</f>
        <v>0.27755579201865604</v>
      </c>
      <c r="AF12" s="12">
        <f>AE12+V12</f>
        <v>0.27955579201865605</v>
      </c>
      <c r="AG12" s="12">
        <f>AE12/1.6</f>
        <v>0.17347237001166002</v>
      </c>
      <c r="AH12" s="12">
        <f>AG12+W12</f>
        <v>0.17355237001166002</v>
      </c>
      <c r="AI12" s="12">
        <f>U12/1.37</f>
        <v>1.7810218978102188</v>
      </c>
      <c r="AJ12" s="8">
        <f>(E12/Q12*(AI12-I12/1000/2)-G12)/(AI12+I12/1000/2)</f>
        <v>405.58007497550545</v>
      </c>
      <c r="AK12" s="13">
        <f>(AJ12*(AH12-AC12/2)-G12)/(AH12+AC12/2)</f>
        <v>267.25808077937171</v>
      </c>
      <c r="AL12" s="14">
        <f>AK12*Q12</f>
        <v>254.69695098274124</v>
      </c>
      <c r="AM12" s="4"/>
      <c r="AO12">
        <v>733.7</v>
      </c>
      <c r="AP12">
        <v>966.1</v>
      </c>
      <c r="AQ12" s="12">
        <f>P12*1000*(1+(N12-M12)/(Q12*1000))</f>
        <v>0.70861682122507863</v>
      </c>
      <c r="AR12" s="8"/>
      <c r="AS12" s="8"/>
      <c r="AT12" s="8">
        <f>1/(U12*2.024)</f>
        <v>0.20248817469059807</v>
      </c>
      <c r="AU12" s="8"/>
      <c r="AV12" s="8"/>
      <c r="AW12" s="8"/>
      <c r="AX12" s="8"/>
      <c r="AY12" s="8">
        <f>1/AD12</f>
        <v>3.9869395581505431</v>
      </c>
      <c r="AZ12" s="8"/>
      <c r="BA12" s="8"/>
    </row>
    <row r="13" spans="1:53" x14ac:dyDescent="0.25">
      <c r="A13" s="5"/>
      <c r="B13" s="6"/>
      <c r="D13">
        <v>210.77500000000001</v>
      </c>
      <c r="E13">
        <v>208</v>
      </c>
      <c r="F13">
        <v>203.5</v>
      </c>
      <c r="G13" s="8">
        <v>-4.9999999999999975E-3</v>
      </c>
      <c r="H13">
        <v>0.46850000000000003</v>
      </c>
      <c r="I13">
        <v>6.5195000000000007</v>
      </c>
      <c r="J13">
        <v>12.895</v>
      </c>
      <c r="K13">
        <v>0.97499999999999998</v>
      </c>
      <c r="L13">
        <v>-4.9999999999999975E-3</v>
      </c>
      <c r="M13">
        <v>11.91</v>
      </c>
      <c r="N13">
        <v>20.509999999999998</v>
      </c>
      <c r="O13">
        <v>26.75</v>
      </c>
      <c r="P13">
        <v>7.0870200000000007E-4</v>
      </c>
      <c r="Q13">
        <v>0.95299999999999996</v>
      </c>
      <c r="R13">
        <v>25.89</v>
      </c>
      <c r="S13">
        <v>33.414999999999999</v>
      </c>
      <c r="T13">
        <v>0.58050000000000002</v>
      </c>
      <c r="U13">
        <v>2.44</v>
      </c>
      <c r="V13">
        <v>3.5000000000000001E-3</v>
      </c>
      <c r="W13">
        <f>V13*0.04</f>
        <v>1.4000000000000001E-4</v>
      </c>
      <c r="X13">
        <f>((I13/1000/U13)*(1-N13/Q13/2000)+N13/Q13/1000)/(1+I13/1000/(2*U13))*1000</f>
        <v>24.132445245735873</v>
      </c>
      <c r="Z13" s="15">
        <v>0.98699999999999999</v>
      </c>
      <c r="AA13" s="8">
        <f>S13/Q13*Z13</f>
        <v>34.607140608604404</v>
      </c>
      <c r="AB13" s="9">
        <f>V13*(AA13/1000-X13/1000)</f>
        <v>3.6661433770039866E-5</v>
      </c>
      <c r="AC13" s="10">
        <f>I13/1000-AB13</f>
        <v>6.4828385662299608E-3</v>
      </c>
      <c r="AD13" s="11">
        <f t="shared" si="0"/>
        <v>0.48429867935633925</v>
      </c>
      <c r="AE13" s="12">
        <f>(AC13-AC13*((AA13+X13)/2000))/((AA13-X13)/1000)</f>
        <v>0.60072763187609379</v>
      </c>
      <c r="AF13" s="12">
        <f>AE13+V13</f>
        <v>0.60422763187609374</v>
      </c>
      <c r="AG13" s="12">
        <f>AE13/1.6</f>
        <v>0.37545476992255861</v>
      </c>
      <c r="AH13" s="12">
        <f>AG13+W13</f>
        <v>0.37559476992255858</v>
      </c>
      <c r="AI13" s="12">
        <f>U13/1.37</f>
        <v>1.7810218978102188</v>
      </c>
      <c r="AJ13" s="8">
        <f>(E13/Q13*(AI13-I13/1000/2)-G13)/(AI13+I13/1000/2)</f>
        <v>217.46345167990319</v>
      </c>
      <c r="AK13" s="13">
        <f>(AJ13*(AH13-AC13/2)-G13)/(AH13+AC13/2)</f>
        <v>213.75530422376536</v>
      </c>
      <c r="AL13" s="14">
        <f>AK13*Q13</f>
        <v>203.70880492524839</v>
      </c>
      <c r="AM13" s="4"/>
      <c r="AO13">
        <v>207.3</v>
      </c>
      <c r="AQ13" s="12">
        <f>P13*1000*(1+(N13-M13)/(Q13*1000))</f>
        <v>0.71509742203567683</v>
      </c>
      <c r="AR13" s="8">
        <f t="shared" ref="AR13" si="1">AQ13*AO13</f>
        <v>148.23969558799581</v>
      </c>
      <c r="AS13" s="8">
        <f t="shared" ref="AS13" si="2">(AO12-AO13)/AR13</f>
        <v>3.5510056730218151</v>
      </c>
      <c r="AT13" s="8">
        <f>1/(U13*2.024)</f>
        <v>0.20248817469059807</v>
      </c>
      <c r="AU13" s="8">
        <f t="shared" ref="AU13" si="3">AS13-(AT12+AT13)</f>
        <v>3.1460293236406192</v>
      </c>
      <c r="AV13" s="8">
        <f t="shared" ref="AV13" si="4">AU13*2.88</f>
        <v>9.0605644520849822</v>
      </c>
      <c r="AW13" s="8">
        <f>AV13+1/U12+1/U13</f>
        <v>9.8802365832325236</v>
      </c>
      <c r="AX13" s="8">
        <f>1/H12+1/H13</f>
        <v>6.2752584677321348</v>
      </c>
      <c r="AY13" s="8">
        <f>1/AD13</f>
        <v>2.0648414761920422</v>
      </c>
      <c r="AZ13" s="8">
        <f t="shared" ref="AZ13" si="5">AW13-AX13</f>
        <v>3.6049781155003888</v>
      </c>
      <c r="BA13" s="8">
        <f t="shared" ref="BA13" si="6">AW13-AY14</f>
        <v>3.8284555488899379</v>
      </c>
    </row>
    <row r="14" spans="1:53" x14ac:dyDescent="0.25">
      <c r="A14" s="5"/>
      <c r="B14" s="6"/>
      <c r="G14" s="8">
        <f>SUM(G12:G13)</f>
        <v>22.91</v>
      </c>
      <c r="H14">
        <f>SUM(H12:H13)</f>
        <v>0.71</v>
      </c>
      <c r="I14">
        <f>SUM(I12:I13)</f>
        <v>9.7855000000000008</v>
      </c>
      <c r="J14">
        <f>AVERAGE(J12:J13)</f>
        <v>12.692499999999999</v>
      </c>
      <c r="N14">
        <f>AVERAGE(N12:N13)</f>
        <v>20.715</v>
      </c>
      <c r="P14" s="7"/>
      <c r="Z14" s="15"/>
      <c r="AA14" s="8"/>
      <c r="AC14" s="10"/>
      <c r="AD14" s="12">
        <f>SUM(AD12:AD13)</f>
        <v>0.73511763093931204</v>
      </c>
      <c r="AE14" s="12"/>
      <c r="AF14" s="12"/>
      <c r="AG14" s="8"/>
      <c r="AH14" s="7"/>
      <c r="AJ14" s="8"/>
      <c r="AK14" s="13">
        <f>AK12-AK13</f>
        <v>53.502776555606346</v>
      </c>
      <c r="AL14" s="14"/>
      <c r="AM14" s="13">
        <f>($AK$8-$AK$9)/$G$10*G14</f>
        <v>53.57955704830961</v>
      </c>
      <c r="AN14" s="8"/>
      <c r="AO14" s="7"/>
      <c r="AR14" s="8"/>
      <c r="AS14" s="8"/>
      <c r="AT14" s="8"/>
      <c r="AU14" s="8"/>
      <c r="AV14" s="8"/>
      <c r="AW14" s="8"/>
      <c r="AY14" s="8">
        <f>SUM(AY12:AY13)</f>
        <v>6.0517810343425857</v>
      </c>
      <c r="AZ14" s="8"/>
      <c r="BA14" s="8"/>
    </row>
    <row r="15" spans="1:53" x14ac:dyDescent="0.25">
      <c r="A15" s="5"/>
      <c r="B15" s="6"/>
      <c r="G15" s="8"/>
      <c r="P15" s="7"/>
      <c r="Z15" s="15"/>
      <c r="AK15" s="13"/>
      <c r="AL15" s="14"/>
      <c r="AM15" s="13"/>
      <c r="AN15" s="7"/>
    </row>
    <row r="16" spans="1:53" x14ac:dyDescent="0.25">
      <c r="A16" s="5">
        <v>44284</v>
      </c>
      <c r="B16" s="6">
        <v>0.45876157407407409</v>
      </c>
      <c r="C16">
        <v>11.01</v>
      </c>
      <c r="D16">
        <v>437.25</v>
      </c>
      <c r="E16">
        <v>404</v>
      </c>
      <c r="F16">
        <v>247</v>
      </c>
      <c r="G16" s="8">
        <v>22.45</v>
      </c>
      <c r="H16">
        <v>0.22600000000000001</v>
      </c>
      <c r="I16">
        <v>3.645</v>
      </c>
      <c r="J16">
        <v>14.89</v>
      </c>
      <c r="K16">
        <v>0.61</v>
      </c>
      <c r="L16">
        <v>31.17</v>
      </c>
      <c r="M16">
        <v>13.51</v>
      </c>
      <c r="N16">
        <v>18.39</v>
      </c>
      <c r="O16">
        <v>26.69</v>
      </c>
      <c r="P16" s="7">
        <v>6.9753879999999999E-4</v>
      </c>
      <c r="Q16">
        <v>0.95299999999999996</v>
      </c>
      <c r="R16">
        <v>25.84</v>
      </c>
      <c r="S16">
        <v>33.29</v>
      </c>
      <c r="T16">
        <v>0.25</v>
      </c>
      <c r="U16">
        <v>2.44</v>
      </c>
      <c r="V16">
        <v>2E-3</v>
      </c>
      <c r="W16">
        <f>V16*0.04</f>
        <v>8.0000000000000007E-5</v>
      </c>
      <c r="X16">
        <f>((I16/1000/U16)*(1-N16/Q16/2000)+N16/Q16/1000)/(1+I16/1000/(2*U16))*1000</f>
        <v>20.760889180986993</v>
      </c>
      <c r="Z16" s="15">
        <v>0.97499999999999998</v>
      </c>
      <c r="AA16" s="8">
        <f>S16/Q16*Z16</f>
        <v>34.05849947534103</v>
      </c>
      <c r="AB16" s="9">
        <f>V16*(AA16/1000-X16/1000)</f>
        <v>2.6595220588708072E-5</v>
      </c>
      <c r="AC16" s="10">
        <f>I16/1000-AB16</f>
        <v>3.6184047794112916E-3</v>
      </c>
      <c r="AD16" s="11">
        <f>1/(((AA16/1000-X16/1000)/(I16/1000-AC16*((AA16+X16)/2000)))+((X16-(N16/Q16))/1000)/(I16/1000-I16/1000*((X16+N16/Q16)/2000)))</f>
        <v>0.24038132929053327</v>
      </c>
      <c r="AE16" s="12">
        <f>(AC16-AC16*((AA16+X16)/2000))/((AA16-X16)/1000)</f>
        <v>0.26465096604209176</v>
      </c>
      <c r="AF16" s="12">
        <f>AE16+V16</f>
        <v>0.26665096604209176</v>
      </c>
      <c r="AG16" s="12">
        <f>AE16/1.6</f>
        <v>0.16540685377630734</v>
      </c>
      <c r="AH16" s="12">
        <f>AG16+W16</f>
        <v>0.16548685377630734</v>
      </c>
      <c r="AI16" s="12">
        <f>U16/1.37</f>
        <v>1.7810218978102188</v>
      </c>
      <c r="AJ16" s="8">
        <f>(E16/Q16*(AI16-I16/1000/2)-G16)/(AI16+I16/1000/2)</f>
        <v>410.46550415109351</v>
      </c>
      <c r="AK16" s="13">
        <f>(AJ16*(AH16-AC16/2)-G16)/(AH16+AC16/2)</f>
        <v>267.39440677715351</v>
      </c>
      <c r="AL16" s="14">
        <f>AK16*Q16</f>
        <v>254.82686965862729</v>
      </c>
      <c r="AM16" s="13"/>
      <c r="AO16">
        <v>768</v>
      </c>
      <c r="AP16">
        <v>990.3</v>
      </c>
      <c r="AQ16" s="12">
        <f>P16*1000*(1+(N16-M16)/(Q16*1000))</f>
        <v>0.70111066709758663</v>
      </c>
      <c r="AR16" s="8"/>
      <c r="AS16" s="8"/>
      <c r="AT16" s="8">
        <f>1/(U16*2.024)</f>
        <v>0.20248817469059807</v>
      </c>
      <c r="AU16" s="8"/>
      <c r="AV16" s="8"/>
      <c r="AW16" s="8"/>
      <c r="AX16" s="8"/>
      <c r="AY16" s="8">
        <f>1/AD16</f>
        <v>4.1600568686071497</v>
      </c>
      <c r="AZ16" s="8"/>
      <c r="BA16" s="8"/>
    </row>
    <row r="17" spans="1:53" x14ac:dyDescent="0.25">
      <c r="A17" s="5"/>
      <c r="B17" s="6"/>
      <c r="D17">
        <v>212.72</v>
      </c>
      <c r="E17">
        <v>210</v>
      </c>
      <c r="F17">
        <v>204</v>
      </c>
      <c r="G17" s="8">
        <v>0.23</v>
      </c>
      <c r="H17">
        <v>0.35799999999999998</v>
      </c>
      <c r="I17">
        <v>5.8970000000000002</v>
      </c>
      <c r="J17">
        <v>15.27</v>
      </c>
      <c r="K17">
        <v>0.95</v>
      </c>
      <c r="L17">
        <v>0.33</v>
      </c>
      <c r="M17">
        <v>10.130000000000001</v>
      </c>
      <c r="N17">
        <v>18.010000000000002</v>
      </c>
      <c r="O17">
        <v>26.76</v>
      </c>
      <c r="P17" s="7">
        <v>7.0189890000000004E-4</v>
      </c>
      <c r="Q17">
        <v>0.95299999999999996</v>
      </c>
      <c r="R17">
        <v>25.84</v>
      </c>
      <c r="S17">
        <v>33.29</v>
      </c>
      <c r="T17">
        <v>0.41899999999999998</v>
      </c>
      <c r="U17">
        <v>2.44</v>
      </c>
      <c r="V17">
        <v>3.5000000000000001E-3</v>
      </c>
      <c r="W17">
        <f>V17*0.04</f>
        <v>1.4000000000000001E-4</v>
      </c>
      <c r="X17">
        <f>((I17/1000/U17)*(1-N17/Q17/2000)+N17/Q17/1000)/(1+I17/1000/(2*U17))*1000</f>
        <v>21.266484348247523</v>
      </c>
      <c r="Z17" s="15">
        <v>0.97499999999999998</v>
      </c>
      <c r="AA17" s="8">
        <f>S17/Q17*Z17</f>
        <v>34.05849947534103</v>
      </c>
      <c r="AB17" s="9">
        <f>V17*(AA17/1000-X17/1000)</f>
        <v>4.4772052944827272E-5</v>
      </c>
      <c r="AC17" s="10">
        <f>I17/1000-AB17</f>
        <v>5.8522279470551728E-3</v>
      </c>
      <c r="AD17" s="11">
        <f>1/(((AA17/1000-X17/1000)/(I17/1000-AC17*((AA17+X17)/2000)))+((X17-(N17/Q17))/1000)/(I17/1000-I17/1000*((X17+N17/Q17)/2000)))</f>
        <v>0.37874351683142943</v>
      </c>
      <c r="AE17" s="12">
        <f>(AC17-AC17*((AA17+X17)/2000))/((AA17-X17)/1000)</f>
        <v>0.44483536661488404</v>
      </c>
      <c r="AF17" s="12">
        <f>AE17+V17</f>
        <v>0.44833536661488405</v>
      </c>
      <c r="AG17" s="12">
        <f>AE17/1.6</f>
        <v>0.27802210413430251</v>
      </c>
      <c r="AH17" s="12">
        <f>AG17+W17</f>
        <v>0.27816210413430248</v>
      </c>
      <c r="AI17" s="12">
        <f>U17/1.37</f>
        <v>1.7810218978102188</v>
      </c>
      <c r="AJ17" s="8">
        <f>(E17/Q17*(AI17-I17/1000/2)-G17)/(AI17+I17/1000/2)</f>
        <v>219.49944229344121</v>
      </c>
      <c r="AK17" s="13">
        <f>(AJ17*(AH17-AC17/2)-G17)/(AH17+AC17/2)</f>
        <v>214.11123790427078</v>
      </c>
      <c r="AL17" s="14">
        <f>AK17*Q17</f>
        <v>204.04800972277005</v>
      </c>
      <c r="AM17" s="13"/>
      <c r="AO17">
        <v>215.3</v>
      </c>
      <c r="AQ17" s="12">
        <f>P17*1000*(1+(N17-M17)/(Q17*1000))</f>
        <v>0.70770263906820563</v>
      </c>
      <c r="AR17" s="8">
        <f t="shared" ref="AR17" si="7">AQ17*AO17</f>
        <v>152.36837819138469</v>
      </c>
      <c r="AS17" s="8">
        <f t="shared" ref="AS17" si="8">(AO16-AO17)/AR17</f>
        <v>3.6273930756536146</v>
      </c>
      <c r="AT17" s="8">
        <f>1/(U17*2.024)</f>
        <v>0.20248817469059807</v>
      </c>
      <c r="AU17" s="8">
        <f t="shared" ref="AU17" si="9">AS17-(AT16+AT17)</f>
        <v>3.2224167262724186</v>
      </c>
      <c r="AV17" s="8">
        <f t="shared" ref="AV17" si="10">AU17*2.88</f>
        <v>9.2805601716645647</v>
      </c>
      <c r="AW17" s="8">
        <f>AV17+1/U16+1/U17</f>
        <v>10.100232302812106</v>
      </c>
      <c r="AX17" s="8">
        <f>1/H16+1/H17</f>
        <v>7.2180748504474215</v>
      </c>
      <c r="AY17" s="8">
        <f>1/AD17</f>
        <v>2.6403092213062975</v>
      </c>
      <c r="AZ17" s="8">
        <f t="shared" ref="AZ17" si="11">AW17-AX17</f>
        <v>2.8821574523646847</v>
      </c>
      <c r="BA17" s="8">
        <f t="shared" ref="BA17" si="12">AW17-AY18</f>
        <v>3.2998662128986584</v>
      </c>
    </row>
    <row r="18" spans="1:53" x14ac:dyDescent="0.25">
      <c r="A18" s="5"/>
      <c r="B18" s="6"/>
      <c r="G18" s="8">
        <f>SUM(G16:G17)</f>
        <v>22.68</v>
      </c>
      <c r="H18">
        <f>SUM(H16:H17)</f>
        <v>0.58399999999999996</v>
      </c>
      <c r="I18">
        <f>SUM(I16:I17)</f>
        <v>9.5419999999999998</v>
      </c>
      <c r="J18">
        <f>AVERAGE(J16:J17)</f>
        <v>15.08</v>
      </c>
      <c r="N18">
        <f>AVERAGE(N16:N17)</f>
        <v>18.200000000000003</v>
      </c>
      <c r="P18" s="7"/>
      <c r="Z18" s="15"/>
      <c r="AC18" s="10"/>
      <c r="AD18" s="12">
        <f>SUM(AD16:AD17)</f>
        <v>0.61912484612196272</v>
      </c>
      <c r="AE18" s="12"/>
      <c r="AF18" s="12"/>
      <c r="AG18" s="8"/>
      <c r="AJ18" s="8"/>
      <c r="AK18" s="13">
        <f>AK16-AK17</f>
        <v>53.283168872882726</v>
      </c>
      <c r="AL18" s="14"/>
      <c r="AM18" s="13">
        <f>($AK$8-$AK$9)/$G$10*G18</f>
        <v>53.041656650181665</v>
      </c>
      <c r="AN18" s="8"/>
      <c r="AR18" s="8"/>
      <c r="AS18" s="8"/>
      <c r="AT18" s="8"/>
      <c r="AU18" s="8"/>
      <c r="AV18" s="8"/>
      <c r="AW18" s="8"/>
      <c r="AY18" s="8">
        <f>SUM(AY16:AY17)</f>
        <v>6.8003660899134477</v>
      </c>
      <c r="AZ18" s="8"/>
      <c r="BA18" s="8"/>
    </row>
    <row r="19" spans="1:53" x14ac:dyDescent="0.25">
      <c r="A19" s="5"/>
      <c r="B19" s="6"/>
      <c r="G19" s="8"/>
      <c r="P19" s="7"/>
      <c r="Z19" s="15"/>
      <c r="AC19" s="10"/>
      <c r="AE19" s="12"/>
      <c r="AF19" s="12"/>
      <c r="AJ19" s="8"/>
      <c r="AK19" s="13"/>
      <c r="AL19" s="14"/>
      <c r="AM19" s="13"/>
      <c r="AN19" s="7"/>
    </row>
    <row r="20" spans="1:53" x14ac:dyDescent="0.25">
      <c r="A20" s="5">
        <v>44284</v>
      </c>
      <c r="B20" s="6">
        <v>0.4803472222222222</v>
      </c>
      <c r="C20">
        <v>11.52</v>
      </c>
      <c r="D20">
        <v>441.01</v>
      </c>
      <c r="E20">
        <v>408</v>
      </c>
      <c r="F20">
        <v>221</v>
      </c>
      <c r="G20" s="8">
        <v>21.86</v>
      </c>
      <c r="H20">
        <v>0.185</v>
      </c>
      <c r="I20">
        <v>3.512</v>
      </c>
      <c r="J20">
        <v>17.57</v>
      </c>
      <c r="K20">
        <v>0.54</v>
      </c>
      <c r="L20">
        <v>30.47</v>
      </c>
      <c r="M20">
        <v>10.78</v>
      </c>
      <c r="N20">
        <v>15.55</v>
      </c>
      <c r="O20">
        <v>26.68</v>
      </c>
      <c r="P20" s="7">
        <v>6.925306E-4</v>
      </c>
      <c r="Q20">
        <v>0.95299999999999996</v>
      </c>
      <c r="R20">
        <v>25.76</v>
      </c>
      <c r="S20">
        <v>33.130000000000003</v>
      </c>
      <c r="T20">
        <v>0.20100000000000001</v>
      </c>
      <c r="U20">
        <v>2.44</v>
      </c>
      <c r="V20">
        <v>2E-3</v>
      </c>
      <c r="W20">
        <f>V20*0.04</f>
        <v>8.0000000000000007E-5</v>
      </c>
      <c r="X20">
        <f>((I20/1000/U20)*(1-N20/Q20/2000)+N20/Q20/1000)/(1+I20/1000/(2*U20))*1000</f>
        <v>17.731734432182776</v>
      </c>
      <c r="Z20" s="15">
        <v>0.90800000000000003</v>
      </c>
      <c r="AA20" s="8">
        <f>S20/Q20*Z20</f>
        <v>31.565624344176292</v>
      </c>
      <c r="AB20" s="9">
        <f>V20*(AA20/1000-X20/1000)</f>
        <v>2.7667779823987036E-5</v>
      </c>
      <c r="AC20" s="10">
        <f>I20/1000-AB20</f>
        <v>3.484332220176013E-3</v>
      </c>
      <c r="AD20" s="11">
        <f t="shared" ref="AD20:AD21" si="13">1/(((AA20/1000-X20/1000)/(I20/1000-AC20*((AA20+X20)/2000)))+((X20-(N20/Q20))/1000)/(I20/1000-I20/1000*((X20+N20/Q20)/2000)))</f>
        <v>0.2248397281269636</v>
      </c>
      <c r="AE20" s="12">
        <f>(AC20-AC20*((AA20+X20)/2000))/((AA20-X20)/1000)</f>
        <v>0.2456610580262498</v>
      </c>
      <c r="AF20" s="12">
        <f>AE20+V20</f>
        <v>0.2476610580262498</v>
      </c>
      <c r="AG20" s="12">
        <f>AE20/1.6</f>
        <v>0.15353816126640613</v>
      </c>
      <c r="AH20" s="12">
        <f>AG20+W20</f>
        <v>0.15361816126640612</v>
      </c>
      <c r="AI20" s="12">
        <f>U20/1.37</f>
        <v>1.7810218978102188</v>
      </c>
      <c r="AJ20" s="8">
        <f>(E20/Q20*(AI20-I20/1000/2)-G20)/(AI20+I20/1000/2)</f>
        <v>415.01657552796888</v>
      </c>
      <c r="AK20" s="13">
        <f>(AJ20*(AH20-AC20/2)-G20)/(AH20+AC20/2)</f>
        <v>265.00366026460028</v>
      </c>
      <c r="AL20" s="14">
        <f>AK20*Q20</f>
        <v>252.54848823216406</v>
      </c>
      <c r="AM20" s="13"/>
      <c r="AO20">
        <v>781.4</v>
      </c>
      <c r="AP20">
        <v>993.6</v>
      </c>
      <c r="AQ20" s="12">
        <f>P20*1000*(1+(N20-M20)/(Q20*1000))</f>
        <v>0.69599688642392454</v>
      </c>
      <c r="AR20" s="8"/>
      <c r="AS20" s="8"/>
      <c r="AT20" s="8">
        <f>1/(U20*2.024)</f>
        <v>0.20248817469059807</v>
      </c>
      <c r="AU20" s="8"/>
      <c r="AV20" s="8"/>
      <c r="AW20" s="8"/>
      <c r="AX20" s="8"/>
      <c r="AY20" s="8">
        <f>1/AD20</f>
        <v>4.4476125653172609</v>
      </c>
      <c r="AZ20" s="8"/>
      <c r="BA20" s="8"/>
    </row>
    <row r="21" spans="1:53" x14ac:dyDescent="0.25">
      <c r="A21" s="5"/>
      <c r="B21" s="6"/>
      <c r="D21">
        <v>213.5</v>
      </c>
      <c r="E21">
        <v>210</v>
      </c>
      <c r="F21">
        <v>202</v>
      </c>
      <c r="G21" s="8">
        <v>0.38</v>
      </c>
      <c r="H21">
        <v>0.307</v>
      </c>
      <c r="I21">
        <v>6.1909999999999998</v>
      </c>
      <c r="J21">
        <v>18.71</v>
      </c>
      <c r="K21">
        <v>0.94</v>
      </c>
      <c r="L21">
        <v>0.55000000000000004</v>
      </c>
      <c r="M21">
        <v>6</v>
      </c>
      <c r="N21">
        <f>AVERAGE(N19:N20)</f>
        <v>15.55</v>
      </c>
      <c r="O21">
        <v>26.72</v>
      </c>
      <c r="P21" s="7">
        <v>6.9207009999999996E-4</v>
      </c>
      <c r="Q21">
        <v>0.95299999999999996</v>
      </c>
      <c r="R21">
        <v>25.76</v>
      </c>
      <c r="S21">
        <v>33.130000000000003</v>
      </c>
      <c r="T21">
        <v>0.35099999999999998</v>
      </c>
      <c r="U21">
        <v>2.44</v>
      </c>
      <c r="V21">
        <v>3.5000000000000001E-3</v>
      </c>
      <c r="W21">
        <f>V21*0.04</f>
        <v>1.4000000000000001E-4</v>
      </c>
      <c r="X21">
        <f>((I21/1000/U21)*(1-N21/Q21/2000)+N21/Q21/1000)/(1+I21/1000/(2*U21))*1000</f>
        <v>18.809625927701383</v>
      </c>
      <c r="Z21" s="15">
        <v>0.90800000000000003</v>
      </c>
      <c r="AA21" s="8">
        <f>S21/Q21*Z21</f>
        <v>31.565624344176292</v>
      </c>
      <c r="AB21" s="9">
        <f>V21*(AA21/1000-X21/1000)</f>
        <v>4.4645994457662177E-5</v>
      </c>
      <c r="AC21" s="10">
        <f>I21/1000-AB21</f>
        <v>6.1463540055423371E-3</v>
      </c>
      <c r="AD21" s="11">
        <f t="shared" si="13"/>
        <v>0.39633939608235103</v>
      </c>
      <c r="AE21" s="12">
        <f>(AC21-AC21*((AA21+X21)/2000))/((AA21-X21)/1000)</f>
        <v>0.46970387963984317</v>
      </c>
      <c r="AF21" s="12">
        <f>AE21+V21</f>
        <v>0.47320387963984317</v>
      </c>
      <c r="AG21" s="12">
        <f>AE21/1.6</f>
        <v>0.29356492477490198</v>
      </c>
      <c r="AH21" s="12">
        <f>AG21+W21</f>
        <v>0.29370492477490195</v>
      </c>
      <c r="AI21" s="12">
        <f>U21/1.37</f>
        <v>1.7810218978102188</v>
      </c>
      <c r="AJ21" s="8">
        <f>(E21/Q21*(AI21-I21/1000/2)-G21)/(AI21+I21/1000/2)</f>
        <v>219.3791257362509</v>
      </c>
      <c r="AK21" s="13">
        <f>(AJ21*(AH21-AC21/2)-G21)/(AH21+AC21/2)</f>
        <v>213.55530734180559</v>
      </c>
      <c r="AL21" s="14">
        <f>AK21*Q21</f>
        <v>203.51820789674071</v>
      </c>
      <c r="AM21" s="13"/>
      <c r="AO21">
        <v>204.6</v>
      </c>
      <c r="AQ21" s="12">
        <f>P21*1000*(1+(N21-M21)/(Q21*1000))</f>
        <v>0.69900532503147939</v>
      </c>
      <c r="AR21" s="8">
        <f t="shared" ref="AR21" si="14">AQ21*AO21</f>
        <v>143.01648950144067</v>
      </c>
      <c r="AS21" s="8">
        <f t="shared" ref="AS21" si="15">(AO20-AO21)/AR21</f>
        <v>4.0331013718120214</v>
      </c>
      <c r="AT21" s="8">
        <f>1/(U21*2.024)</f>
        <v>0.20248817469059807</v>
      </c>
      <c r="AU21" s="8">
        <f t="shared" ref="AU21" si="16">AS21-(AT20+AT21)</f>
        <v>3.6281250224308255</v>
      </c>
      <c r="AV21" s="8">
        <f t="shared" ref="AV21" si="17">AU21*2.88</f>
        <v>10.449000064600776</v>
      </c>
      <c r="AW21" s="8">
        <f>AV21+1/U20+1/U21</f>
        <v>11.268672195748318</v>
      </c>
      <c r="AX21" s="8">
        <f>1/H20+1/H21</f>
        <v>8.662734395633418</v>
      </c>
      <c r="AY21" s="8">
        <f>1/AD21</f>
        <v>2.523090083611625</v>
      </c>
      <c r="AZ21" s="8">
        <f t="shared" ref="AZ21" si="18">AW21-AX21</f>
        <v>2.6059378001148996</v>
      </c>
      <c r="BA21" s="8">
        <f t="shared" ref="BA21" si="19">AW21-AY22</f>
        <v>4.2979695468194317</v>
      </c>
    </row>
    <row r="22" spans="1:53" x14ac:dyDescent="0.25">
      <c r="A22" s="5"/>
      <c r="B22" s="6"/>
      <c r="G22" s="8">
        <f>SUM(G20:G21)</f>
        <v>22.24</v>
      </c>
      <c r="H22">
        <f>SUM(H20:H21)</f>
        <v>0.49199999999999999</v>
      </c>
      <c r="I22">
        <f>SUM(I20:I21)</f>
        <v>9.7029999999999994</v>
      </c>
      <c r="J22">
        <f>AVERAGE(J20:J21)</f>
        <v>18.14</v>
      </c>
      <c r="N22">
        <f>AVERAGE(N20:N21)</f>
        <v>15.55</v>
      </c>
      <c r="P22" s="7"/>
      <c r="Z22" s="15"/>
      <c r="AA22" s="8"/>
      <c r="AC22" s="10"/>
      <c r="AD22" s="12">
        <f>SUM(AD20:AD21)</f>
        <v>0.62117912420931465</v>
      </c>
      <c r="AE22" s="12"/>
      <c r="AF22" s="12"/>
      <c r="AG22" s="8"/>
      <c r="AH22" s="7"/>
      <c r="AJ22" s="8"/>
      <c r="AK22" s="13">
        <f>AK20-AK21</f>
        <v>51.448352922794697</v>
      </c>
      <c r="AL22" s="14"/>
      <c r="AM22" s="13">
        <f>($AK$8-$AK$9)/$G$10*G22</f>
        <v>52.012629801589071</v>
      </c>
      <c r="AN22" s="8"/>
      <c r="AR22" s="8"/>
      <c r="AS22" s="8"/>
      <c r="AT22" s="8"/>
      <c r="AU22" s="8"/>
      <c r="AV22" s="8"/>
      <c r="AW22" s="8"/>
      <c r="AY22" s="8">
        <f>SUM(AY20:AY21)</f>
        <v>6.9707026489288859</v>
      </c>
      <c r="AZ22" s="8"/>
      <c r="BA22" s="8"/>
    </row>
    <row r="23" spans="1:53" x14ac:dyDescent="0.25">
      <c r="A23" s="5"/>
      <c r="B23" s="6"/>
      <c r="G23" s="8"/>
      <c r="P23" s="7"/>
      <c r="Z23" s="15"/>
      <c r="AK23" s="13"/>
      <c r="AL23" s="14"/>
      <c r="AM23" s="13"/>
      <c r="AN23" s="7"/>
    </row>
    <row r="24" spans="1:53" x14ac:dyDescent="0.25">
      <c r="A24" s="5">
        <v>44284</v>
      </c>
      <c r="B24" s="6">
        <v>0.50468750000000007</v>
      </c>
      <c r="C24">
        <v>12.11</v>
      </c>
      <c r="D24">
        <v>431.32</v>
      </c>
      <c r="E24">
        <v>401</v>
      </c>
      <c r="F24">
        <v>194</v>
      </c>
      <c r="G24" s="8">
        <v>20.2</v>
      </c>
      <c r="H24">
        <v>0.156</v>
      </c>
      <c r="I24">
        <v>3.444</v>
      </c>
      <c r="J24">
        <v>20.53</v>
      </c>
      <c r="K24">
        <v>0.47</v>
      </c>
      <c r="L24">
        <v>28.37</v>
      </c>
      <c r="M24">
        <v>7.9</v>
      </c>
      <c r="N24">
        <v>12.63</v>
      </c>
      <c r="O24">
        <v>26.67</v>
      </c>
      <c r="P24" s="7">
        <v>6.8517280000000001E-4</v>
      </c>
      <c r="Q24">
        <v>0.95299999999999996</v>
      </c>
      <c r="R24">
        <v>25.77</v>
      </c>
      <c r="S24">
        <v>33.159999999999997</v>
      </c>
      <c r="T24">
        <v>0.16500000000000001</v>
      </c>
      <c r="U24">
        <v>2.44</v>
      </c>
      <c r="V24">
        <v>2E-3</v>
      </c>
      <c r="W24">
        <f>V24*0.04</f>
        <v>8.0000000000000007E-5</v>
      </c>
      <c r="X24">
        <f>((I24/1000/U24)*(1-N24/Q24/2000)+N24/Q24/1000)/(1+I24/1000/(2*U24))*1000</f>
        <v>14.644672675412956</v>
      </c>
      <c r="Z24" s="15">
        <v>0.89</v>
      </c>
      <c r="AA24" s="8">
        <f>S24/Q24*Z24</f>
        <v>30.967890870933893</v>
      </c>
      <c r="AB24" s="9">
        <f>V24*(AA24/1000-X24/1000)</f>
        <v>3.2646436391041872E-5</v>
      </c>
      <c r="AC24" s="10">
        <f>I24/1000-AB24</f>
        <v>3.4113535636089583E-3</v>
      </c>
      <c r="AD24" s="11">
        <f>1/(((AA24/1000-X24/1000)/(I24/1000-AC24*((AA24+X24)/2000)))+((X24-(N24/Q24))/1000)/(I24/1000-I24/1000*((X24+N24/Q24)/2000)))</f>
        <v>0.19015060569466452</v>
      </c>
      <c r="AE24" s="12">
        <f>(AC24-AC24*((AA24+X24)/2000))/((AA24-X24)/1000)</f>
        <v>0.20422157157245466</v>
      </c>
      <c r="AF24" s="12">
        <f>AE24+V24</f>
        <v>0.20622157157245466</v>
      </c>
      <c r="AG24" s="12">
        <f>AE24/1.6</f>
        <v>0.12763848223278415</v>
      </c>
      <c r="AH24" s="12">
        <f>AG24+W24</f>
        <v>0.12771848223278415</v>
      </c>
      <c r="AI24" s="12">
        <f>U24/1.37</f>
        <v>1.7810218978102188</v>
      </c>
      <c r="AJ24" s="8">
        <f>(E24/Q24*(AI24-I24/1000/2)-G24)/(AI24+I24/1000/2)</f>
        <v>408.63276881442533</v>
      </c>
      <c r="AK24" s="13">
        <f>(AJ24*(AH24-AC24/2)-G24)/(AH24+AC24/2)</f>
        <v>241.78609183761441</v>
      </c>
      <c r="AL24" s="14">
        <f>AK24*Q24</f>
        <v>230.42214552124651</v>
      </c>
      <c r="AM24" s="13"/>
      <c r="AO24">
        <v>793.1</v>
      </c>
      <c r="AP24">
        <v>997</v>
      </c>
      <c r="AQ24" s="12">
        <f>P24*1000*(1+(N24-M24)/(Q24*1000))</f>
        <v>0.68857350025603359</v>
      </c>
      <c r="AR24" s="8"/>
      <c r="AS24" s="8"/>
      <c r="AT24" s="8">
        <f>1/(U24*2.024)</f>
        <v>0.20248817469059807</v>
      </c>
      <c r="AU24" s="8"/>
      <c r="AV24" s="8"/>
      <c r="AW24" s="8"/>
      <c r="AX24" s="8"/>
      <c r="AY24" s="8">
        <f>1/AD24</f>
        <v>5.2589892961253879</v>
      </c>
      <c r="AZ24" s="8"/>
      <c r="BA24" s="8"/>
    </row>
    <row r="25" spans="1:53" x14ac:dyDescent="0.25">
      <c r="A25" s="5"/>
      <c r="B25" s="6"/>
      <c r="D25">
        <v>193</v>
      </c>
      <c r="E25">
        <v>191</v>
      </c>
      <c r="F25">
        <v>185</v>
      </c>
      <c r="G25" s="8">
        <v>-0.12</v>
      </c>
      <c r="H25">
        <v>0.254</v>
      </c>
      <c r="I25">
        <v>5.9219999999999997</v>
      </c>
      <c r="J25">
        <v>21.59</v>
      </c>
      <c r="K25">
        <v>0.95</v>
      </c>
      <c r="L25">
        <v>-0.16</v>
      </c>
      <c r="M25">
        <v>3.42</v>
      </c>
      <c r="N25">
        <v>11.56</v>
      </c>
      <c r="O25">
        <v>26.76</v>
      </c>
      <c r="P25" s="7">
        <v>6.8497640000000004E-4</v>
      </c>
      <c r="Q25">
        <v>0.95299999999999996</v>
      </c>
      <c r="R25">
        <v>25.77</v>
      </c>
      <c r="S25">
        <v>33.159999999999997</v>
      </c>
      <c r="T25">
        <v>0.28399999999999997</v>
      </c>
      <c r="U25">
        <v>2.44</v>
      </c>
      <c r="V25">
        <v>3.5000000000000001E-3</v>
      </c>
      <c r="W25">
        <f>V25*0.04</f>
        <v>1.4000000000000001E-4</v>
      </c>
      <c r="X25">
        <f>((I25/1000/U25)*(1-N25/Q25/2000)+N25/Q25/1000)/(1+I25/1000/(2*U25))*1000</f>
        <v>14.524818187913214</v>
      </c>
      <c r="Z25" s="15">
        <v>0.89</v>
      </c>
      <c r="AA25" s="8">
        <f>S25/Q25*Z25</f>
        <v>30.967890870933893</v>
      </c>
      <c r="AB25" s="9">
        <f>V25*(AA25/1000-X25/1000)</f>
        <v>5.7550754390572373E-5</v>
      </c>
      <c r="AC25" s="10">
        <f>I25/1000-AB25</f>
        <v>5.8644492456094268E-3</v>
      </c>
      <c r="AD25" s="11">
        <f>1/(((AA25/1000-X25/1000)/(I25/1000-AC25*((AA25+X25)/2000)))+((X25-(N25/Q25))/1000)/(I25/1000-I25/1000*((X25+N25/Q25)/2000)))</f>
        <v>0.30765166872597238</v>
      </c>
      <c r="AE25" s="12">
        <f>(AC25-AC25*((AA25+X25)/2000))/((AA25-X25)/1000)</f>
        <v>0.34853913951660276</v>
      </c>
      <c r="AF25" s="12">
        <f>AE25+V25</f>
        <v>0.35203913951660276</v>
      </c>
      <c r="AG25" s="12">
        <f>AE25/1.6</f>
        <v>0.21783696219787671</v>
      </c>
      <c r="AH25" s="12">
        <f>AG25+W25</f>
        <v>0.21797696219787671</v>
      </c>
      <c r="AI25" s="12">
        <f>U25/1.37</f>
        <v>1.7810218978102188</v>
      </c>
      <c r="AJ25" s="8">
        <f>(E25/Q25*(AI25-I25/1000/2)-G25)/(AI25+I25/1000/2)</f>
        <v>199.82169138581804</v>
      </c>
      <c r="AK25" s="13">
        <f>(AJ25*(AH25-AC25/2)-G25)/(AH25+AC25/2)</f>
        <v>195.06025895087919</v>
      </c>
      <c r="AL25" s="14">
        <f>AK25*Q25</f>
        <v>185.89242678018786</v>
      </c>
      <c r="AM25" s="13"/>
      <c r="AO25">
        <v>196.4</v>
      </c>
      <c r="AQ25" s="12">
        <f>P25*1000*(1+(N25-M25)/(Q25*1000))</f>
        <v>0.69082709034207768</v>
      </c>
      <c r="AR25" s="8">
        <f t="shared" ref="AR25" si="20">AQ25*AO25</f>
        <v>135.67844054318405</v>
      </c>
      <c r="AS25" s="8">
        <f t="shared" ref="AS25" si="21">(AO24-AO25)/AR25</f>
        <v>4.3978984252113431</v>
      </c>
      <c r="AT25" s="8">
        <f>1/(U25*2.024)</f>
        <v>0.20248817469059807</v>
      </c>
      <c r="AU25" s="8">
        <f t="shared" ref="AU25" si="22">AS25-(AT24+AT25)</f>
        <v>3.9929220758301471</v>
      </c>
      <c r="AV25" s="8">
        <f t="shared" ref="AV25" si="23">AU25*2.88</f>
        <v>11.499615578390824</v>
      </c>
      <c r="AW25" s="8">
        <f>AV25+1/U24+1/U25</f>
        <v>12.319287709538365</v>
      </c>
      <c r="AX25" s="8">
        <f>1/H24+1/H25</f>
        <v>10.347264284272159</v>
      </c>
      <c r="AY25" s="8">
        <f>1/AD25</f>
        <v>3.2504293057831823</v>
      </c>
      <c r="AZ25" s="8">
        <f t="shared" ref="AZ25" si="24">AW25-AX25</f>
        <v>1.9720234252662063</v>
      </c>
      <c r="BA25" s="8">
        <f t="shared" ref="BA25" si="25">AW25-AY26</f>
        <v>3.8098691076297939</v>
      </c>
    </row>
    <row r="26" spans="1:53" x14ac:dyDescent="0.25">
      <c r="A26" s="5"/>
      <c r="B26" s="6"/>
      <c r="G26" s="8">
        <f>SUM(G24:G25)</f>
        <v>20.079999999999998</v>
      </c>
      <c r="H26">
        <f>SUM(H24:H25)</f>
        <v>0.41000000000000003</v>
      </c>
      <c r="I26">
        <f>SUM(I24:I25)</f>
        <v>9.3659999999999997</v>
      </c>
      <c r="J26">
        <f>AVERAGE(J24:J25)</f>
        <v>21.060000000000002</v>
      </c>
      <c r="N26">
        <f>AVERAGE(N24:N25)</f>
        <v>12.095000000000001</v>
      </c>
      <c r="P26" s="7"/>
      <c r="Z26" s="15"/>
      <c r="AC26" s="10"/>
      <c r="AD26" s="12">
        <f>SUM(AD24:AD25)</f>
        <v>0.4978022744206369</v>
      </c>
      <c r="AE26" s="12"/>
      <c r="AF26" s="12"/>
      <c r="AG26" s="8"/>
      <c r="AJ26" s="8"/>
      <c r="AK26" s="13">
        <f>AK24-AK25</f>
        <v>46.725832886735219</v>
      </c>
      <c r="AL26" s="14"/>
      <c r="AM26" s="13">
        <f>($AK$8-$AK$9)/$G$10*G26</f>
        <v>46.961043453952726</v>
      </c>
      <c r="AN26" s="8"/>
      <c r="AR26" s="8"/>
      <c r="AS26" s="8"/>
      <c r="AT26" s="8"/>
      <c r="AU26" s="8"/>
      <c r="AV26" s="8"/>
      <c r="AW26" s="8"/>
      <c r="AY26" s="8">
        <f>SUM(AY24:AY25)</f>
        <v>8.5094186019085711</v>
      </c>
      <c r="AZ26" s="8"/>
      <c r="BA26" s="8"/>
    </row>
    <row r="27" spans="1:53" x14ac:dyDescent="0.25">
      <c r="A27" s="5"/>
      <c r="B27" s="6"/>
      <c r="G27" s="8"/>
      <c r="P27" s="7"/>
      <c r="Z27" s="15"/>
      <c r="AC27" s="10"/>
      <c r="AE27" s="12"/>
      <c r="AF27" s="12"/>
      <c r="AJ27" s="8"/>
      <c r="AK27" s="13"/>
      <c r="AL27" s="14"/>
      <c r="AM27" s="13"/>
      <c r="AN27" s="7"/>
    </row>
    <row r="28" spans="1:53" x14ac:dyDescent="0.25">
      <c r="A28" s="5">
        <v>44284</v>
      </c>
      <c r="B28" s="6">
        <v>0.52560185185185182</v>
      </c>
      <c r="C28">
        <v>12.61</v>
      </c>
      <c r="D28">
        <v>436.89</v>
      </c>
      <c r="E28">
        <v>408</v>
      </c>
      <c r="F28">
        <v>184</v>
      </c>
      <c r="G28" s="8">
        <v>18.39</v>
      </c>
      <c r="H28">
        <v>0.13</v>
      </c>
      <c r="I28">
        <v>3.38</v>
      </c>
      <c r="J28">
        <v>23.95</v>
      </c>
      <c r="K28">
        <v>0.44</v>
      </c>
      <c r="L28">
        <v>26.2</v>
      </c>
      <c r="M28">
        <v>4.32</v>
      </c>
      <c r="N28">
        <v>9.06</v>
      </c>
      <c r="O28">
        <v>26.63</v>
      </c>
      <c r="P28" s="7">
        <v>6.7274489999999995E-4</v>
      </c>
      <c r="Q28">
        <v>0.95299999999999996</v>
      </c>
      <c r="R28">
        <v>25.7</v>
      </c>
      <c r="S28">
        <v>33.020000000000003</v>
      </c>
      <c r="T28">
        <v>0.13800000000000001</v>
      </c>
      <c r="U28">
        <v>2.44</v>
      </c>
      <c r="V28">
        <v>2E-3</v>
      </c>
      <c r="W28">
        <f>V28*0.04</f>
        <v>8.0000000000000007E-5</v>
      </c>
      <c r="X28">
        <f>((I28/1000/U28)*(1-N28/Q28/2000)+N28/Q28/1000)/(1+I28/1000/(2*U28))*1000</f>
        <v>10.877947510053986</v>
      </c>
      <c r="Z28" s="15">
        <v>0.85899999999999999</v>
      </c>
      <c r="AA28" s="8">
        <f>S28/Q28*Z28</f>
        <v>29.763043022035678</v>
      </c>
      <c r="AB28" s="9">
        <f>V28*(AA28/1000-X28/1000)</f>
        <v>3.7770191023963384E-5</v>
      </c>
      <c r="AC28" s="10">
        <f>I28/1000-AB28</f>
        <v>3.3422298089760363E-3</v>
      </c>
      <c r="AD28" s="11">
        <f t="shared" ref="AD28:AD29" si="26">1/(((AA28/1000-X28/1000)/(I28/1000-AC28*((AA28+X28)/2000)))+((X28-(N28/Q28))/1000)/(I28/1000-I28/1000*((X28+N28/Q28)/2000)))</f>
        <v>0.16362025816732687</v>
      </c>
      <c r="AE28" s="12">
        <f>(AC28-AC28*((AA28+X28)/2000))/((AA28-X28)/1000)</f>
        <v>0.17338085697725536</v>
      </c>
      <c r="AF28" s="12">
        <f>AE28+V28</f>
        <v>0.17538085697725536</v>
      </c>
      <c r="AG28" s="12">
        <f>AE28/1.6</f>
        <v>0.1083630356107846</v>
      </c>
      <c r="AH28" s="12">
        <f>AG28+W28</f>
        <v>0.1084430356107846</v>
      </c>
      <c r="AI28" s="12">
        <f>U28/1.37</f>
        <v>1.7810218978102188</v>
      </c>
      <c r="AJ28" s="8">
        <f>(E28/Q28*(AI28-I28/1000/2)-G28)/(AI28+I28/1000/2)</f>
        <v>416.99426307910591</v>
      </c>
      <c r="AK28" s="13">
        <f>(AJ28*(AH28-AC28/2)-G28)/(AH28+AC28/2)</f>
        <v>237.32897425238946</v>
      </c>
      <c r="AL28" s="14">
        <f>AK28*Q28</f>
        <v>226.17451246252713</v>
      </c>
      <c r="AM28" s="13"/>
      <c r="AO28">
        <v>813.1</v>
      </c>
      <c r="AP28">
        <v>1006.5</v>
      </c>
      <c r="AQ28" s="12">
        <f>P28*1000*(1+(N28-M28)/(Q28*1000))</f>
        <v>0.6760909764176285</v>
      </c>
      <c r="AR28" s="8"/>
      <c r="AS28" s="8"/>
      <c r="AT28" s="8">
        <f>1/(U28*2.024)</f>
        <v>0.20248817469059807</v>
      </c>
      <c r="AU28" s="8"/>
      <c r="AV28" s="8"/>
      <c r="AW28" s="8"/>
      <c r="AX28" s="8"/>
      <c r="AY28" s="8">
        <f>1/AD28</f>
        <v>6.1117126399919641</v>
      </c>
      <c r="AZ28" s="8"/>
      <c r="BA28" s="8"/>
    </row>
    <row r="29" spans="1:53" x14ac:dyDescent="0.25">
      <c r="A29" s="5"/>
      <c r="B29" s="6"/>
      <c r="D29">
        <v>194.69</v>
      </c>
      <c r="E29">
        <v>192</v>
      </c>
      <c r="F29">
        <v>183</v>
      </c>
      <c r="G29" s="8">
        <v>0.21</v>
      </c>
      <c r="H29">
        <v>0.23100000000000001</v>
      </c>
      <c r="I29">
        <v>5.9770000000000003</v>
      </c>
      <c r="J29">
        <v>23.94</v>
      </c>
      <c r="K29">
        <v>0.94</v>
      </c>
      <c r="L29">
        <v>0.31</v>
      </c>
      <c r="M29">
        <v>0.68</v>
      </c>
      <c r="N29">
        <v>9.07</v>
      </c>
      <c r="O29">
        <v>26.71</v>
      </c>
      <c r="P29" s="7">
        <v>6.7206619999999999E-4</v>
      </c>
      <c r="Q29">
        <v>0.95299999999999996</v>
      </c>
      <c r="R29">
        <v>25.7</v>
      </c>
      <c r="S29">
        <v>33.020000000000003</v>
      </c>
      <c r="T29">
        <v>0.25600000000000001</v>
      </c>
      <c r="U29">
        <v>2.44</v>
      </c>
      <c r="V29">
        <v>3.5000000000000001E-3</v>
      </c>
      <c r="W29">
        <f>V29*0.04</f>
        <v>1.4000000000000001E-4</v>
      </c>
      <c r="X29">
        <f>((I29/1000/U29)*(1-N29/Q29/2000)+N29/Q29/1000)/(1+I29/1000/(2*U29))*1000</f>
        <v>11.940622335417718</v>
      </c>
      <c r="Z29" s="15">
        <v>0.85899999999999999</v>
      </c>
      <c r="AA29" s="8">
        <f>S29/Q29*Z29</f>
        <v>29.763043022035678</v>
      </c>
      <c r="AB29" s="9">
        <f>V29*(AA29/1000-X29/1000)</f>
        <v>6.2378472403162871E-5</v>
      </c>
      <c r="AC29" s="10">
        <f>I29/1000-AB29</f>
        <v>5.9146215275968379E-3</v>
      </c>
      <c r="AD29" s="11">
        <f t="shared" si="26"/>
        <v>0.28947799587830597</v>
      </c>
      <c r="AE29" s="12">
        <f>(AC29-AC29*((AA29+X29)/2000))/((AA29-X29)/1000)</f>
        <v>0.32494412128279576</v>
      </c>
      <c r="AF29" s="12">
        <f>AE29+V29</f>
        <v>0.32844412128279576</v>
      </c>
      <c r="AG29" s="12">
        <f>AE29/1.6</f>
        <v>0.20309007580174734</v>
      </c>
      <c r="AH29" s="12">
        <f>AG29+W29</f>
        <v>0.20323007580174735</v>
      </c>
      <c r="AI29" s="12">
        <f>U29/1.37</f>
        <v>1.7810218978102188</v>
      </c>
      <c r="AJ29" s="8">
        <f>(E29/Q29*(AI29-I29/1000/2)-G29)/(AI29+I29/1000/2)</f>
        <v>200.67634767651876</v>
      </c>
      <c r="AK29" s="13">
        <f>(AJ29*(AH29-AC29/2)-G29)/(AH29+AC29/2)</f>
        <v>193.90132293171953</v>
      </c>
      <c r="AL29" s="14">
        <f>AK29*Q29</f>
        <v>184.7879607539287</v>
      </c>
      <c r="AM29" s="13"/>
      <c r="AO29">
        <v>187.2</v>
      </c>
      <c r="AQ29" s="12">
        <f>P29*1000*(1+(N29-M29)/(Q29*1000))</f>
        <v>0.6779829213200419</v>
      </c>
      <c r="AR29" s="8">
        <f t="shared" ref="AR29" si="27">AQ29*AO29</f>
        <v>126.91840287111184</v>
      </c>
      <c r="AS29" s="8">
        <f t="shared" ref="AS29" si="28">(AO28-AO29)/AR29</f>
        <v>4.9315149406316907</v>
      </c>
      <c r="AT29" s="8">
        <f>1/(U29*2.024)</f>
        <v>0.20248817469059807</v>
      </c>
      <c r="AU29" s="8">
        <f t="shared" ref="AU29" si="29">AS29-(AT28+AT29)</f>
        <v>4.5265385912504943</v>
      </c>
      <c r="AV29" s="8">
        <f t="shared" ref="AV29" si="30">AU29*2.88</f>
        <v>13.036431142801423</v>
      </c>
      <c r="AW29" s="8">
        <f>AV29+1/U28+1/U29</f>
        <v>13.856103273948964</v>
      </c>
      <c r="AX29" s="8">
        <f>1/H28+1/H29</f>
        <v>12.021312021312021</v>
      </c>
      <c r="AY29" s="8">
        <f>1/AD29</f>
        <v>3.4544940003674451</v>
      </c>
      <c r="AZ29" s="8">
        <f t="shared" ref="AZ29" si="31">AW29-AX29</f>
        <v>1.8347912526369434</v>
      </c>
      <c r="BA29" s="8">
        <f t="shared" ref="BA29" si="32">AW29-AY30</f>
        <v>4.2898966335895548</v>
      </c>
    </row>
    <row r="30" spans="1:53" x14ac:dyDescent="0.25">
      <c r="A30" s="5"/>
      <c r="B30" s="6"/>
      <c r="G30" s="8">
        <f>SUM(G28:G29)</f>
        <v>18.600000000000001</v>
      </c>
      <c r="H30">
        <f>SUM(H28:H29)</f>
        <v>0.36099999999999999</v>
      </c>
      <c r="I30">
        <f>SUM(I28:I29)</f>
        <v>9.3569999999999993</v>
      </c>
      <c r="J30">
        <f>AVERAGE(J28:J29)</f>
        <v>23.945</v>
      </c>
      <c r="N30">
        <f>AVERAGE(N28:N29)</f>
        <v>9.0650000000000013</v>
      </c>
      <c r="R30" s="7"/>
      <c r="AA30" s="8"/>
      <c r="AC30" s="10"/>
      <c r="AD30" s="12">
        <f>SUM(AD28:AD29)</f>
        <v>0.45309825404563286</v>
      </c>
      <c r="AE30" s="12"/>
      <c r="AF30" s="12"/>
      <c r="AG30" s="8"/>
      <c r="AH30" s="7"/>
      <c r="AJ30" s="8"/>
      <c r="AK30" s="13">
        <f>AK28-AK29</f>
        <v>43.427651320669924</v>
      </c>
      <c r="AL30" s="14"/>
      <c r="AM30" s="13">
        <f>($AK$8-$AK$9)/$G$10*G30</f>
        <v>43.499771326868569</v>
      </c>
      <c r="AN30" s="8"/>
      <c r="AR30" s="8"/>
      <c r="AS30" s="8"/>
      <c r="AT30" s="8"/>
      <c r="AU30" s="8"/>
      <c r="AV30" s="8"/>
      <c r="AW30" s="8"/>
      <c r="AY30" s="8">
        <f>SUM(AY28:AY29)</f>
        <v>9.5662066403594093</v>
      </c>
      <c r="AZ30" s="8"/>
      <c r="BA30" s="8"/>
    </row>
    <row r="34" spans="3:4" x14ac:dyDescent="0.25">
      <c r="C34" t="s">
        <v>42</v>
      </c>
      <c r="D34" t="s">
        <v>43</v>
      </c>
    </row>
    <row r="35" spans="3:4" x14ac:dyDescent="0.25">
      <c r="C35" t="s">
        <v>44</v>
      </c>
      <c r="D35" t="s">
        <v>45</v>
      </c>
    </row>
    <row r="36" spans="3:4" x14ac:dyDescent="0.25">
      <c r="C36" t="s">
        <v>46</v>
      </c>
      <c r="D36" t="s">
        <v>47</v>
      </c>
    </row>
    <row r="37" spans="3:4" x14ac:dyDescent="0.25">
      <c r="C37" t="s">
        <v>48</v>
      </c>
      <c r="D37" t="s">
        <v>49</v>
      </c>
    </row>
    <row r="38" spans="3:4" x14ac:dyDescent="0.25">
      <c r="C38" t="s">
        <v>50</v>
      </c>
      <c r="D38" t="s">
        <v>51</v>
      </c>
    </row>
    <row r="39" spans="3:4" x14ac:dyDescent="0.25">
      <c r="C39" t="s">
        <v>52</v>
      </c>
      <c r="D39" t="s">
        <v>53</v>
      </c>
    </row>
    <row r="40" spans="3:4" x14ac:dyDescent="0.25">
      <c r="C40" t="s">
        <v>54</v>
      </c>
      <c r="D40" t="s">
        <v>55</v>
      </c>
    </row>
    <row r="41" spans="3:4" x14ac:dyDescent="0.25">
      <c r="C41" t="s">
        <v>56</v>
      </c>
      <c r="D41" t="s">
        <v>57</v>
      </c>
    </row>
    <row r="42" spans="3:4" x14ac:dyDescent="0.25">
      <c r="C42" t="s">
        <v>58</v>
      </c>
      <c r="D42" t="s">
        <v>59</v>
      </c>
    </row>
    <row r="43" spans="3:4" x14ac:dyDescent="0.25">
      <c r="C43" t="s">
        <v>60</v>
      </c>
      <c r="D43" t="s">
        <v>61</v>
      </c>
    </row>
    <row r="44" spans="3:4" x14ac:dyDescent="0.25">
      <c r="C44" t="s">
        <v>62</v>
      </c>
      <c r="D44" t="s">
        <v>63</v>
      </c>
    </row>
    <row r="45" spans="3:4" x14ac:dyDescent="0.25">
      <c r="C45" t="s">
        <v>64</v>
      </c>
      <c r="D45" t="s">
        <v>65</v>
      </c>
    </row>
    <row r="46" spans="3:4" x14ac:dyDescent="0.25">
      <c r="C46" t="s">
        <v>66</v>
      </c>
      <c r="D46" t="s">
        <v>67</v>
      </c>
    </row>
    <row r="47" spans="3:4" x14ac:dyDescent="0.25">
      <c r="C47" t="s">
        <v>68</v>
      </c>
      <c r="D47" t="s">
        <v>69</v>
      </c>
    </row>
    <row r="48" spans="3:4" x14ac:dyDescent="0.25">
      <c r="C48" t="s">
        <v>70</v>
      </c>
      <c r="D48" t="s">
        <v>71</v>
      </c>
    </row>
    <row r="49" spans="3:14" x14ac:dyDescent="0.25">
      <c r="C49" t="s">
        <v>72</v>
      </c>
      <c r="D49" t="s">
        <v>73</v>
      </c>
    </row>
    <row r="50" spans="3:14" x14ac:dyDescent="0.25">
      <c r="C50" t="s">
        <v>74</v>
      </c>
      <c r="D50" t="s">
        <v>75</v>
      </c>
    </row>
    <row r="51" spans="3:14" x14ac:dyDescent="0.25">
      <c r="C51" t="s">
        <v>76</v>
      </c>
      <c r="D51" t="s">
        <v>77</v>
      </c>
    </row>
    <row r="52" spans="3:14" x14ac:dyDescent="0.25">
      <c r="C52" t="s">
        <v>78</v>
      </c>
      <c r="D52" t="s">
        <v>79</v>
      </c>
    </row>
    <row r="53" spans="3:14" x14ac:dyDescent="0.25">
      <c r="C53" t="s">
        <v>80</v>
      </c>
      <c r="D53" t="s">
        <v>81</v>
      </c>
    </row>
    <row r="54" spans="3:14" x14ac:dyDescent="0.25">
      <c r="C54" t="s">
        <v>82</v>
      </c>
      <c r="D54" s="16" t="s">
        <v>83</v>
      </c>
      <c r="E54" s="17"/>
      <c r="F54" s="17"/>
      <c r="G54" s="17"/>
      <c r="H54" s="17"/>
      <c r="I54" s="17"/>
    </row>
    <row r="55" spans="3:14" x14ac:dyDescent="0.25">
      <c r="C55" t="s">
        <v>84</v>
      </c>
      <c r="D55" t="s">
        <v>85</v>
      </c>
    </row>
    <row r="56" spans="3:14" x14ac:dyDescent="0.25">
      <c r="C56" t="s">
        <v>86</v>
      </c>
      <c r="D56" t="s">
        <v>87</v>
      </c>
    </row>
    <row r="57" spans="3:14" x14ac:dyDescent="0.25">
      <c r="C57" t="s">
        <v>88</v>
      </c>
      <c r="D57" t="s">
        <v>89</v>
      </c>
    </row>
    <row r="58" spans="3:14" x14ac:dyDescent="0.25">
      <c r="C58" t="s">
        <v>90</v>
      </c>
      <c r="D58" t="s">
        <v>51</v>
      </c>
    </row>
    <row r="59" spans="3:14" x14ac:dyDescent="0.25">
      <c r="C59" t="s">
        <v>91</v>
      </c>
      <c r="D59" t="s">
        <v>75</v>
      </c>
    </row>
    <row r="60" spans="3:14" x14ac:dyDescent="0.25">
      <c r="C60" t="s">
        <v>92</v>
      </c>
      <c r="D60" t="s">
        <v>93</v>
      </c>
    </row>
    <row r="61" spans="3:14" x14ac:dyDescent="0.25">
      <c r="C61" t="s">
        <v>94</v>
      </c>
      <c r="D61" t="s">
        <v>95</v>
      </c>
    </row>
    <row r="62" spans="3:14" x14ac:dyDescent="0.25">
      <c r="C62" t="s">
        <v>96</v>
      </c>
      <c r="D62" t="s">
        <v>97</v>
      </c>
    </row>
    <row r="63" spans="3:14" x14ac:dyDescent="0.25">
      <c r="C63" t="s">
        <v>98</v>
      </c>
      <c r="D63" t="s">
        <v>99</v>
      </c>
    </row>
    <row r="64" spans="3:14" x14ac:dyDescent="0.25">
      <c r="C64" t="s">
        <v>100</v>
      </c>
      <c r="D64" s="16" t="s">
        <v>101</v>
      </c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3:14" x14ac:dyDescent="0.25">
      <c r="C65" t="s">
        <v>40</v>
      </c>
      <c r="D65" s="16" t="s">
        <v>102</v>
      </c>
      <c r="E65" s="17"/>
      <c r="F65" s="17"/>
      <c r="G65" s="17"/>
      <c r="H65" s="17"/>
      <c r="I65" s="17"/>
      <c r="J65" s="17"/>
      <c r="K65" s="17"/>
      <c r="L65" s="17"/>
      <c r="M65" s="17"/>
      <c r="N65" s="17"/>
    </row>
    <row r="66" spans="3:14" x14ac:dyDescent="0.25">
      <c r="C66" t="s">
        <v>46</v>
      </c>
      <c r="D66" t="s">
        <v>47</v>
      </c>
    </row>
  </sheetData>
  <mergeCells count="2">
    <mergeCell ref="D4:X4"/>
    <mergeCell ref="Z4:AM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C73BD-306E-4182-923B-2D71AC57C7B4}">
  <dimension ref="A1:BA63"/>
  <sheetViews>
    <sheetView workbookViewId="0">
      <selection activeCell="J29" sqref="J29"/>
    </sheetView>
  </sheetViews>
  <sheetFormatPr defaultRowHeight="15" x14ac:dyDescent="0.25"/>
  <sheetData>
    <row r="1" spans="1:53" x14ac:dyDescent="0.25">
      <c r="A1" t="s">
        <v>0</v>
      </c>
      <c r="C1" s="1" t="s">
        <v>152</v>
      </c>
    </row>
    <row r="2" spans="1:53" x14ac:dyDescent="0.25">
      <c r="A2" s="4" t="s">
        <v>153</v>
      </c>
      <c r="B2" s="4"/>
      <c r="C2" s="4"/>
      <c r="D2" s="4"/>
    </row>
    <row r="4" spans="1:53" x14ac:dyDescent="0.25">
      <c r="D4" s="53" t="s">
        <v>2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Z4" s="53" t="s">
        <v>3</v>
      </c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20"/>
    </row>
    <row r="6" spans="1:53" x14ac:dyDescent="0.25">
      <c r="AM6" s="4" t="s">
        <v>107</v>
      </c>
      <c r="AO6" t="s">
        <v>108</v>
      </c>
      <c r="AP6" t="s">
        <v>109</v>
      </c>
      <c r="AU6" t="s">
        <v>110</v>
      </c>
      <c r="AV6" t="s">
        <v>111</v>
      </c>
      <c r="AW6" t="s">
        <v>112</v>
      </c>
      <c r="AZ6" t="s">
        <v>106</v>
      </c>
    </row>
    <row r="7" spans="1:53" x14ac:dyDescent="0.25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115</v>
      </c>
      <c r="U7" t="s">
        <v>116</v>
      </c>
      <c r="V7" t="s">
        <v>26</v>
      </c>
      <c r="W7" t="s">
        <v>28</v>
      </c>
      <c r="X7" t="s">
        <v>29</v>
      </c>
      <c r="Z7" s="4" t="s">
        <v>27</v>
      </c>
      <c r="AA7" t="s">
        <v>30</v>
      </c>
      <c r="AB7" t="s">
        <v>31</v>
      </c>
      <c r="AC7" t="s">
        <v>32</v>
      </c>
      <c r="AD7" t="s">
        <v>33</v>
      </c>
      <c r="AE7" t="s">
        <v>34</v>
      </c>
      <c r="AF7" t="s">
        <v>35</v>
      </c>
      <c r="AG7" t="s">
        <v>36</v>
      </c>
      <c r="AH7" t="s">
        <v>37</v>
      </c>
      <c r="AI7" t="s">
        <v>38</v>
      </c>
      <c r="AJ7" t="s">
        <v>39</v>
      </c>
      <c r="AK7" s="4" t="s">
        <v>40</v>
      </c>
      <c r="AL7" t="s">
        <v>10</v>
      </c>
      <c r="AM7" s="4" t="s">
        <v>41</v>
      </c>
      <c r="AO7" t="s">
        <v>117</v>
      </c>
      <c r="AP7" t="s">
        <v>117</v>
      </c>
      <c r="AQ7" t="s">
        <v>118</v>
      </c>
      <c r="AR7" t="s">
        <v>119</v>
      </c>
      <c r="AS7" t="s">
        <v>120</v>
      </c>
      <c r="AT7" t="s">
        <v>121</v>
      </c>
      <c r="AU7" t="s">
        <v>122</v>
      </c>
      <c r="AV7" t="s">
        <v>123</v>
      </c>
      <c r="AW7" t="s">
        <v>124</v>
      </c>
      <c r="AX7" t="s">
        <v>113</v>
      </c>
      <c r="AY7" t="s">
        <v>125</v>
      </c>
      <c r="AZ7" t="s">
        <v>113</v>
      </c>
      <c r="BA7" t="s">
        <v>114</v>
      </c>
    </row>
    <row r="8" spans="1:53" x14ac:dyDescent="0.25">
      <c r="A8" s="5">
        <v>44246</v>
      </c>
      <c r="B8" s="6">
        <v>0.49690972222222224</v>
      </c>
      <c r="C8">
        <v>11.92</v>
      </c>
      <c r="D8">
        <v>239.3</v>
      </c>
      <c r="E8">
        <v>238</v>
      </c>
      <c r="F8">
        <v>236</v>
      </c>
      <c r="G8">
        <v>-0.35</v>
      </c>
      <c r="H8">
        <v>0.23</v>
      </c>
      <c r="I8">
        <v>2.6539999999999999</v>
      </c>
      <c r="J8">
        <v>10.68</v>
      </c>
      <c r="K8">
        <v>0.99</v>
      </c>
      <c r="L8">
        <v>-0.56000000000000005</v>
      </c>
      <c r="M8">
        <v>18.72</v>
      </c>
      <c r="N8">
        <v>22.79</v>
      </c>
      <c r="O8">
        <v>26.98</v>
      </c>
      <c r="P8" s="7">
        <v>6.1046150000000003E-4</v>
      </c>
      <c r="Q8">
        <v>0.95299999999999996</v>
      </c>
      <c r="R8">
        <v>25.92</v>
      </c>
      <c r="S8">
        <v>33.47</v>
      </c>
      <c r="T8">
        <v>0.254</v>
      </c>
      <c r="U8">
        <v>2.44</v>
      </c>
      <c r="V8">
        <v>2E-3</v>
      </c>
      <c r="W8">
        <f>V8*0.04</f>
        <v>8.0000000000000007E-5</v>
      </c>
      <c r="X8">
        <f>((I8/1000/U8)*(1-N8/Q8/2000)+N8/Q8/1000)/(1+I8/1000/(2*U8))*1000</f>
        <v>24.97507242838827</v>
      </c>
      <c r="Z8" s="15">
        <v>1</v>
      </c>
      <c r="AA8" s="8">
        <f>S8/Q8*Z8</f>
        <v>35.120671563483739</v>
      </c>
      <c r="AB8" s="9">
        <f>V8*(AA8/1000-X8/1000)</f>
        <v>2.0291198270190934E-5</v>
      </c>
      <c r="AC8" s="10">
        <f>I8/1000-AB8</f>
        <v>2.6337088017298091E-3</v>
      </c>
      <c r="AD8" s="11">
        <f t="shared" ref="AD8:AD9" si="0">1/(((AA8/1000-X8/1000)/(I8/1000-AC8*((AA8+X8)/2000)))+((X8-(N8/Q8))/1000)/(I8/1000-I8/1000*((X8+N8/Q8)/2000)))</f>
        <v>0.22988057987268179</v>
      </c>
      <c r="AE8" s="12">
        <f>(AC8-AC8*((AA8+X8)/2000))/((AA8-X8)/1000)</f>
        <v>0.25179108919690463</v>
      </c>
      <c r="AF8" s="12">
        <f>AE8+V8</f>
        <v>0.25379108919690463</v>
      </c>
      <c r="AG8" s="12">
        <f>AE8/1.6</f>
        <v>0.15736943074806539</v>
      </c>
      <c r="AH8" s="12">
        <f>AG8+W8</f>
        <v>0.15744943074806539</v>
      </c>
      <c r="AI8" s="12">
        <f>U8/1.37</f>
        <v>1.7810218978102188</v>
      </c>
      <c r="AJ8" s="8">
        <f>(E8/Q8*(AI8-I8/1000/2)-G8)/(AI8+I8/1000/2)</f>
        <v>249.56216964678293</v>
      </c>
      <c r="AK8" s="13">
        <f>(AJ8*(AH8-AC8/2)-G8)/(AH8+AC8/2)</f>
        <v>247.62678341229821</v>
      </c>
      <c r="AL8" s="14">
        <f>AK8*Q8</f>
        <v>235.98832459192019</v>
      </c>
      <c r="AM8" s="4"/>
      <c r="AQ8" s="12"/>
      <c r="AR8" s="8"/>
      <c r="AS8" s="8"/>
      <c r="AU8" s="8"/>
      <c r="AV8" s="8"/>
      <c r="AW8" s="8"/>
      <c r="AX8" s="8">
        <f>1/H8+1/H9</f>
        <v>5.8205801370301593</v>
      </c>
      <c r="AY8" s="8">
        <f>1/AD8</f>
        <v>4.3500847290094926</v>
      </c>
      <c r="AZ8" s="8"/>
      <c r="BA8" s="8"/>
    </row>
    <row r="9" spans="1:53" x14ac:dyDescent="0.25">
      <c r="A9" s="5"/>
      <c r="B9" s="6"/>
      <c r="D9">
        <v>404.57</v>
      </c>
      <c r="E9">
        <v>350</v>
      </c>
      <c r="F9">
        <v>275</v>
      </c>
      <c r="G9">
        <v>31.95</v>
      </c>
      <c r="H9">
        <v>0.67900000000000005</v>
      </c>
      <c r="I9">
        <v>7.7119999999999997</v>
      </c>
      <c r="J9">
        <v>10.52</v>
      </c>
      <c r="K9">
        <v>0.77</v>
      </c>
      <c r="L9">
        <v>50.49</v>
      </c>
      <c r="M9">
        <v>11.18</v>
      </c>
      <c r="N9">
        <v>22.94</v>
      </c>
      <c r="O9">
        <v>26.77</v>
      </c>
      <c r="P9" s="7">
        <v>6.1130060000000005E-4</v>
      </c>
      <c r="Q9">
        <v>0.95299999999999996</v>
      </c>
      <c r="R9">
        <v>25.92</v>
      </c>
      <c r="S9">
        <v>33.47</v>
      </c>
      <c r="T9">
        <v>0.93899999999999995</v>
      </c>
      <c r="U9">
        <v>2.44</v>
      </c>
      <c r="V9">
        <v>3.5000000000000001E-3</v>
      </c>
      <c r="W9">
        <f>V9*0.04</f>
        <v>1.4000000000000001E-4</v>
      </c>
      <c r="X9">
        <f>((I9/1000/U9)*(1-N9/Q9/2000)+N9/Q9/1000)/(1+I9/1000/(2*U9))*1000</f>
        <v>27.151061148283357</v>
      </c>
      <c r="Z9" s="15">
        <v>1</v>
      </c>
      <c r="AA9" s="8">
        <f>S9/Q9*Z9</f>
        <v>35.120671563483739</v>
      </c>
      <c r="AB9" s="9">
        <f>V9*(AA9/1000-X9/1000)</f>
        <v>2.7893636453201328E-5</v>
      </c>
      <c r="AC9" s="10">
        <f>I9/1000-AB9</f>
        <v>7.684106363546799E-3</v>
      </c>
      <c r="AD9" s="11">
        <f t="shared" si="0"/>
        <v>0.67735722105168761</v>
      </c>
      <c r="AE9" s="12">
        <f>(AC9-AC9*((AA9+X9)/2000))/((AA9-X9)/1000)</f>
        <v>0.93415545640066577</v>
      </c>
      <c r="AF9" s="12">
        <f>AE9+V9</f>
        <v>0.93765545640066572</v>
      </c>
      <c r="AG9" s="12">
        <f>AE9/1.6</f>
        <v>0.58384716025041605</v>
      </c>
      <c r="AH9" s="12">
        <f>AG9+W9</f>
        <v>0.58398716025041608</v>
      </c>
      <c r="AI9" s="12">
        <f>U9/1.37</f>
        <v>1.7810218978102188</v>
      </c>
      <c r="AJ9" s="8">
        <f>(E9/Q9*(AI9-I9/1000/2)-G9)/(AI9+I9/1000/2)</f>
        <v>347.7740541591383</v>
      </c>
      <c r="AK9" s="13">
        <f>(AJ9*(AH9-AC9/2)-G9)/(AH9+AC9/2)</f>
        <v>288.87542845033852</v>
      </c>
      <c r="AL9" s="14">
        <f>AK9*Q9</f>
        <v>275.29828331317259</v>
      </c>
      <c r="AM9" s="4"/>
      <c r="AQ9" s="12"/>
      <c r="AS9" s="8"/>
      <c r="AU9" s="8"/>
      <c r="AV9" s="8"/>
      <c r="AW9" s="8"/>
      <c r="AY9" s="8">
        <f>1/AD9</f>
        <v>1.4763258867268978</v>
      </c>
      <c r="AZ9" s="8"/>
      <c r="BA9" s="8"/>
    </row>
    <row r="10" spans="1:53" x14ac:dyDescent="0.25">
      <c r="A10" s="5"/>
      <c r="B10" s="6"/>
      <c r="G10">
        <f>SUM(G8:G9)</f>
        <v>31.599999999999998</v>
      </c>
      <c r="H10">
        <f>SUM(H8:H9)</f>
        <v>0.90900000000000003</v>
      </c>
      <c r="I10">
        <f>SUM(I8:I9)</f>
        <v>10.366</v>
      </c>
      <c r="J10">
        <f>AVERAGE(J8:J9)</f>
        <v>10.6</v>
      </c>
      <c r="U10" s="7"/>
      <c r="Z10" s="15"/>
      <c r="AA10" s="8"/>
      <c r="AC10" s="10"/>
      <c r="AD10" s="8">
        <f>SUM(AD8:AD9)</f>
        <v>0.90723780092436934</v>
      </c>
      <c r="AE10" s="12"/>
      <c r="AF10" s="12"/>
      <c r="AG10" s="8"/>
      <c r="AH10" s="7"/>
      <c r="AJ10" s="8"/>
      <c r="AK10" s="13">
        <f>AK9-AK8</f>
        <v>41.248645038040308</v>
      </c>
      <c r="AL10" s="14"/>
      <c r="AM10" s="15"/>
      <c r="AN10" s="8"/>
      <c r="AO10" s="7"/>
      <c r="AU10" s="8"/>
      <c r="AV10" s="8"/>
      <c r="AW10" s="8"/>
      <c r="AY10" s="8">
        <f>SUM(AY8:AY9)</f>
        <v>5.8264106157363909</v>
      </c>
      <c r="AZ10" s="8"/>
      <c r="BA10" s="8"/>
    </row>
    <row r="11" spans="1:53" x14ac:dyDescent="0.25">
      <c r="A11" s="5"/>
      <c r="B11" s="6"/>
      <c r="U11" s="7"/>
      <c r="Z11" s="15"/>
      <c r="AK11" s="13"/>
      <c r="AL11" s="14"/>
      <c r="AM11" s="4"/>
      <c r="AQ11" s="7"/>
      <c r="AU11" s="8"/>
      <c r="AV11" s="8"/>
      <c r="AW11" s="8"/>
      <c r="AZ11" s="8"/>
      <c r="BA11" s="8"/>
    </row>
    <row r="12" spans="1:53" x14ac:dyDescent="0.25">
      <c r="A12" s="5" t="s">
        <v>154</v>
      </c>
      <c r="B12" s="6">
        <v>0.51959490740740744</v>
      </c>
      <c r="C12">
        <v>12.47</v>
      </c>
      <c r="D12">
        <v>241.55</v>
      </c>
      <c r="E12">
        <v>239</v>
      </c>
      <c r="F12">
        <v>230</v>
      </c>
      <c r="G12">
        <v>0.57999999999999996</v>
      </c>
      <c r="H12">
        <v>0.223</v>
      </c>
      <c r="I12">
        <v>3.121</v>
      </c>
      <c r="J12">
        <v>12.96</v>
      </c>
      <c r="K12">
        <v>0.95</v>
      </c>
      <c r="L12">
        <v>0.94</v>
      </c>
      <c r="M12">
        <v>15.65</v>
      </c>
      <c r="N12">
        <v>20.47</v>
      </c>
      <c r="O12">
        <v>26.96</v>
      </c>
      <c r="P12" s="7">
        <v>6.0458769999999998E-4</v>
      </c>
      <c r="Q12">
        <v>0.95299999999999996</v>
      </c>
      <c r="R12">
        <v>25.92</v>
      </c>
      <c r="S12">
        <v>33.450000000000003</v>
      </c>
      <c r="T12">
        <v>0.245</v>
      </c>
      <c r="U12">
        <v>2.44</v>
      </c>
      <c r="V12">
        <v>2E-3</v>
      </c>
      <c r="W12">
        <f>V12*0.04</f>
        <v>8.0000000000000007E-5</v>
      </c>
      <c r="X12">
        <f>((I12/1000/U12)*(1-N12/Q12/2000)+N12/Q12/1000)/(1+I12/1000/(2*U12))*1000</f>
        <v>22.730362255098211</v>
      </c>
      <c r="Z12" s="15">
        <v>0.96</v>
      </c>
      <c r="AA12" s="8">
        <f>S12/Q12*Z12</f>
        <v>33.69569779643232</v>
      </c>
      <c r="AB12" s="9">
        <f>V12*(AA12/1000-X12/1000)</f>
        <v>2.1930671082668217E-5</v>
      </c>
      <c r="AC12" s="10">
        <f>I12/1000-AB12</f>
        <v>3.099069328917332E-3</v>
      </c>
      <c r="AD12" s="11">
        <f>1/(((AA12/1000-X12/1000)/(I12/1000-AC12*((AA12+X12)/2000)))+((X12-(N12/Q12))/1000)/(I12/1000-I12/1000*((X12+N12/Q12)/2000)))</f>
        <v>0.24847777832146395</v>
      </c>
      <c r="AE12" s="12">
        <f>(AC12-AC12*((AA12+X12)/2000))/((AA12-X12)/1000)</f>
        <v>0.27465052770489551</v>
      </c>
      <c r="AF12" s="12">
        <f>AE12+V12</f>
        <v>0.27665052770489551</v>
      </c>
      <c r="AG12" s="12">
        <f>AE12/1.6</f>
        <v>0.17165657981555968</v>
      </c>
      <c r="AH12" s="12">
        <f>AG12+W12</f>
        <v>0.17173657981555968</v>
      </c>
      <c r="AI12" s="12">
        <f>U12/1.37</f>
        <v>1.7810218978102188</v>
      </c>
      <c r="AJ12" s="8">
        <f>(E12/Q12*(AI12-I12/1000/2)-G12)/(AI12+I12/1000/2)</f>
        <v>250.02253224350105</v>
      </c>
      <c r="AK12" s="13">
        <f>(AJ12*(AH12-AC12/2)-G12)/(AH12+AC12/2)</f>
        <v>242.2040341181345</v>
      </c>
      <c r="AL12" s="14">
        <f>AK12*Q12</f>
        <v>230.82044451458216</v>
      </c>
      <c r="AM12" s="4"/>
      <c r="AO12">
        <v>184</v>
      </c>
      <c r="AP12">
        <v>1080</v>
      </c>
      <c r="AQ12" s="12">
        <f>P12*1000*(1+(N12-M12)/(Q12*1000))</f>
        <v>0.60764553075970618</v>
      </c>
      <c r="AR12" s="8">
        <f>AQ12*AO12</f>
        <v>111.80677765978594</v>
      </c>
      <c r="AS12" s="8">
        <f>(AO13-AO12)/AR12</f>
        <v>6.5470091824610543</v>
      </c>
      <c r="AT12">
        <f>1/(U12*1.186)</f>
        <v>0.34556160672324665</v>
      </c>
      <c r="AU12" s="8">
        <f>AS12-(AT12+AT13)</f>
        <v>5.8558859690145608</v>
      </c>
      <c r="AV12" s="8">
        <f>AU12*1.292</f>
        <v>7.5658046719668128</v>
      </c>
      <c r="AW12" s="8">
        <f>AV12+1/U12+1/U13</f>
        <v>8.3854768031143543</v>
      </c>
      <c r="AX12" s="8">
        <f>1/H12+1/H13</f>
        <v>6.4298302245642196</v>
      </c>
      <c r="AY12" s="8">
        <f>1/AD12</f>
        <v>4.0245047535247469</v>
      </c>
      <c r="AZ12" s="8">
        <f>AW12-AX12</f>
        <v>1.9556465785501347</v>
      </c>
      <c r="BA12" s="8">
        <f>AW12-AY14</f>
        <v>2.6106400256631135</v>
      </c>
    </row>
    <row r="13" spans="1:53" x14ac:dyDescent="0.25">
      <c r="A13" s="5"/>
      <c r="B13" s="6"/>
      <c r="D13">
        <v>410.1</v>
      </c>
      <c r="E13">
        <v>356</v>
      </c>
      <c r="F13">
        <v>261</v>
      </c>
      <c r="G13">
        <v>30.84</v>
      </c>
      <c r="H13">
        <v>0.51400000000000001</v>
      </c>
      <c r="I13">
        <v>7.44</v>
      </c>
      <c r="J13">
        <v>13.39</v>
      </c>
      <c r="K13">
        <v>0.73</v>
      </c>
      <c r="L13">
        <v>49.33</v>
      </c>
      <c r="M13">
        <v>8.51</v>
      </c>
      <c r="N13">
        <v>20.04</v>
      </c>
      <c r="O13">
        <v>26.75</v>
      </c>
      <c r="P13" s="7">
        <v>6.0236100000000004E-4</v>
      </c>
      <c r="Q13">
        <v>0.95299999999999996</v>
      </c>
      <c r="R13">
        <v>25.92</v>
      </c>
      <c r="S13">
        <v>33.450000000000003</v>
      </c>
      <c r="T13">
        <v>0.65200000000000002</v>
      </c>
      <c r="U13">
        <v>2.44</v>
      </c>
      <c r="V13">
        <v>3.5000000000000001E-3</v>
      </c>
      <c r="W13">
        <f>V13*0.04</f>
        <v>1.4000000000000001E-4</v>
      </c>
      <c r="X13">
        <f>((I13/1000/U13)*(1-N13/Q13/2000)+N13/Q13/1000)/(1+I13/1000/(2*U13))*1000</f>
        <v>24.008848670311163</v>
      </c>
      <c r="Z13" s="15">
        <v>0.96</v>
      </c>
      <c r="AA13" s="8">
        <f>S13/Q13*Z13</f>
        <v>33.69569779643232</v>
      </c>
      <c r="AB13" s="9">
        <f>V13*(AA13/1000-X13/1000)</f>
        <v>3.3903971941424049E-5</v>
      </c>
      <c r="AC13" s="10">
        <f>I13/1000-AB13</f>
        <v>7.4060960280585763E-3</v>
      </c>
      <c r="AD13" s="11">
        <f t="shared" ref="AD13" si="1">1/(((AA13/1000-X13/1000)/(I13/1000-AC13*((AA13+X13)/2000)))+((X13-(N13/Q13))/1000)/(I13/1000-I13/1000*((X13+N13/Q13)/2000)))</f>
        <v>0.57132017601821328</v>
      </c>
      <c r="AE13" s="12">
        <f>(AC13-AC13*((AA13+X13)/2000))/((AA13-X13)/1000)</f>
        <v>0.74249255131575009</v>
      </c>
      <c r="AF13" s="12">
        <f>AE13+V13</f>
        <v>0.74599255131575004</v>
      </c>
      <c r="AG13" s="12">
        <f>AE13/1.6</f>
        <v>0.46405784457234378</v>
      </c>
      <c r="AH13" s="12">
        <f>AG13+W13</f>
        <v>0.46419784457234375</v>
      </c>
      <c r="AI13" s="12">
        <f>U13/1.37</f>
        <v>1.7810218978102188</v>
      </c>
      <c r="AJ13" s="8">
        <f>(E13/Q13*(AI13-I13/1000/2)-G13)/(AI13+I13/1000/2)</f>
        <v>354.72014168768919</v>
      </c>
      <c r="AK13" s="13">
        <f>(AJ13*(AH13-AC13/2)-G13)/(AH13+AC13/2)</f>
        <v>283.19411563667535</v>
      </c>
      <c r="AL13" s="14">
        <f>AK13*Q13</f>
        <v>269.8839922017516</v>
      </c>
      <c r="AM13" s="4"/>
      <c r="AO13">
        <v>916</v>
      </c>
      <c r="AQ13" s="12">
        <f>P13*1000*(1+(N13-M13)/(Q13*1000))</f>
        <v>0.60964874641133271</v>
      </c>
      <c r="AS13" s="8"/>
      <c r="AT13">
        <f>1/(U13*1.186)</f>
        <v>0.34556160672324665</v>
      </c>
      <c r="AU13" s="8"/>
      <c r="AV13" s="8"/>
      <c r="AW13" s="8"/>
      <c r="AY13" s="8">
        <f>1/AD13</f>
        <v>1.7503320239264939</v>
      </c>
      <c r="AZ13" s="8"/>
      <c r="BA13" s="8"/>
    </row>
    <row r="14" spans="1:53" x14ac:dyDescent="0.25">
      <c r="A14" s="5"/>
      <c r="B14" s="6"/>
      <c r="G14">
        <f>SUM(G12:G13)</f>
        <v>31.419999999999998</v>
      </c>
      <c r="H14">
        <f>SUM(H12:H13)</f>
        <v>0.73699999999999999</v>
      </c>
      <c r="I14">
        <f>SUM(I12:I13)</f>
        <v>10.561</v>
      </c>
      <c r="J14">
        <f>AVERAGE(J12:J13)</f>
        <v>13.175000000000001</v>
      </c>
      <c r="U14" s="7"/>
      <c r="Z14" s="15"/>
      <c r="AC14" s="10"/>
      <c r="AD14" s="8">
        <f>SUM(AD12:AD13)</f>
        <v>0.81979795433967717</v>
      </c>
      <c r="AE14" s="12"/>
      <c r="AF14" s="12"/>
      <c r="AG14" s="8"/>
      <c r="AJ14" s="8"/>
      <c r="AK14" s="13">
        <f>AK13-AK12</f>
        <v>40.990081518540848</v>
      </c>
      <c r="AL14" s="14"/>
      <c r="AM14" s="13">
        <f>($AK$9-$AK$8)/$G$10*G14</f>
        <v>41.013684401747675</v>
      </c>
      <c r="AN14" s="8"/>
      <c r="AQ14" s="7"/>
      <c r="AU14" s="8"/>
      <c r="AV14" s="8"/>
      <c r="AW14" s="8"/>
      <c r="AY14" s="8">
        <f>SUM(AY12:AY13)</f>
        <v>5.7748367774512408</v>
      </c>
      <c r="AZ14" s="8"/>
      <c r="BA14" s="8"/>
    </row>
    <row r="15" spans="1:53" x14ac:dyDescent="0.25">
      <c r="A15" s="5"/>
      <c r="B15" s="6"/>
      <c r="U15" s="7"/>
      <c r="Z15" s="15"/>
      <c r="AC15" s="10"/>
      <c r="AE15" s="12"/>
      <c r="AF15" s="12"/>
      <c r="AJ15" s="8"/>
      <c r="AK15" s="13"/>
      <c r="AL15" s="14"/>
      <c r="AM15" s="13"/>
      <c r="AQ15" s="7"/>
      <c r="AU15" s="8"/>
      <c r="AV15" s="8"/>
      <c r="AW15" s="8"/>
      <c r="AZ15" s="8"/>
      <c r="BA15" s="8"/>
    </row>
    <row r="16" spans="1:53" x14ac:dyDescent="0.25">
      <c r="A16" s="5">
        <v>44246</v>
      </c>
      <c r="B16" s="6">
        <v>0.55236111111111108</v>
      </c>
      <c r="C16">
        <v>13.25</v>
      </c>
      <c r="D16">
        <v>230.85</v>
      </c>
      <c r="E16">
        <v>230</v>
      </c>
      <c r="F16">
        <v>230</v>
      </c>
      <c r="G16">
        <v>-0.77</v>
      </c>
      <c r="H16">
        <v>0.186</v>
      </c>
      <c r="I16">
        <v>3.41</v>
      </c>
      <c r="J16">
        <v>16.95</v>
      </c>
      <c r="K16">
        <v>0.99</v>
      </c>
      <c r="L16">
        <v>-1.25</v>
      </c>
      <c r="M16">
        <v>10.82</v>
      </c>
      <c r="N16">
        <v>16.2</v>
      </c>
      <c r="O16">
        <v>26.95</v>
      </c>
      <c r="P16" s="7">
        <v>5.9430330000000001E-4</v>
      </c>
      <c r="Q16">
        <v>0.95299999999999996</v>
      </c>
      <c r="R16">
        <v>25.77</v>
      </c>
      <c r="S16">
        <v>33.159999999999997</v>
      </c>
      <c r="T16">
        <v>0.20200000000000001</v>
      </c>
      <c r="U16">
        <v>2.44</v>
      </c>
      <c r="V16">
        <v>2E-3</v>
      </c>
      <c r="W16">
        <f>V16*0.04</f>
        <v>8.0000000000000007E-5</v>
      </c>
      <c r="X16">
        <f>((I16/1000/U16)*(1-N16/Q16/2000)+N16/Q16/1000)/(1+I16/1000/(2*U16))*1000</f>
        <v>18.37177564583164</v>
      </c>
      <c r="Z16" s="15">
        <v>0.92900000000000005</v>
      </c>
      <c r="AA16" s="8">
        <f>S16/Q16*Z16</f>
        <v>32.324910807974817</v>
      </c>
      <c r="AB16" s="9">
        <f>V16*(AA16/1000-X16/1000)</f>
        <v>2.7906270324286352E-5</v>
      </c>
      <c r="AC16" s="10">
        <f>I16/1000-AB16</f>
        <v>3.382093729675714E-3</v>
      </c>
      <c r="AD16" s="11">
        <f t="shared" ref="AD16:AD17" si="2">1/(((AA16/1000-X16/1000)/(I16/1000-AC16*((AA16+X16)/2000)))+((X16-(N16/Q16))/1000)/(I16/1000-I16/1000*((X16+N16/Q16)/2000)))</f>
        <v>0.21705205131838873</v>
      </c>
      <c r="AE16" s="12">
        <f>(AC16-AC16*((AA16+X16)/2000))/((AA16-X16)/1000)</f>
        <v>0.23624534691915225</v>
      </c>
      <c r="AF16" s="12">
        <f>AE16+V16</f>
        <v>0.23824534691915225</v>
      </c>
      <c r="AG16" s="12">
        <f>AE16/1.6</f>
        <v>0.14765334182447015</v>
      </c>
      <c r="AH16" s="12">
        <f>AG16+W16</f>
        <v>0.14773334182447015</v>
      </c>
      <c r="AI16" s="12">
        <f>U16/1.37</f>
        <v>1.7810218978102188</v>
      </c>
      <c r="AJ16" s="8">
        <f>(E16/Q16*(AI16-I16/1000/2)-G16)/(AI16+I16/1000/2)</f>
        <v>241.31340841494119</v>
      </c>
      <c r="AK16" s="13">
        <f>(AJ16*(AH16-AC16/2)-G16)/(AH16+AC16/2)</f>
        <v>241.00459292711079</v>
      </c>
      <c r="AL16" s="14">
        <f>AK16*Q16</f>
        <v>229.67737705953658</v>
      </c>
      <c r="AM16" s="13"/>
      <c r="AO16">
        <v>184</v>
      </c>
      <c r="AP16">
        <v>1108</v>
      </c>
      <c r="AQ16" s="12">
        <f>P16*1000*(1+(N16-M16)/(Q16*1000))</f>
        <v>0.59765833856663175</v>
      </c>
      <c r="AR16" s="8">
        <f>AQ16*AO16</f>
        <v>109.96913429626024</v>
      </c>
      <c r="AS16" s="8">
        <f>(AO17-AO16)/AR16</f>
        <v>6.8382824399989257</v>
      </c>
      <c r="AT16">
        <f>1/(U16*1.186)</f>
        <v>0.34556160672324665</v>
      </c>
      <c r="AU16" s="8">
        <f>AS16-(AT16+AT17)</f>
        <v>6.1471592265524322</v>
      </c>
      <c r="AV16" s="8">
        <f>AU16*1.292</f>
        <v>7.9421297207057426</v>
      </c>
      <c r="AW16" s="8">
        <f>AV16+1/U16+1/U17</f>
        <v>8.7618018518532832</v>
      </c>
      <c r="AX16" s="8">
        <f>1/H16+1/H17</f>
        <v>7.876344086021505</v>
      </c>
      <c r="AY16" s="8">
        <f>1/AD16</f>
        <v>4.607189814267743</v>
      </c>
      <c r="AZ16" s="8">
        <f>AW16-AX16</f>
        <v>0.88545776583177815</v>
      </c>
      <c r="BA16" s="8">
        <f>AW16-AY18</f>
        <v>2.0134894286225578</v>
      </c>
    </row>
    <row r="17" spans="1:53" x14ac:dyDescent="0.25">
      <c r="A17" s="5"/>
      <c r="B17" s="6"/>
      <c r="D17">
        <v>418.95</v>
      </c>
      <c r="E17">
        <v>367</v>
      </c>
      <c r="F17">
        <v>249</v>
      </c>
      <c r="G17">
        <v>29.45</v>
      </c>
      <c r="H17">
        <v>0.4</v>
      </c>
      <c r="I17">
        <v>7.3479999999999999</v>
      </c>
      <c r="J17">
        <v>16.98</v>
      </c>
      <c r="K17">
        <v>0.67</v>
      </c>
      <c r="L17">
        <v>47.45</v>
      </c>
      <c r="M17">
        <v>4.59</v>
      </c>
      <c r="N17">
        <v>16.18</v>
      </c>
      <c r="O17">
        <v>26.76</v>
      </c>
      <c r="P17" s="7">
        <v>5.9495649999999995E-4</v>
      </c>
      <c r="Q17">
        <v>0.95299999999999996</v>
      </c>
      <c r="R17">
        <v>25.77</v>
      </c>
      <c r="S17">
        <v>33.159999999999997</v>
      </c>
      <c r="T17">
        <v>0.47899999999999998</v>
      </c>
      <c r="U17">
        <v>2.44</v>
      </c>
      <c r="V17">
        <v>3.5000000000000001E-3</v>
      </c>
      <c r="W17">
        <f>V17*0.04</f>
        <v>1.4000000000000001E-4</v>
      </c>
      <c r="X17">
        <f>((I17/1000/U17)*(1-N17/Q17/2000)+N17/Q17/1000)/(1+I17/1000/(2*U17))*1000</f>
        <v>19.933860207073455</v>
      </c>
      <c r="Z17" s="15">
        <v>0.92900000000000005</v>
      </c>
      <c r="AA17" s="8">
        <f>S17/Q17*Z17</f>
        <v>32.324910807974817</v>
      </c>
      <c r="AB17" s="9">
        <f>V17*(AA17/1000-X17/1000)</f>
        <v>4.3368677103154777E-5</v>
      </c>
      <c r="AC17" s="10">
        <f>I17/1000-AB17</f>
        <v>7.3046313228968445E-3</v>
      </c>
      <c r="AD17" s="11">
        <f t="shared" si="2"/>
        <v>0.46704471561501726</v>
      </c>
      <c r="AE17" s="12">
        <f>(AC17-AC17*((AA17+X17)/2000))/((AA17-X17)/1000)</f>
        <v>0.57410513637585014</v>
      </c>
      <c r="AF17" s="12">
        <f>AE17+V17</f>
        <v>0.57760513637585009</v>
      </c>
      <c r="AG17" s="12">
        <f>AE17/1.6</f>
        <v>0.35881571023490633</v>
      </c>
      <c r="AH17" s="12">
        <f>AG17+W17</f>
        <v>0.3589557102349063</v>
      </c>
      <c r="AI17" s="12">
        <f>U17/1.37</f>
        <v>1.7810218978102188</v>
      </c>
      <c r="AJ17" s="8">
        <f>(E17/Q17*(AI17-I17/1000/2)-G17)/(AI17+I17/1000/2)</f>
        <v>367.0127312723028</v>
      </c>
      <c r="AK17" s="13">
        <f>(AJ17*(AH17-AC17/2)-G17)/(AH17+AC17/2)</f>
        <v>278.40219207277153</v>
      </c>
      <c r="AL17" s="14">
        <f>AK17*Q17</f>
        <v>265.31728904535123</v>
      </c>
      <c r="AM17" s="13"/>
      <c r="AO17">
        <v>936</v>
      </c>
      <c r="AQ17" s="12">
        <f>P17*1000*(1+(N17-M17)/(Q17*1000))</f>
        <v>0.60219211997376698</v>
      </c>
      <c r="AS17" s="8"/>
      <c r="AT17">
        <f>1/(U17*1.186)</f>
        <v>0.34556160672324665</v>
      </c>
      <c r="AU17" s="8"/>
      <c r="AV17" s="8"/>
      <c r="AW17" s="8"/>
      <c r="AY17" s="8">
        <f>1/AD17</f>
        <v>2.1411226089629825</v>
      </c>
      <c r="AZ17" s="8"/>
      <c r="BA17" s="8"/>
    </row>
    <row r="18" spans="1:53" x14ac:dyDescent="0.25">
      <c r="A18" s="5"/>
      <c r="B18" s="6"/>
      <c r="G18">
        <f>SUM(G16:G17)</f>
        <v>28.68</v>
      </c>
      <c r="H18">
        <f>SUM(H16:H17)</f>
        <v>0.58600000000000008</v>
      </c>
      <c r="I18">
        <f>SUM(I16:I17)</f>
        <v>10.757999999999999</v>
      </c>
      <c r="J18">
        <f>AVERAGE(J16:J17)</f>
        <v>16.965</v>
      </c>
      <c r="U18" s="7"/>
      <c r="Z18" s="15"/>
      <c r="AA18" s="8"/>
      <c r="AC18" s="10"/>
      <c r="AD18" s="8">
        <f>SUM(AD16:AD17)</f>
        <v>0.68409676693340593</v>
      </c>
      <c r="AE18" s="12"/>
      <c r="AF18" s="12"/>
      <c r="AG18" s="8"/>
      <c r="AH18" s="7"/>
      <c r="AJ18" s="8"/>
      <c r="AK18" s="13">
        <f>AK17-AK16</f>
        <v>37.397599145660735</v>
      </c>
      <c r="AL18" s="14"/>
      <c r="AM18" s="13">
        <f>($AK$9-$AK$8)/$G$10*G18</f>
        <v>37.43706138262646</v>
      </c>
      <c r="AN18" s="8"/>
      <c r="AQ18" s="7"/>
      <c r="AU18" s="8"/>
      <c r="AV18" s="8"/>
      <c r="AW18" s="8"/>
      <c r="AY18" s="8">
        <f>SUM(AY16:AY17)</f>
        <v>6.7483124232307254</v>
      </c>
      <c r="AZ18" s="8"/>
      <c r="BA18" s="8"/>
    </row>
    <row r="19" spans="1:53" x14ac:dyDescent="0.25">
      <c r="A19" s="5"/>
      <c r="B19" s="6"/>
      <c r="U19" s="7"/>
      <c r="Z19" s="15"/>
      <c r="AK19" s="13"/>
      <c r="AL19" s="14"/>
      <c r="AM19" s="13"/>
      <c r="AQ19" s="7"/>
      <c r="AU19" s="8"/>
      <c r="AV19" s="8"/>
      <c r="AW19" s="8"/>
      <c r="AZ19" s="8"/>
      <c r="BA19" s="8"/>
    </row>
    <row r="20" spans="1:53" x14ac:dyDescent="0.25">
      <c r="A20" s="5">
        <v>44246</v>
      </c>
      <c r="B20" s="6">
        <v>0.57673611111111112</v>
      </c>
      <c r="C20">
        <v>13.84</v>
      </c>
      <c r="D20">
        <v>231.17</v>
      </c>
      <c r="E20">
        <v>229</v>
      </c>
      <c r="F20">
        <v>221</v>
      </c>
      <c r="G20">
        <v>0.01</v>
      </c>
      <c r="H20">
        <v>0.16</v>
      </c>
      <c r="I20">
        <v>3.5649999999999999</v>
      </c>
      <c r="J20">
        <v>20.54</v>
      </c>
      <c r="K20">
        <v>0.95</v>
      </c>
      <c r="L20">
        <v>0.03</v>
      </c>
      <c r="M20">
        <v>6.86</v>
      </c>
      <c r="N20">
        <v>12.59</v>
      </c>
      <c r="O20">
        <v>26.96</v>
      </c>
      <c r="P20" s="7">
        <v>5.8484330000000003E-4</v>
      </c>
      <c r="Q20">
        <v>0.95199999999999996</v>
      </c>
      <c r="R20">
        <v>25.76</v>
      </c>
      <c r="S20">
        <v>33.130000000000003</v>
      </c>
      <c r="T20">
        <v>0.17199999999999999</v>
      </c>
      <c r="U20">
        <v>2.44</v>
      </c>
      <c r="V20">
        <v>2E-3</v>
      </c>
      <c r="W20">
        <f>V20*0.04</f>
        <v>8.0000000000000007E-5</v>
      </c>
      <c r="X20">
        <f>((I20/1000/U20)*(1-N20/Q20/2000)+N20/Q20/1000)/(1+I20/1000/(2*U20))*1000</f>
        <v>14.665480732593004</v>
      </c>
      <c r="Z20" s="15">
        <v>0.89500000000000002</v>
      </c>
      <c r="AA20" s="8">
        <f>S20/Q20*Z20</f>
        <v>31.146376050420177</v>
      </c>
      <c r="AB20" s="9">
        <f>V20*(AA20/1000-X20/1000)</f>
        <v>3.2961790635654343E-5</v>
      </c>
      <c r="AC20" s="10">
        <f>I20/1000-AB20</f>
        <v>3.5320382093643457E-3</v>
      </c>
      <c r="AD20" s="11">
        <f>1/(((AA20/1000-X20/1000)/(I20/1000-AC20*((AA20+X20)/2000)))+((X20-(N20/Q20))/1000)/(I20/1000-I20/1000*((X20+N20/Q20)/2000)))</f>
        <v>0.19454652187396768</v>
      </c>
      <c r="AE20" s="12">
        <f>(AC20-AC20*((AA20+X20)/2000))/((AA20-X20)/1000)</f>
        <v>0.20940207000353517</v>
      </c>
      <c r="AF20" s="12">
        <f>AE20+V20</f>
        <v>0.21140207000353517</v>
      </c>
      <c r="AG20" s="12">
        <f>AE20/1.6</f>
        <v>0.13087629375220947</v>
      </c>
      <c r="AH20" s="12">
        <f>AG20+W20</f>
        <v>0.13095629375220946</v>
      </c>
      <c r="AI20" s="12">
        <f>U20/1.37</f>
        <v>1.7810218978102188</v>
      </c>
      <c r="AJ20" s="8">
        <f>(E20/Q20*(AI20-I20/1000/2)-G20)/(AI20+I20/1000/2)</f>
        <v>240.05959905232226</v>
      </c>
      <c r="AK20" s="13">
        <f>(AJ20*(AH20-AC20/2)-G20)/(AH20+AC20/2)</f>
        <v>233.59572980599202</v>
      </c>
      <c r="AL20" s="14">
        <f>AK20*Q20</f>
        <v>222.3831347753044</v>
      </c>
      <c r="AM20" s="13"/>
      <c r="AO20">
        <v>165</v>
      </c>
      <c r="AP20">
        <v>1142</v>
      </c>
      <c r="AQ20" s="12">
        <f>P20*1000*(1+(N20-M20)/(Q20*1000))</f>
        <v>0.58836341776155476</v>
      </c>
      <c r="AR20" s="8">
        <f>AQ20*AO20</f>
        <v>97.079963930656533</v>
      </c>
      <c r="AS20" s="8">
        <f>(AO21-AO20)/AR20</f>
        <v>8.4363442963885458</v>
      </c>
      <c r="AT20">
        <f>1/(U20*1.186)</f>
        <v>0.34556160672324665</v>
      </c>
      <c r="AU20" s="8">
        <f>AS20-(AT20+AT21)</f>
        <v>7.7452210829420522</v>
      </c>
      <c r="AV20" s="8">
        <f>AU20*1.292</f>
        <v>10.006825639161132</v>
      </c>
      <c r="AW20" s="8">
        <f>AV20+1/U20+1/U21</f>
        <v>10.826497770308674</v>
      </c>
      <c r="AX20" s="8">
        <f>1/H20+1/H21</f>
        <v>9.5503300330033003</v>
      </c>
      <c r="AY20" s="8">
        <f>1/AD20</f>
        <v>5.1401587155992754</v>
      </c>
      <c r="AZ20" s="8">
        <f>AW20-AX20</f>
        <v>1.2761677373053733</v>
      </c>
      <c r="BA20" s="8">
        <f>AW20-AY22</f>
        <v>2.939887485154502</v>
      </c>
    </row>
    <row r="21" spans="1:53" x14ac:dyDescent="0.25">
      <c r="A21" s="5"/>
      <c r="B21" s="6"/>
      <c r="D21">
        <v>436.26</v>
      </c>
      <c r="E21">
        <v>385</v>
      </c>
      <c r="F21">
        <v>233</v>
      </c>
      <c r="G21">
        <v>28.53</v>
      </c>
      <c r="H21">
        <v>0.30299999999999999</v>
      </c>
      <c r="I21">
        <v>7.0209999999999999</v>
      </c>
      <c r="J21">
        <v>21.43</v>
      </c>
      <c r="K21">
        <v>0.6</v>
      </c>
      <c r="L21">
        <v>46.43</v>
      </c>
      <c r="M21">
        <v>0.41</v>
      </c>
      <c r="N21">
        <v>11.69</v>
      </c>
      <c r="O21">
        <v>26.75</v>
      </c>
      <c r="P21" s="7">
        <v>5.8563820000000005E-4</v>
      </c>
      <c r="Q21">
        <v>0.95199999999999996</v>
      </c>
      <c r="R21">
        <v>25.76</v>
      </c>
      <c r="S21">
        <v>33.130000000000003</v>
      </c>
      <c r="T21">
        <v>0.34699999999999998</v>
      </c>
      <c r="U21">
        <v>2.44</v>
      </c>
      <c r="V21">
        <v>3.5000000000000001E-3</v>
      </c>
      <c r="W21">
        <f>V21*0.04</f>
        <v>1.4000000000000001E-4</v>
      </c>
      <c r="X21">
        <f>((I21/1000/U21)*(1-N21/Q21/2000)+N21/Q21/1000)/(1+I21/1000/(2*U21))*1000</f>
        <v>15.117454101745153</v>
      </c>
      <c r="Z21" s="15">
        <v>0.89500000000000002</v>
      </c>
      <c r="AA21" s="8">
        <f>S21/Q21*Z21</f>
        <v>31.146376050420177</v>
      </c>
      <c r="AB21" s="9">
        <f>V21*(AA21/1000-X21/1000)</f>
        <v>5.6101226820362579E-5</v>
      </c>
      <c r="AC21" s="10">
        <f>I21/1000-AB21</f>
        <v>6.9648987731796381E-3</v>
      </c>
      <c r="AD21" s="11">
        <f>1/(((AA21/1000-X21/1000)/(I21/1000-AC21*((AA21+X21)/2000)))+((X21-(N21/Q21))/1000)/(I21/1000-I21/1000*((X21+N21/Q21)/2000)))</f>
        <v>0.36410618380649806</v>
      </c>
      <c r="AE21" s="12">
        <f>(AC21-AC21*((AA21+X21)/2000))/((AA21-X21)/1000)</f>
        <v>0.4244694277026751</v>
      </c>
      <c r="AF21" s="12">
        <f>AE21+V21</f>
        <v>0.4279694277026751</v>
      </c>
      <c r="AG21" s="12">
        <f>AE21/1.6</f>
        <v>0.26529339231417193</v>
      </c>
      <c r="AH21" s="12">
        <f>AG21+W21</f>
        <v>0.2654333923141719</v>
      </c>
      <c r="AI21" s="12">
        <f>U21/1.37</f>
        <v>1.7810218978102188</v>
      </c>
      <c r="AJ21" s="8">
        <f>(E21/Q21*(AI21-I21/1000/2)-G21)/(AI21+I21/1000/2)</f>
        <v>386.83328025892416</v>
      </c>
      <c r="AK21" s="13">
        <f>(AJ21*(AH21-AC21/2)-G21)/(AH21+AC21/2)</f>
        <v>270.72165796987554</v>
      </c>
      <c r="AL21" s="14">
        <f>AK21*Q21</f>
        <v>257.72701838732149</v>
      </c>
      <c r="AM21" s="13"/>
      <c r="AO21">
        <v>984</v>
      </c>
      <c r="AQ21" s="12">
        <f>P21*1000*(1+(N21-M21)/(Q21*1000))</f>
        <v>0.59257727447058817</v>
      </c>
      <c r="AS21" s="8"/>
      <c r="AT21">
        <f>1/(U21*1.186)</f>
        <v>0.34556160672324665</v>
      </c>
      <c r="AU21" s="8"/>
      <c r="AV21" s="8"/>
      <c r="AW21" s="8"/>
      <c r="AY21" s="8">
        <f>1/AD21</f>
        <v>2.7464515695548957</v>
      </c>
      <c r="AZ21" s="8"/>
      <c r="BA21" s="8"/>
    </row>
    <row r="22" spans="1:53" x14ac:dyDescent="0.25">
      <c r="A22" s="5"/>
      <c r="B22" s="6"/>
      <c r="G22">
        <f>SUM(G20:G21)</f>
        <v>28.540000000000003</v>
      </c>
      <c r="H22">
        <f>SUM(H20:H21)</f>
        <v>0.46299999999999997</v>
      </c>
      <c r="I22">
        <f>SUM(I20:I21)</f>
        <v>10.586</v>
      </c>
      <c r="J22">
        <f>AVERAGE(J20:J21)</f>
        <v>20.984999999999999</v>
      </c>
      <c r="U22" s="7"/>
      <c r="Z22" s="15"/>
      <c r="AC22" s="10"/>
      <c r="AD22" s="8">
        <f>SUM(AD20:AD21)</f>
        <v>0.55865270568046577</v>
      </c>
      <c r="AE22" s="12"/>
      <c r="AF22" s="12"/>
      <c r="AG22" s="8"/>
      <c r="AJ22" s="8"/>
      <c r="AK22" s="13">
        <f>AK21-AK20</f>
        <v>37.125928163883515</v>
      </c>
      <c r="AL22" s="14"/>
      <c r="AM22" s="13">
        <f>($AK$9-$AK$8)/$G$10*G22</f>
        <v>37.254314221065528</v>
      </c>
      <c r="AN22" s="8"/>
      <c r="AQ22" s="7"/>
      <c r="AU22" s="8"/>
      <c r="AV22" s="8"/>
      <c r="AW22" s="8"/>
      <c r="AY22" s="8">
        <f>SUM(AY20:AY21)</f>
        <v>7.8866102851541715</v>
      </c>
      <c r="AZ22" s="8"/>
      <c r="BA22" s="8"/>
    </row>
    <row r="23" spans="1:53" x14ac:dyDescent="0.25">
      <c r="A23" s="5"/>
      <c r="B23" s="6"/>
      <c r="U23" s="7"/>
      <c r="Z23" s="15"/>
      <c r="AC23" s="10"/>
      <c r="AE23" s="12"/>
      <c r="AF23" s="12"/>
      <c r="AJ23" s="8"/>
      <c r="AK23" s="13"/>
      <c r="AL23" s="14"/>
      <c r="AM23" s="13"/>
      <c r="AQ23" s="7"/>
      <c r="AU23" s="8"/>
      <c r="AV23" s="8"/>
      <c r="AW23" s="8"/>
      <c r="AZ23" s="8"/>
      <c r="BA23" s="8"/>
    </row>
    <row r="24" spans="1:53" x14ac:dyDescent="0.25">
      <c r="A24" s="5">
        <v>44246</v>
      </c>
      <c r="B24" s="6">
        <v>0.61577546296296293</v>
      </c>
      <c r="C24">
        <v>14.77</v>
      </c>
      <c r="D24">
        <v>227.92</v>
      </c>
      <c r="E24">
        <v>227</v>
      </c>
      <c r="F24">
        <v>226</v>
      </c>
      <c r="G24">
        <v>-0.69</v>
      </c>
      <c r="H24">
        <v>0.11799999999999999</v>
      </c>
      <c r="I24">
        <v>3.17</v>
      </c>
      <c r="J24">
        <v>24.85</v>
      </c>
      <c r="K24">
        <v>0.99</v>
      </c>
      <c r="L24">
        <v>-0.7</v>
      </c>
      <c r="M24">
        <v>5.09</v>
      </c>
      <c r="N24">
        <v>8.27</v>
      </c>
      <c r="O24">
        <v>26.96</v>
      </c>
      <c r="P24" s="7">
        <v>9.3682089999999997E-4</v>
      </c>
      <c r="Q24">
        <v>0.95</v>
      </c>
      <c r="R24">
        <v>25.76</v>
      </c>
      <c r="S24">
        <v>33.130000000000003</v>
      </c>
      <c r="T24">
        <v>0.123</v>
      </c>
      <c r="U24">
        <v>2.44</v>
      </c>
      <c r="V24">
        <v>2E-3</v>
      </c>
      <c r="W24">
        <f>V24*0.04</f>
        <v>8.0000000000000007E-5</v>
      </c>
      <c r="X24">
        <f>((I24/1000/U24)*(1-N24/Q24/2000)+N24/Q24/1000)/(1+I24/1000/(2*U24))*1000</f>
        <v>9.9922977341185728</v>
      </c>
      <c r="Z24" s="15">
        <v>0.89</v>
      </c>
      <c r="AA24" s="8">
        <f>S24/Q24*Z24</f>
        <v>31.037578947368427</v>
      </c>
      <c r="AB24" s="9">
        <f>V24*(AA24/1000-X24/1000)</f>
        <v>4.2090562426499713E-5</v>
      </c>
      <c r="AC24" s="10">
        <f>I24/1000-AB24</f>
        <v>3.1279094375735003E-3</v>
      </c>
      <c r="AD24" s="11">
        <f t="shared" ref="AD24:AD25" si="3">1/(((AA24/1000-X24/1000)/(I24/1000-AC24*((AA24+X24)/2000)))+((X24-(N24/Q24))/1000)/(I24/1000-I24/1000*((X24+N24/Q24)/2000)))</f>
        <v>0.13916159476097548</v>
      </c>
      <c r="AE24" s="12">
        <f>(AC24-AC24*((AA24+X24)/2000))/((AA24-X24)/1000)</f>
        <v>0.14557850461971286</v>
      </c>
      <c r="AF24" s="12">
        <f>AE24+V24</f>
        <v>0.14757850461971286</v>
      </c>
      <c r="AG24" s="12">
        <f>AE24/1.6</f>
        <v>9.0986565387320528E-2</v>
      </c>
      <c r="AH24" s="12">
        <f>AG24+W24</f>
        <v>9.1066565387320525E-2</v>
      </c>
      <c r="AI24" s="12">
        <f>U24/1.37</f>
        <v>1.7810218978102188</v>
      </c>
      <c r="AJ24" s="8">
        <f>(E24/Q24*(AI24-I24/1000/2)-G24)/(AI24+I24/1000/2)</f>
        <v>238.90952319674793</v>
      </c>
      <c r="AK24" s="13">
        <f>(AJ24*(AH24-AC24/2)-G24)/(AH24+AC24/2)</f>
        <v>238.29107311930406</v>
      </c>
      <c r="AL24" s="14">
        <f>AK24*Q24</f>
        <v>226.37651946333884</v>
      </c>
      <c r="AM24" s="13"/>
      <c r="AO24">
        <v>100</v>
      </c>
      <c r="AP24">
        <v>1142</v>
      </c>
      <c r="AQ24" s="12">
        <f>P24*1000*(1+(N24-M24)/(Q24*1000))</f>
        <v>0.93995678469684196</v>
      </c>
      <c r="AR24" s="8">
        <f>AQ24*AO24</f>
        <v>93.995678469684194</v>
      </c>
      <c r="AS24" s="8">
        <f>(AO25-AO24)/AR24</f>
        <v>10.128125202128759</v>
      </c>
      <c r="AT24">
        <f>1/(U24*1.186)</f>
        <v>0.34556160672324665</v>
      </c>
      <c r="AU24" s="8">
        <f>AS24-(AT24+AT25)</f>
        <v>9.4370019886822654</v>
      </c>
      <c r="AV24" s="8">
        <f>AU24*1.292</f>
        <v>12.192606569377487</v>
      </c>
      <c r="AW24" s="8">
        <f>AV24+1/U24+1/U25</f>
        <v>13.012278700525028</v>
      </c>
      <c r="AX24" s="8">
        <f>1/H24+1/H25</f>
        <v>12.67625694345535</v>
      </c>
      <c r="AY24" s="8">
        <f>1/AD24</f>
        <v>7.1858906310868607</v>
      </c>
      <c r="AZ24" s="8">
        <f>AW24-AX24</f>
        <v>0.33602175706967863</v>
      </c>
      <c r="BA24" s="8">
        <f>AW24-AY26</f>
        <v>2.2309534445968442</v>
      </c>
    </row>
    <row r="25" spans="1:53" x14ac:dyDescent="0.25">
      <c r="A25" s="5"/>
      <c r="B25" s="6"/>
      <c r="D25">
        <v>434.54</v>
      </c>
      <c r="E25">
        <v>406</v>
      </c>
      <c r="F25">
        <v>233</v>
      </c>
      <c r="G25">
        <v>25.23</v>
      </c>
      <c r="H25">
        <v>0.23799999999999999</v>
      </c>
      <c r="I25">
        <v>6.5190000000000001</v>
      </c>
      <c r="J25">
        <v>25.47</v>
      </c>
      <c r="K25">
        <v>0.56000000000000005</v>
      </c>
      <c r="L25">
        <v>25.54</v>
      </c>
      <c r="M25">
        <v>1.1200000000000001</v>
      </c>
      <c r="N25">
        <v>7.65</v>
      </c>
      <c r="O25">
        <v>26.77</v>
      </c>
      <c r="P25" s="7">
        <v>9.420346E-4</v>
      </c>
      <c r="Q25">
        <v>0.95</v>
      </c>
      <c r="R25">
        <v>25.76</v>
      </c>
      <c r="S25">
        <v>33.130000000000003</v>
      </c>
      <c r="T25">
        <v>0.26300000000000001</v>
      </c>
      <c r="U25">
        <v>2.44</v>
      </c>
      <c r="V25">
        <v>3.5000000000000001E-3</v>
      </c>
      <c r="W25">
        <f>V25*0.04</f>
        <v>1.4000000000000001E-4</v>
      </c>
      <c r="X25">
        <f>((I25/1000/U25)*(1-N25/Q25/2000)+N25/Q25/1000)/(1+I25/1000/(2*U25))*1000</f>
        <v>10.699302918908126</v>
      </c>
      <c r="Z25" s="15">
        <v>0.89</v>
      </c>
      <c r="AA25" s="8">
        <f>S25/Q25*Z25</f>
        <v>31.037578947368427</v>
      </c>
      <c r="AB25" s="9">
        <f>V25*(AA25/1000-X25/1000)</f>
        <v>7.1183966099611049E-5</v>
      </c>
      <c r="AC25" s="10">
        <f>I25/1000-AB25</f>
        <v>6.4478160339003898E-3</v>
      </c>
      <c r="AD25" s="11">
        <f t="shared" si="3"/>
        <v>0.27813049167710369</v>
      </c>
      <c r="AE25" s="12">
        <f>(AC25-AC25*((AA25+X25)/2000))/((AA25-X25)/1000)</f>
        <v>0.31041274870174629</v>
      </c>
      <c r="AF25" s="12">
        <f>AE25+V25</f>
        <v>0.31391274870174629</v>
      </c>
      <c r="AG25" s="12">
        <f>AE25/1.6</f>
        <v>0.19400796793859143</v>
      </c>
      <c r="AH25" s="12">
        <f>AG25+W25</f>
        <v>0.19414796793859143</v>
      </c>
      <c r="AI25" s="12">
        <f>U25/1.37</f>
        <v>1.7810218978102188</v>
      </c>
      <c r="AJ25" s="8">
        <f>(E25/Q25*(AI25-I25/1000/2)-G25)/(AI25+I25/1000/2)</f>
        <v>411.6668535917899</v>
      </c>
      <c r="AK25" s="13">
        <f>(AJ25*(AH25-AC25/2)-G25)/(AH25+AC25/2)</f>
        <v>270.38860913970058</v>
      </c>
      <c r="AL25" s="14">
        <f>AK25*Q25</f>
        <v>256.86917868271553</v>
      </c>
      <c r="AM25" s="13"/>
      <c r="AO25">
        <v>1052</v>
      </c>
      <c r="AQ25" s="12">
        <f>P25*1000*(1+(N25-M25)/(Q25*1000))</f>
        <v>0.94850984835578955</v>
      </c>
      <c r="AS25" s="8"/>
      <c r="AT25">
        <f>1/(U25*1.186)</f>
        <v>0.34556160672324665</v>
      </c>
      <c r="AU25" s="8"/>
      <c r="AV25" s="8"/>
      <c r="AW25" s="8"/>
      <c r="AY25" s="8">
        <f>1/AD25</f>
        <v>3.5954346248413231</v>
      </c>
      <c r="AZ25" s="8"/>
      <c r="BA25" s="8"/>
    </row>
    <row r="26" spans="1:53" x14ac:dyDescent="0.25">
      <c r="A26" s="5"/>
      <c r="B26" s="6"/>
      <c r="G26">
        <f>SUM(G24:G25)</f>
        <v>24.54</v>
      </c>
      <c r="H26">
        <f>SUM(H24:H25)</f>
        <v>0.35599999999999998</v>
      </c>
      <c r="I26">
        <f>SUM(I24:I25)</f>
        <v>9.6890000000000001</v>
      </c>
      <c r="J26">
        <f>AVERAGE(J24:J25)</f>
        <v>25.16</v>
      </c>
      <c r="V26" s="7"/>
      <c r="AA26" s="8"/>
      <c r="AC26" s="10"/>
      <c r="AD26" s="8">
        <f>SUM(AD24:AD25)</f>
        <v>0.41729208643807914</v>
      </c>
      <c r="AE26" s="12"/>
      <c r="AF26" s="12"/>
      <c r="AG26" s="8"/>
      <c r="AH26" s="7"/>
      <c r="AJ26" s="8"/>
      <c r="AK26" s="13">
        <f>AK25-AK24</f>
        <v>32.097536020396518</v>
      </c>
      <c r="AL26" s="14"/>
      <c r="AM26" s="13">
        <f>($AK$9-$AK$8)/$G$10*G26</f>
        <v>32.032966747895863</v>
      </c>
      <c r="AN26" s="8"/>
      <c r="AU26" s="8"/>
      <c r="AV26" s="8"/>
      <c r="AW26" s="8"/>
      <c r="AY26" s="8">
        <f>SUM(AY24:AY25)</f>
        <v>10.781325255928184</v>
      </c>
      <c r="AZ26" s="8"/>
      <c r="BA26" s="8"/>
    </row>
    <row r="31" spans="1:53" x14ac:dyDescent="0.25">
      <c r="C31" t="s">
        <v>42</v>
      </c>
      <c r="D31" t="s">
        <v>43</v>
      </c>
    </row>
    <row r="32" spans="1:53" x14ac:dyDescent="0.25">
      <c r="C32" t="s">
        <v>44</v>
      </c>
      <c r="D32" t="s">
        <v>45</v>
      </c>
    </row>
    <row r="33" spans="3:4" x14ac:dyDescent="0.25">
      <c r="C33" t="s">
        <v>46</v>
      </c>
      <c r="D33" t="s">
        <v>47</v>
      </c>
    </row>
    <row r="34" spans="3:4" x14ac:dyDescent="0.25">
      <c r="C34" t="s">
        <v>48</v>
      </c>
      <c r="D34" t="s">
        <v>49</v>
      </c>
    </row>
    <row r="35" spans="3:4" x14ac:dyDescent="0.25">
      <c r="C35" t="s">
        <v>50</v>
      </c>
      <c r="D35" t="s">
        <v>51</v>
      </c>
    </row>
    <row r="36" spans="3:4" x14ac:dyDescent="0.25">
      <c r="C36" t="s">
        <v>52</v>
      </c>
      <c r="D36" t="s">
        <v>53</v>
      </c>
    </row>
    <row r="37" spans="3:4" x14ac:dyDescent="0.25">
      <c r="C37" t="s">
        <v>54</v>
      </c>
      <c r="D37" t="s">
        <v>55</v>
      </c>
    </row>
    <row r="38" spans="3:4" x14ac:dyDescent="0.25">
      <c r="C38" t="s">
        <v>56</v>
      </c>
      <c r="D38" t="s">
        <v>57</v>
      </c>
    </row>
    <row r="39" spans="3:4" x14ac:dyDescent="0.25">
      <c r="C39" t="s">
        <v>58</v>
      </c>
      <c r="D39" t="s">
        <v>59</v>
      </c>
    </row>
    <row r="40" spans="3:4" x14ac:dyDescent="0.25">
      <c r="C40" t="s">
        <v>60</v>
      </c>
      <c r="D40" t="s">
        <v>61</v>
      </c>
    </row>
    <row r="41" spans="3:4" x14ac:dyDescent="0.25">
      <c r="C41" t="s">
        <v>62</v>
      </c>
      <c r="D41" t="s">
        <v>63</v>
      </c>
    </row>
    <row r="42" spans="3:4" x14ac:dyDescent="0.25">
      <c r="C42" t="s">
        <v>64</v>
      </c>
      <c r="D42" t="s">
        <v>65</v>
      </c>
    </row>
    <row r="43" spans="3:4" x14ac:dyDescent="0.25">
      <c r="C43" t="s">
        <v>66</v>
      </c>
      <c r="D43" t="s">
        <v>67</v>
      </c>
    </row>
    <row r="44" spans="3:4" x14ac:dyDescent="0.25">
      <c r="C44" t="s">
        <v>68</v>
      </c>
      <c r="D44" t="s">
        <v>69</v>
      </c>
    </row>
    <row r="45" spans="3:4" x14ac:dyDescent="0.25">
      <c r="C45" t="s">
        <v>70</v>
      </c>
      <c r="D45" t="s">
        <v>71</v>
      </c>
    </row>
    <row r="46" spans="3:4" x14ac:dyDescent="0.25">
      <c r="C46" t="s">
        <v>72</v>
      </c>
      <c r="D46" t="s">
        <v>73</v>
      </c>
    </row>
    <row r="47" spans="3:4" x14ac:dyDescent="0.25">
      <c r="C47" t="s">
        <v>74</v>
      </c>
      <c r="D47" t="s">
        <v>75</v>
      </c>
    </row>
    <row r="48" spans="3:4" x14ac:dyDescent="0.25">
      <c r="C48" t="s">
        <v>76</v>
      </c>
      <c r="D48" t="s">
        <v>77</v>
      </c>
    </row>
    <row r="49" spans="3:21" x14ac:dyDescent="0.25">
      <c r="C49" t="s">
        <v>78</v>
      </c>
      <c r="D49" t="s">
        <v>79</v>
      </c>
    </row>
    <row r="50" spans="3:21" x14ac:dyDescent="0.25">
      <c r="C50" t="s">
        <v>80</v>
      </c>
      <c r="D50" t="s">
        <v>81</v>
      </c>
    </row>
    <row r="51" spans="3:21" x14ac:dyDescent="0.25">
      <c r="C51" t="s">
        <v>82</v>
      </c>
      <c r="D51" s="16" t="s">
        <v>83</v>
      </c>
      <c r="E51" s="17"/>
      <c r="F51" s="17"/>
      <c r="G51" s="17"/>
      <c r="H51" s="17"/>
      <c r="I51" s="17"/>
    </row>
    <row r="52" spans="3:21" x14ac:dyDescent="0.25">
      <c r="C52" t="s">
        <v>84</v>
      </c>
      <c r="D52" t="s">
        <v>85</v>
      </c>
    </row>
    <row r="53" spans="3:21" x14ac:dyDescent="0.25">
      <c r="C53" t="s">
        <v>86</v>
      </c>
      <c r="D53" t="s">
        <v>87</v>
      </c>
    </row>
    <row r="54" spans="3:21" x14ac:dyDescent="0.25">
      <c r="C54" t="s">
        <v>88</v>
      </c>
      <c r="D54" t="s">
        <v>89</v>
      </c>
      <c r="U54" s="21"/>
    </row>
    <row r="55" spans="3:21" x14ac:dyDescent="0.25">
      <c r="C55" t="s">
        <v>90</v>
      </c>
      <c r="D55" t="s">
        <v>51</v>
      </c>
    </row>
    <row r="56" spans="3:21" x14ac:dyDescent="0.25">
      <c r="C56" t="s">
        <v>91</v>
      </c>
      <c r="D56" t="s">
        <v>75</v>
      </c>
    </row>
    <row r="57" spans="3:21" x14ac:dyDescent="0.25">
      <c r="C57" t="s">
        <v>92</v>
      </c>
      <c r="D57" t="s">
        <v>93</v>
      </c>
    </row>
    <row r="58" spans="3:21" x14ac:dyDescent="0.25">
      <c r="C58" t="s">
        <v>94</v>
      </c>
      <c r="D58" t="s">
        <v>95</v>
      </c>
    </row>
    <row r="59" spans="3:21" x14ac:dyDescent="0.25">
      <c r="C59" t="s">
        <v>96</v>
      </c>
      <c r="D59" t="s">
        <v>97</v>
      </c>
    </row>
    <row r="60" spans="3:21" x14ac:dyDescent="0.25">
      <c r="C60" t="s">
        <v>98</v>
      </c>
      <c r="D60" t="s">
        <v>99</v>
      </c>
    </row>
    <row r="61" spans="3:21" x14ac:dyDescent="0.25">
      <c r="C61" t="s">
        <v>100</v>
      </c>
      <c r="D61" s="16" t="s">
        <v>101</v>
      </c>
      <c r="E61" s="17"/>
      <c r="F61" s="17"/>
      <c r="G61" s="17"/>
      <c r="H61" s="17"/>
      <c r="I61" s="17"/>
      <c r="J61" s="17"/>
      <c r="K61" s="17"/>
      <c r="L61" s="17"/>
      <c r="M61" s="17"/>
      <c r="N61" s="17"/>
    </row>
    <row r="62" spans="3:21" x14ac:dyDescent="0.25">
      <c r="C62" t="s">
        <v>40</v>
      </c>
      <c r="D62" s="16" t="s">
        <v>102</v>
      </c>
      <c r="E62" s="17"/>
      <c r="F62" s="17"/>
      <c r="G62" s="17"/>
      <c r="H62" s="17"/>
      <c r="I62" s="17"/>
      <c r="J62" s="17"/>
      <c r="K62" s="17"/>
      <c r="L62" s="17"/>
      <c r="M62" s="17"/>
      <c r="N62" s="17"/>
    </row>
    <row r="63" spans="3:21" x14ac:dyDescent="0.25">
      <c r="C63" t="s">
        <v>46</v>
      </c>
      <c r="D63" t="s">
        <v>47</v>
      </c>
    </row>
  </sheetData>
  <mergeCells count="2">
    <mergeCell ref="D4:X4"/>
    <mergeCell ref="Z4:AM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95CA2-B0B5-4E6A-AAD1-AF649F83D7CD}">
  <dimension ref="A1:AM72"/>
  <sheetViews>
    <sheetView workbookViewId="0">
      <selection activeCell="K32" sqref="K32"/>
    </sheetView>
  </sheetViews>
  <sheetFormatPr defaultRowHeight="15" x14ac:dyDescent="0.25"/>
  <sheetData>
    <row r="1" spans="1:39" x14ac:dyDescent="0.25">
      <c r="A1" t="s">
        <v>103</v>
      </c>
      <c r="C1" s="1" t="s">
        <v>155</v>
      </c>
      <c r="H1" t="s">
        <v>156</v>
      </c>
      <c r="J1" s="4"/>
      <c r="K1" s="4"/>
    </row>
    <row r="2" spans="1:39" x14ac:dyDescent="0.25">
      <c r="A2" t="s">
        <v>157</v>
      </c>
    </row>
    <row r="4" spans="1:39" x14ac:dyDescent="0.25">
      <c r="D4" s="53" t="s">
        <v>2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Z4" s="52" t="s">
        <v>3</v>
      </c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</row>
    <row r="6" spans="1:39" x14ac:dyDescent="0.25">
      <c r="AM6" s="4" t="s">
        <v>107</v>
      </c>
    </row>
    <row r="7" spans="1:39" x14ac:dyDescent="0.25">
      <c r="A7" t="s">
        <v>5</v>
      </c>
      <c r="B7" t="s">
        <v>6</v>
      </c>
      <c r="C7" t="s">
        <v>7</v>
      </c>
      <c r="D7" t="s">
        <v>158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W7" t="s">
        <v>28</v>
      </c>
      <c r="X7" t="s">
        <v>29</v>
      </c>
      <c r="Z7" s="4" t="s">
        <v>27</v>
      </c>
      <c r="AA7" t="s">
        <v>30</v>
      </c>
      <c r="AB7" t="s">
        <v>31</v>
      </c>
      <c r="AC7" t="s">
        <v>32</v>
      </c>
      <c r="AD7" t="s">
        <v>33</v>
      </c>
      <c r="AE7" t="s">
        <v>34</v>
      </c>
      <c r="AF7" t="s">
        <v>35</v>
      </c>
      <c r="AG7" t="s">
        <v>36</v>
      </c>
      <c r="AH7" t="s">
        <v>37</v>
      </c>
      <c r="AI7" t="s">
        <v>38</v>
      </c>
      <c r="AJ7" t="s">
        <v>39</v>
      </c>
      <c r="AK7" s="4" t="s">
        <v>40</v>
      </c>
      <c r="AL7" t="s">
        <v>10</v>
      </c>
      <c r="AM7" s="4" t="s">
        <v>41</v>
      </c>
    </row>
    <row r="8" spans="1:39" x14ac:dyDescent="0.25">
      <c r="A8" s="22" t="s">
        <v>159</v>
      </c>
      <c r="B8" s="23">
        <v>0.53819444444444442</v>
      </c>
      <c r="D8">
        <v>440</v>
      </c>
      <c r="E8">
        <v>396</v>
      </c>
      <c r="F8">
        <v>324</v>
      </c>
      <c r="G8">
        <v>34.89</v>
      </c>
      <c r="H8">
        <v>0.66600000000000004</v>
      </c>
      <c r="I8">
        <v>4.82</v>
      </c>
      <c r="J8">
        <v>5.8</v>
      </c>
      <c r="K8">
        <v>0.81</v>
      </c>
      <c r="L8">
        <v>34.85</v>
      </c>
      <c r="M8">
        <v>20.55</v>
      </c>
      <c r="N8">
        <v>25.42</v>
      </c>
      <c r="O8">
        <v>26.3</v>
      </c>
      <c r="P8" s="7">
        <v>9.9099999999999991E-4</v>
      </c>
      <c r="Q8">
        <v>0.96499999999999997</v>
      </c>
      <c r="R8">
        <v>25.2</v>
      </c>
      <c r="S8" s="8">
        <v>32.055239672056111</v>
      </c>
      <c r="T8" s="12">
        <v>0.93336347197106684</v>
      </c>
      <c r="U8">
        <v>2.3250000000000002</v>
      </c>
      <c r="V8">
        <v>6.0000000000000001E-3</v>
      </c>
      <c r="W8">
        <f>V8*0.04</f>
        <v>2.4000000000000001E-4</v>
      </c>
      <c r="X8">
        <f>((I8/1000/U8)*(1-N8/Q8/2000)+N8/Q8/1000)/(1+I8/1000/(2*U8))*1000</f>
        <v>28.358387037578055</v>
      </c>
      <c r="Z8" s="4">
        <v>1</v>
      </c>
      <c r="AA8" s="8">
        <f>S8/Q8*Z8</f>
        <v>33.217864945135865</v>
      </c>
      <c r="AB8" s="9">
        <f>V8*(AA8/1000-X8/1000)</f>
        <v>2.9156867445346866E-5</v>
      </c>
      <c r="AC8" s="10">
        <f>I8/1000-AB8</f>
        <v>4.7908431325546534E-3</v>
      </c>
      <c r="AD8" s="11">
        <f>1/(((AA8/1000-X8/1000)/(I8/1000-AC8*((AA8+X8)/2000)))+((X8-(N8/Q8))/1000)/(I8/1000-I8/1000*((X8+N8/Q8)/2000)))</f>
        <v>0.68021452597973042</v>
      </c>
      <c r="AE8" s="12">
        <f>(AC8-AC8*((AA8+X8)/2000))/((AA8-X8)/1000)</f>
        <v>0.9555228234216423</v>
      </c>
      <c r="AF8" s="12">
        <f>AE8+V8</f>
        <v>0.9615228234216423</v>
      </c>
      <c r="AG8" s="12">
        <f>AE8/1.6</f>
        <v>0.59720176463852637</v>
      </c>
      <c r="AH8" s="12">
        <f>AG8+W8</f>
        <v>0.59744176463852638</v>
      </c>
      <c r="AI8" s="12">
        <f>U8/1.37</f>
        <v>1.697080291970803</v>
      </c>
      <c r="AJ8" s="8">
        <f>(E8/Q8*(AI8-I8/1000/2)-G8)/(AI8+I8/1000/2)</f>
        <v>388.66916162150835</v>
      </c>
      <c r="AK8" s="13">
        <f>(AJ8*(AH8-AC8/2)-G8)/(AH8+AC8/2)</f>
        <v>327.39911396687387</v>
      </c>
      <c r="AL8" s="14">
        <f>AK8*Q8</f>
        <v>315.94014497803329</v>
      </c>
      <c r="AM8" s="4"/>
    </row>
    <row r="9" spans="1:39" x14ac:dyDescent="0.25">
      <c r="B9" s="23"/>
      <c r="D9">
        <v>316</v>
      </c>
      <c r="E9">
        <v>309</v>
      </c>
      <c r="F9">
        <v>313</v>
      </c>
      <c r="G9">
        <v>-0.08</v>
      </c>
      <c r="H9">
        <v>0.67</v>
      </c>
      <c r="I9">
        <v>5</v>
      </c>
      <c r="J9">
        <v>6.87</v>
      </c>
      <c r="K9">
        <v>1</v>
      </c>
      <c r="L9">
        <v>-0.09</v>
      </c>
      <c r="M9">
        <v>20.100000000000001</v>
      </c>
      <c r="N9">
        <v>22.52</v>
      </c>
      <c r="O9">
        <v>26.3</v>
      </c>
      <c r="P9" s="7">
        <v>9.01E-4</v>
      </c>
      <c r="Q9">
        <v>0.96499999999999997</v>
      </c>
      <c r="R9">
        <v>25.2</v>
      </c>
      <c r="S9" s="8">
        <v>32.055239672056111</v>
      </c>
      <c r="T9" s="12">
        <v>0.941238670694864</v>
      </c>
      <c r="U9">
        <v>2.3250000000000002</v>
      </c>
      <c r="V9">
        <v>7.0000000000000001E-3</v>
      </c>
      <c r="W9">
        <f>V9*0.04</f>
        <v>2.8000000000000003E-4</v>
      </c>
      <c r="X9">
        <f>((I9/1000/U9)*(1-N9/Q9/2000)+N9/Q9/1000)/(1+I9/1000/(2*U9))*1000</f>
        <v>25.434882543145434</v>
      </c>
      <c r="Z9" s="4">
        <v>1</v>
      </c>
      <c r="AA9" s="8">
        <f>S9/Q9*Z9</f>
        <v>33.217864945135865</v>
      </c>
      <c r="AB9" s="9">
        <f>V9*(AA9/1000-X9/1000)</f>
        <v>5.4480876813933017E-5</v>
      </c>
      <c r="AC9" s="10">
        <f>I9/1000-AB9</f>
        <v>4.945519123186067E-3</v>
      </c>
      <c r="AD9" s="11">
        <f>1/(((AA9/1000-X9/1000)/(I9/1000-AC9*((AA9+X9)/2000)))+((X9-(N9/Q9))/1000)/(I9/1000-I9/1000*((X9+N9/Q9)/2000)))</f>
        <v>0.49183437533831764</v>
      </c>
      <c r="AE9" s="12">
        <f>(AC9-AC9*((AA9+X9)/2000))/((AA9-X9)/1000)</f>
        <v>0.61679247531036885</v>
      </c>
      <c r="AF9" s="12">
        <f>AE9+V9</f>
        <v>0.62379247531036885</v>
      </c>
      <c r="AG9" s="12">
        <f>AE9/1.6</f>
        <v>0.3854952970689805</v>
      </c>
      <c r="AH9" s="12">
        <f>AG9+W9</f>
        <v>0.3857752970689805</v>
      </c>
      <c r="AI9" s="12">
        <f>U9/1.37</f>
        <v>1.697080291970803</v>
      </c>
      <c r="AJ9" s="8">
        <f>(E9/Q9*(AI9-I9/1000/2)-G9)/(AI9+I9/1000/2)</f>
        <v>319.3123057175622</v>
      </c>
      <c r="AK9" s="13">
        <f>(AJ9*(AH9-AC9/2)-G9)/(AH9+AC9/2)</f>
        <v>315.4509467523547</v>
      </c>
      <c r="AL9" s="14">
        <f>AK9*Q9</f>
        <v>304.41016361602226</v>
      </c>
      <c r="AM9" s="4"/>
    </row>
    <row r="10" spans="1:39" x14ac:dyDescent="0.25">
      <c r="B10" s="23"/>
      <c r="D10" s="24">
        <v>378</v>
      </c>
      <c r="E10" s="24">
        <v>352.5</v>
      </c>
      <c r="F10" s="24">
        <v>318.5</v>
      </c>
      <c r="G10" s="25">
        <v>34.81</v>
      </c>
      <c r="H10" s="26">
        <v>1.3360000000000001</v>
      </c>
      <c r="I10" s="26">
        <v>9.82</v>
      </c>
      <c r="J10" s="26">
        <v>6.335</v>
      </c>
      <c r="K10" s="26">
        <v>0.90500000000000003</v>
      </c>
      <c r="L10" s="25">
        <v>34.76</v>
      </c>
      <c r="M10" s="25">
        <v>20.325000000000003</v>
      </c>
      <c r="N10" s="25">
        <v>23.97</v>
      </c>
      <c r="O10" s="25">
        <v>26.3</v>
      </c>
      <c r="P10" s="27"/>
      <c r="Q10" s="28"/>
      <c r="R10" s="29"/>
      <c r="S10" s="29"/>
      <c r="T10" s="26">
        <v>1.8746021426659309</v>
      </c>
      <c r="U10" s="26">
        <v>4.6500000000000004</v>
      </c>
      <c r="Z10" s="4"/>
      <c r="AC10" s="10"/>
      <c r="AE10" s="12"/>
      <c r="AF10" s="12"/>
      <c r="AG10" s="8"/>
      <c r="AJ10" s="8"/>
      <c r="AK10" s="13">
        <f>AK8-AK9</f>
        <v>11.948167214519174</v>
      </c>
      <c r="AL10" s="14"/>
      <c r="AM10" s="15"/>
    </row>
    <row r="11" spans="1:39" x14ac:dyDescent="0.25">
      <c r="B11" s="23"/>
      <c r="D11" s="24"/>
      <c r="E11" s="24"/>
      <c r="F11" s="24"/>
      <c r="G11" s="25"/>
      <c r="H11" s="26"/>
      <c r="I11" s="26"/>
      <c r="J11" s="26"/>
      <c r="K11" s="26"/>
      <c r="L11" s="25"/>
      <c r="M11" s="25"/>
      <c r="N11" s="25"/>
      <c r="O11" s="25"/>
      <c r="P11" s="7"/>
      <c r="Q11" s="28"/>
      <c r="R11" s="29"/>
      <c r="S11" s="29"/>
      <c r="T11" s="26"/>
      <c r="U11" s="26"/>
      <c r="Z11" s="4"/>
      <c r="AC11" s="10"/>
      <c r="AE11" s="12"/>
      <c r="AF11" s="12"/>
      <c r="AJ11" s="8"/>
      <c r="AK11" s="13"/>
      <c r="AL11" s="14"/>
      <c r="AM11" s="4"/>
    </row>
    <row r="12" spans="1:39" x14ac:dyDescent="0.25">
      <c r="B12" s="23"/>
      <c r="D12">
        <v>430</v>
      </c>
      <c r="E12">
        <v>400</v>
      </c>
      <c r="F12">
        <v>234</v>
      </c>
      <c r="G12">
        <v>27.86</v>
      </c>
      <c r="H12">
        <v>0.27</v>
      </c>
      <c r="I12">
        <v>6.26</v>
      </c>
      <c r="J12">
        <v>22</v>
      </c>
      <c r="K12">
        <v>0.56999999999999995</v>
      </c>
      <c r="L12">
        <v>28.26</v>
      </c>
      <c r="M12">
        <v>3.85</v>
      </c>
      <c r="N12">
        <v>10.050000000000001</v>
      </c>
      <c r="O12">
        <v>26.3</v>
      </c>
      <c r="P12" s="7">
        <v>9.7000000000000005E-4</v>
      </c>
      <c r="Q12">
        <v>0.96499999999999997</v>
      </c>
      <c r="R12">
        <v>25.2</v>
      </c>
      <c r="S12" s="8">
        <v>32.055239672056111</v>
      </c>
      <c r="T12" s="12">
        <v>0.30542274052478136</v>
      </c>
      <c r="U12">
        <v>2.3279999999999998</v>
      </c>
      <c r="V12">
        <v>6.0000000000000001E-3</v>
      </c>
      <c r="W12">
        <f>V12*0.04</f>
        <v>2.4000000000000001E-4</v>
      </c>
      <c r="X12">
        <f>((I12/1000/U12)*(1-N12/Q12/2000)+N12/Q12/1000)/(1+I12/1000/(2*U12))*1000</f>
        <v>13.07193364760345</v>
      </c>
      <c r="Z12" s="15">
        <v>0.84699999999999998</v>
      </c>
      <c r="AA12" s="8">
        <f>S12/Q12*Z12</f>
        <v>28.135531608530076</v>
      </c>
      <c r="AB12" s="9">
        <f>V12*(AA12/1000-X12/1000)</f>
        <v>9.0381587765559762E-5</v>
      </c>
      <c r="AC12" s="10">
        <f>I12/1000-AB12</f>
        <v>6.1696184122344401E-3</v>
      </c>
      <c r="AD12" s="11">
        <f t="shared" ref="AD12:AD13" si="0">1/(((AA12/1000-X12/1000)/(I12/1000-AC12*((AA12+X12)/2000)))+((X12-(N12/Q12))/1000)/(I12/1000-I12/1000*((X12+N12/Q12)/2000)))</f>
        <v>0.34652975439156064</v>
      </c>
      <c r="AE12" s="12">
        <f>(AC12-AC12*((AA12+X12)/2000))/((AA12-X12)/1000)</f>
        <v>0.40113266828583521</v>
      </c>
      <c r="AF12" s="12">
        <f>AE12+V12</f>
        <v>0.40713266828583522</v>
      </c>
      <c r="AG12" s="12">
        <f>AE12/1.6</f>
        <v>0.25070791767864697</v>
      </c>
      <c r="AH12" s="12">
        <f>AG12+W12</f>
        <v>0.25094791767864699</v>
      </c>
      <c r="AI12" s="12">
        <f>U12/1.37</f>
        <v>1.6992700729927004</v>
      </c>
      <c r="AJ12" s="8">
        <f>(E12/Q12*(AI12-I12/1000/2)-G12)/(AI12+I12/1000/2)</f>
        <v>396.61842912419201</v>
      </c>
      <c r="AK12" s="13">
        <f>(AJ12*(AH12-AC12/2)-G12)/(AH12+AC12/2)</f>
        <v>277.31496482408176</v>
      </c>
      <c r="AL12" s="14">
        <f>AK12*Q12</f>
        <v>267.60894105523886</v>
      </c>
      <c r="AM12" s="4"/>
    </row>
    <row r="13" spans="1:39" x14ac:dyDescent="0.25">
      <c r="A13" s="22" t="s">
        <v>159</v>
      </c>
      <c r="B13" s="23">
        <v>0.68611111111111101</v>
      </c>
      <c r="D13">
        <v>269</v>
      </c>
      <c r="E13">
        <v>267</v>
      </c>
      <c r="F13">
        <v>259</v>
      </c>
      <c r="G13">
        <v>0.15</v>
      </c>
      <c r="H13">
        <v>0.186</v>
      </c>
      <c r="I13">
        <v>4.37</v>
      </c>
      <c r="J13">
        <v>22.34</v>
      </c>
      <c r="K13">
        <v>0.95</v>
      </c>
      <c r="L13">
        <v>0.16</v>
      </c>
      <c r="M13">
        <v>5.0599999999999996</v>
      </c>
      <c r="N13">
        <v>9.7200000000000006</v>
      </c>
      <c r="O13">
        <v>26.3</v>
      </c>
      <c r="P13" s="7">
        <v>9.01E-4</v>
      </c>
      <c r="Q13">
        <v>0.96499999999999997</v>
      </c>
      <c r="R13">
        <v>25.2</v>
      </c>
      <c r="S13" s="8">
        <v>32.055239672056111</v>
      </c>
      <c r="T13" s="12">
        <v>0.20217391304347826</v>
      </c>
      <c r="U13">
        <v>2.3250000000000002</v>
      </c>
      <c r="V13">
        <v>7.0000000000000001E-3</v>
      </c>
      <c r="W13">
        <f>V13*0.04</f>
        <v>2.8000000000000003E-4</v>
      </c>
      <c r="X13">
        <f>((I13/1000/U13)*(1-N13/Q13/2000)+N13/Q13/1000)/(1+I13/1000/(2*U13))*1000</f>
        <v>11.931429754115642</v>
      </c>
      <c r="Z13" s="15">
        <v>0.84699999999999998</v>
      </c>
      <c r="AA13" s="8">
        <f>S13/Q13*Z13</f>
        <v>28.135531608530076</v>
      </c>
      <c r="AB13" s="9">
        <f>V13*(AA13/1000-X13/1000)</f>
        <v>1.1342871298090104E-4</v>
      </c>
      <c r="AC13" s="10">
        <f>I13/1000-AB13</f>
        <v>4.2565712870190984E-3</v>
      </c>
      <c r="AD13" s="11">
        <f t="shared" si="0"/>
        <v>0.237420474302169</v>
      </c>
      <c r="AE13" s="12">
        <f>(AC13-AC13*((AA13+X13)/2000))/((AA13-X13)/1000)</f>
        <v>0.25742231108202729</v>
      </c>
      <c r="AF13" s="12">
        <f>AE13+V13</f>
        <v>0.26442231108202729</v>
      </c>
      <c r="AG13" s="12">
        <f>AE13/1.6</f>
        <v>0.16088894442626706</v>
      </c>
      <c r="AH13" s="12">
        <f>AG13+W13</f>
        <v>0.16116894442626706</v>
      </c>
      <c r="AI13" s="12">
        <f>U13/1.37</f>
        <v>1.697080291970803</v>
      </c>
      <c r="AJ13" s="8">
        <f>(E13/Q13*(AI13-I13/1000/2)-G13)/(AI13+I13/1000/2)</f>
        <v>275.88411638646818</v>
      </c>
      <c r="AK13" s="13">
        <f>(AJ13*(AH13-AC13/2)-G13)/(AH13+AC13/2)</f>
        <v>267.77423964336975</v>
      </c>
      <c r="AL13" s="14">
        <f>AK13*Q13</f>
        <v>258.4021412558518</v>
      </c>
      <c r="AM13" s="4"/>
    </row>
    <row r="14" spans="1:39" x14ac:dyDescent="0.25">
      <c r="B14" s="23"/>
      <c r="D14" s="24">
        <v>349.5</v>
      </c>
      <c r="E14" s="24">
        <v>333.5</v>
      </c>
      <c r="F14" s="24">
        <v>246.5</v>
      </c>
      <c r="G14" s="25">
        <v>28.009999999999998</v>
      </c>
      <c r="H14" s="26">
        <v>0.45600000000000002</v>
      </c>
      <c r="I14" s="26">
        <v>10.629999999999999</v>
      </c>
      <c r="J14" s="26">
        <v>22.17</v>
      </c>
      <c r="K14" s="26">
        <v>0.76</v>
      </c>
      <c r="L14" s="25">
        <v>28.42</v>
      </c>
      <c r="M14" s="25">
        <v>4.4550000000000001</v>
      </c>
      <c r="N14" s="25">
        <v>9.8850000000000016</v>
      </c>
      <c r="O14" s="25">
        <v>26.3</v>
      </c>
      <c r="P14" s="27"/>
      <c r="Q14" s="28"/>
      <c r="R14" s="29"/>
      <c r="S14" s="29"/>
      <c r="T14" s="26">
        <v>0.50759665356825967</v>
      </c>
      <c r="U14" s="26">
        <v>4.6530000000000005</v>
      </c>
      <c r="AA14" s="8"/>
      <c r="AC14" s="10"/>
      <c r="AD14" s="8"/>
      <c r="AE14" s="12"/>
      <c r="AF14" s="12"/>
      <c r="AG14" s="8"/>
      <c r="AH14" s="7"/>
      <c r="AJ14" s="8"/>
      <c r="AK14" s="13">
        <f>AK12-AK13</f>
        <v>9.5407251807120019</v>
      </c>
      <c r="AL14" s="14"/>
      <c r="AM14" s="13">
        <f>(AK8-AK9)/G10*G14</f>
        <v>9.6141385716369445</v>
      </c>
    </row>
    <row r="15" spans="1:39" x14ac:dyDescent="0.25">
      <c r="AK15" s="13"/>
      <c r="AL15" s="14"/>
    </row>
    <row r="16" spans="1:39" x14ac:dyDescent="0.25">
      <c r="AK16" s="13"/>
      <c r="AL16" s="14"/>
    </row>
    <row r="17" spans="1:39" x14ac:dyDescent="0.25">
      <c r="V17" t="s">
        <v>26</v>
      </c>
      <c r="AK17" s="13"/>
      <c r="AL17" s="14"/>
      <c r="AM17" s="4" t="s">
        <v>107</v>
      </c>
    </row>
    <row r="18" spans="1:39" x14ac:dyDescent="0.25">
      <c r="A18" t="s">
        <v>5</v>
      </c>
      <c r="B18" t="s">
        <v>6</v>
      </c>
      <c r="C18" t="s">
        <v>7</v>
      </c>
      <c r="D18" t="s">
        <v>158</v>
      </c>
      <c r="E18" t="s">
        <v>9</v>
      </c>
      <c r="F18" t="s">
        <v>10</v>
      </c>
      <c r="G18" t="s">
        <v>11</v>
      </c>
      <c r="H18" t="s">
        <v>12</v>
      </c>
      <c r="I18" t="s">
        <v>13</v>
      </c>
      <c r="J18" t="s">
        <v>14</v>
      </c>
      <c r="K18" t="s">
        <v>15</v>
      </c>
      <c r="L18" t="s">
        <v>16</v>
      </c>
      <c r="M18" t="s">
        <v>17</v>
      </c>
      <c r="N18" t="s">
        <v>18</v>
      </c>
      <c r="O18" t="s">
        <v>19</v>
      </c>
      <c r="P18" t="s">
        <v>20</v>
      </c>
      <c r="Q18" t="s">
        <v>21</v>
      </c>
      <c r="R18" t="s">
        <v>22</v>
      </c>
      <c r="S18" t="s">
        <v>23</v>
      </c>
      <c r="T18" t="s">
        <v>24</v>
      </c>
      <c r="U18" t="s">
        <v>25</v>
      </c>
      <c r="V18" t="s">
        <v>134</v>
      </c>
      <c r="W18" t="s">
        <v>28</v>
      </c>
      <c r="X18" t="s">
        <v>29</v>
      </c>
      <c r="Z18" s="4" t="s">
        <v>27</v>
      </c>
      <c r="AA18" t="s">
        <v>30</v>
      </c>
      <c r="AB18" t="s">
        <v>31</v>
      </c>
      <c r="AC18" t="s">
        <v>32</v>
      </c>
      <c r="AD18" t="s">
        <v>33</v>
      </c>
      <c r="AE18" t="s">
        <v>34</v>
      </c>
      <c r="AF18" t="s">
        <v>35</v>
      </c>
      <c r="AG18" t="s">
        <v>36</v>
      </c>
      <c r="AH18" t="s">
        <v>37</v>
      </c>
      <c r="AI18" t="s">
        <v>38</v>
      </c>
      <c r="AJ18" t="s">
        <v>39</v>
      </c>
      <c r="AK18" s="13" t="s">
        <v>40</v>
      </c>
      <c r="AL18" s="14" t="s">
        <v>10</v>
      </c>
      <c r="AM18" s="4" t="s">
        <v>41</v>
      </c>
    </row>
    <row r="19" spans="1:39" x14ac:dyDescent="0.25">
      <c r="A19" s="22" t="s">
        <v>160</v>
      </c>
      <c r="B19" s="30">
        <v>0.4375</v>
      </c>
      <c r="D19" s="31">
        <v>439</v>
      </c>
      <c r="E19" s="31">
        <v>388</v>
      </c>
      <c r="F19" s="31">
        <v>294</v>
      </c>
      <c r="G19" s="32">
        <v>41.92</v>
      </c>
      <c r="H19" s="33">
        <v>0.622</v>
      </c>
      <c r="I19" s="32">
        <v>4.68</v>
      </c>
      <c r="J19" s="32">
        <v>7.1</v>
      </c>
      <c r="K19" s="32">
        <v>0.75</v>
      </c>
      <c r="L19" s="32">
        <v>42.43</v>
      </c>
      <c r="M19" s="32">
        <v>20.96</v>
      </c>
      <c r="N19" s="32">
        <v>25.48</v>
      </c>
      <c r="O19" s="29">
        <v>26.2</v>
      </c>
      <c r="P19" s="14">
        <v>304.66321243523316</v>
      </c>
      <c r="Q19">
        <v>0.96499999999999997</v>
      </c>
      <c r="R19" s="29">
        <v>25.3</v>
      </c>
      <c r="S19" s="8">
        <v>32.24637513181073</v>
      </c>
      <c r="T19" s="12">
        <v>0.84877842907385703</v>
      </c>
      <c r="U19">
        <v>2.3279999999999998</v>
      </c>
      <c r="V19">
        <v>6.0000000000000001E-3</v>
      </c>
      <c r="W19">
        <f>V19*0.04</f>
        <v>2.4000000000000001E-4</v>
      </c>
      <c r="X19">
        <f>((I19/1000/U19)*(1-N19/Q19/2000)+N19/Q19/1000)/(1+I19/1000/(2*U19))*1000</f>
        <v>28.359408516118158</v>
      </c>
      <c r="Z19" s="15">
        <v>1</v>
      </c>
      <c r="AA19" s="8">
        <f>S19/Q19*Z19</f>
        <v>33.415932779078474</v>
      </c>
      <c r="AB19" s="9">
        <f>V19*(AA19/1000-X19/1000)</f>
        <v>3.0339145577761921E-5</v>
      </c>
      <c r="AC19" s="10">
        <f>I19/1000-AB19</f>
        <v>4.6496608544222386E-3</v>
      </c>
      <c r="AD19" s="11">
        <f>1/(((AA19/1000-X19/1000)/(I19/1000-AC19*((AA19+X19)/2000)))+((X19-(N19/Q19))/1000)/(I19/1000-I19/1000*((X19+N19/Q19)/2000)))</f>
        <v>0.64757896527904679</v>
      </c>
      <c r="AE19" s="12">
        <f>(AC19-AC19*((AA19+X19)/2000))/((AA19-X19)/1000)</f>
        <v>0.89113458711849902</v>
      </c>
      <c r="AF19" s="12">
        <f>AE19+V19</f>
        <v>0.89713458711849903</v>
      </c>
      <c r="AG19" s="12">
        <f>AE19/1.6</f>
        <v>0.55695911694906186</v>
      </c>
      <c r="AH19" s="12">
        <f>AG19+W19</f>
        <v>0.55719911694906188</v>
      </c>
      <c r="AI19" s="12">
        <f>U19/1.37</f>
        <v>1.6992700729927004</v>
      </c>
      <c r="AJ19" s="8">
        <f>(E19/Q19*(AI19-I19/1000/2)-G19)/(AI19+I19/1000/2)</f>
        <v>376.3312129376323</v>
      </c>
      <c r="AK19" s="13">
        <f>(AJ19*(AH19-AC19/2)-G19)/(AH19+AC19/2)</f>
        <v>298.28305661854995</v>
      </c>
      <c r="AL19" s="14">
        <f>AK19*Q19</f>
        <v>287.8431496369007</v>
      </c>
      <c r="AM19" s="4"/>
    </row>
    <row r="20" spans="1:39" x14ac:dyDescent="0.25">
      <c r="B20" s="34"/>
      <c r="D20" s="31">
        <v>282</v>
      </c>
      <c r="E20" s="31">
        <v>275</v>
      </c>
      <c r="F20" s="31">
        <v>280</v>
      </c>
      <c r="G20" s="32">
        <v>-0.17</v>
      </c>
      <c r="H20" s="33">
        <v>0.65300000000000002</v>
      </c>
      <c r="I20" s="32">
        <v>5.12</v>
      </c>
      <c r="J20" s="32">
        <v>7.36</v>
      </c>
      <c r="K20" s="32">
        <v>1</v>
      </c>
      <c r="L20" s="32">
        <v>-0.18</v>
      </c>
      <c r="M20" s="32">
        <v>20.190000000000001</v>
      </c>
      <c r="N20" s="32">
        <v>25.19</v>
      </c>
      <c r="O20" s="29">
        <v>26.2</v>
      </c>
      <c r="P20" s="14">
        <v>290.15544041450778</v>
      </c>
      <c r="Q20">
        <v>0.96499999999999997</v>
      </c>
      <c r="R20" s="29">
        <v>25.3</v>
      </c>
      <c r="S20" s="8">
        <v>32.24637513181073</v>
      </c>
      <c r="T20" s="12">
        <v>0.9080293062200957</v>
      </c>
      <c r="U20">
        <v>2.3250000000000002</v>
      </c>
      <c r="V20">
        <v>7.0000000000000001E-3</v>
      </c>
      <c r="W20">
        <f>V20*0.04</f>
        <v>2.8000000000000003E-4</v>
      </c>
      <c r="X20">
        <f>((I20/1000/U20)*(1-N20/Q20/2000)+N20/Q20/1000)/(1+I20/1000/(2*U20))*1000</f>
        <v>28.245934522638713</v>
      </c>
      <c r="Z20" s="15">
        <v>1</v>
      </c>
      <c r="AA20" s="8">
        <f>S20/Q20*Z20</f>
        <v>33.415932779078474</v>
      </c>
      <c r="AB20" s="9">
        <f>V20*(AA20/1000-X20/1000)</f>
        <v>3.6189987795078347E-5</v>
      </c>
      <c r="AC20" s="10">
        <f>I20/1000-AB20</f>
        <v>5.0838100122049222E-3</v>
      </c>
      <c r="AD20" s="11">
        <f>1/(((AA20/1000-X20/1000)/(I20/1000-AC20*((AA20+X20)/2000)))+((X20-(N20/Q20))/1000)/(I20/1000-I20/1000*((X20+N20/Q20)/2000)))</f>
        <v>0.67945816518640623</v>
      </c>
      <c r="AE20" s="12">
        <f>(AC20-AC20*((AA20+X20)/2000))/((AA20-X20)/1000)</f>
        <v>0.95301219819327621</v>
      </c>
      <c r="AF20" s="12">
        <f>AE20+V20</f>
        <v>0.96001219819327621</v>
      </c>
      <c r="AG20" s="12">
        <f>AE20/1.6</f>
        <v>0.59563262387079763</v>
      </c>
      <c r="AH20" s="12">
        <f>AG20+W20</f>
        <v>0.59591262387079758</v>
      </c>
      <c r="AI20" s="12">
        <f>U20/1.37</f>
        <v>1.697080291970803</v>
      </c>
      <c r="AJ20" s="8">
        <f>(E20/Q20*(AI20-I20/1000/2)-G20)/(AI20+I20/1000/2)</f>
        <v>284.2156578684756</v>
      </c>
      <c r="AK20" s="13">
        <f>(AJ20*(AH20-AC20/2)-G20)/(AH20+AC20/2)</f>
        <v>282.08533994860005</v>
      </c>
      <c r="AL20" s="14">
        <f>AK20*Q20</f>
        <v>272.21235305039903</v>
      </c>
      <c r="AM20" s="4"/>
    </row>
    <row r="21" spans="1:39" x14ac:dyDescent="0.25">
      <c r="B21" s="34"/>
      <c r="D21" s="24">
        <v>360.5</v>
      </c>
      <c r="E21" s="24">
        <v>331.5</v>
      </c>
      <c r="F21" s="24">
        <v>287</v>
      </c>
      <c r="G21" s="26">
        <v>41.75</v>
      </c>
      <c r="H21" s="26">
        <v>1.2749999999999999</v>
      </c>
      <c r="I21" s="26">
        <v>9.8000000000000007</v>
      </c>
      <c r="J21" s="26">
        <v>7.23</v>
      </c>
      <c r="K21" s="26">
        <v>0.875</v>
      </c>
      <c r="L21" s="25">
        <v>42.25</v>
      </c>
      <c r="M21" s="25">
        <v>20.575000000000003</v>
      </c>
      <c r="N21" s="25">
        <v>25.335000000000001</v>
      </c>
      <c r="O21" s="25">
        <v>26.2</v>
      </c>
      <c r="P21" s="25">
        <v>297.40932642487047</v>
      </c>
      <c r="Q21" s="28"/>
      <c r="R21" s="29"/>
      <c r="S21" s="29"/>
      <c r="T21" s="26">
        <v>1.7568077352939526</v>
      </c>
      <c r="U21" s="26">
        <v>4.6530000000000005</v>
      </c>
      <c r="Z21" s="15"/>
      <c r="AC21" s="10"/>
      <c r="AE21" s="12"/>
      <c r="AF21" s="12"/>
      <c r="AG21" s="8"/>
      <c r="AJ21" s="8"/>
      <c r="AK21" s="13">
        <f>AK19-AK20</f>
        <v>16.197716669949898</v>
      </c>
      <c r="AL21" s="14"/>
      <c r="AM21" s="15"/>
    </row>
    <row r="22" spans="1:39" x14ac:dyDescent="0.25">
      <c r="B22" s="34"/>
      <c r="D22" s="31"/>
      <c r="E22" s="31"/>
      <c r="F22" s="31"/>
      <c r="G22" s="32"/>
      <c r="H22" s="33"/>
      <c r="I22" s="32"/>
      <c r="J22" s="32"/>
      <c r="K22" s="32"/>
      <c r="L22" s="32"/>
      <c r="M22" s="32"/>
      <c r="N22" s="32"/>
      <c r="P22" s="29"/>
      <c r="Q22" s="28"/>
      <c r="R22" s="29"/>
      <c r="S22" s="29"/>
      <c r="T22" s="32"/>
      <c r="U22" s="32"/>
      <c r="Z22" s="15"/>
      <c r="AC22" s="10"/>
      <c r="AE22" s="12"/>
      <c r="AF22" s="12"/>
      <c r="AJ22" s="8"/>
      <c r="AK22" s="13"/>
      <c r="AL22" s="14"/>
      <c r="AM22" s="4"/>
    </row>
    <row r="23" spans="1:39" x14ac:dyDescent="0.25">
      <c r="B23" s="30">
        <v>0.52222222222222225</v>
      </c>
      <c r="D23" s="31">
        <v>437</v>
      </c>
      <c r="E23" s="31">
        <v>387</v>
      </c>
      <c r="F23" s="31">
        <v>268</v>
      </c>
      <c r="G23" s="32">
        <v>44.65</v>
      </c>
      <c r="H23" s="33">
        <v>0.55400000000000005</v>
      </c>
      <c r="I23" s="32">
        <v>6.87</v>
      </c>
      <c r="J23" s="32">
        <v>11.65</v>
      </c>
      <c r="K23" s="32">
        <v>0.68</v>
      </c>
      <c r="L23" s="32">
        <v>43.79</v>
      </c>
      <c r="M23" s="32">
        <v>13.26</v>
      </c>
      <c r="N23" s="32">
        <v>19.68</v>
      </c>
      <c r="O23" s="29">
        <v>26.2</v>
      </c>
      <c r="P23" s="14">
        <v>277.72020725388603</v>
      </c>
      <c r="Q23">
        <v>0.96499999999999997</v>
      </c>
      <c r="R23" s="29">
        <v>24.75</v>
      </c>
      <c r="S23" s="8">
        <v>31.207301165682335</v>
      </c>
      <c r="T23" s="12">
        <v>0.72700789177001135</v>
      </c>
      <c r="U23">
        <v>2.3279999999999998</v>
      </c>
      <c r="V23">
        <v>6.0000000000000001E-3</v>
      </c>
      <c r="W23">
        <f>V23*0.04</f>
        <v>2.4000000000000001E-4</v>
      </c>
      <c r="X23">
        <f>((I23/1000/U23)*(1-N23/Q23/2000)+N23/Q23/1000)/(1+I23/1000/(2*U23))*1000</f>
        <v>23.280371421941425</v>
      </c>
      <c r="Z23" s="15">
        <v>0.94799999999999995</v>
      </c>
      <c r="AA23" s="8">
        <f>S23/Q23*Z23</f>
        <v>30.657535238411242</v>
      </c>
      <c r="AB23" s="9">
        <f>V23*(AA23/1000-X23/1000)</f>
        <v>4.4262982898818906E-5</v>
      </c>
      <c r="AC23" s="10">
        <f>I23/1000-AB23</f>
        <v>6.8257370171011817E-3</v>
      </c>
      <c r="AD23" s="11">
        <f t="shared" ref="AD23:AD24" si="1">1/(((AA23/1000-X23/1000)/(I23/1000-AC23*((AA23+X23)/2000)))+((X23-(N23/Q23))/1000)/(I23/1000-I23/1000*((X23+N23/Q23)/2000)))</f>
        <v>0.65234051023119211</v>
      </c>
      <c r="AE23" s="12">
        <f>(AC23-AC23*((AA23+X23)/2000))/((AA23-X23)/1000)</f>
        <v>0.90029911213509473</v>
      </c>
      <c r="AF23" s="12">
        <f>AE23+V23</f>
        <v>0.90629911213509473</v>
      </c>
      <c r="AG23" s="12">
        <f>AE23/1.6</f>
        <v>0.56268694508443418</v>
      </c>
      <c r="AH23" s="12">
        <f>AG23+W23</f>
        <v>0.56292694508443419</v>
      </c>
      <c r="AI23" s="12">
        <f>U23/1.37</f>
        <v>1.6992700729927004</v>
      </c>
      <c r="AJ23" s="8">
        <f>(E23/Q23*(AI23-I23/1000/2)-G23)/(AI23+I23/1000/2)</f>
        <v>373.19520645156166</v>
      </c>
      <c r="AK23" s="13">
        <f>(AJ23*(AH23-AC23/2)-G23)/(AH23+AC23/2)</f>
        <v>289.8577274284097</v>
      </c>
      <c r="AL23" s="14">
        <f>AK23*Q23</f>
        <v>279.71270696841538</v>
      </c>
      <c r="AM23" s="4"/>
    </row>
    <row r="24" spans="1:39" x14ac:dyDescent="0.25">
      <c r="B24" s="23"/>
      <c r="D24" s="31">
        <v>272</v>
      </c>
      <c r="E24" s="31">
        <v>267</v>
      </c>
      <c r="F24" s="31">
        <v>268</v>
      </c>
      <c r="G24" s="32">
        <v>-0.09</v>
      </c>
      <c r="H24" s="33">
        <v>0.51500000000000001</v>
      </c>
      <c r="I24" s="32">
        <v>6.4</v>
      </c>
      <c r="J24" s="32">
        <v>11.69</v>
      </c>
      <c r="K24" s="32">
        <v>1</v>
      </c>
      <c r="L24" s="32">
        <v>-0.08</v>
      </c>
      <c r="M24" s="32">
        <v>13.79</v>
      </c>
      <c r="N24" s="32">
        <v>19.739999999999998</v>
      </c>
      <c r="O24" s="29">
        <v>26.2</v>
      </c>
      <c r="P24" s="14">
        <v>277.72020725388603</v>
      </c>
      <c r="Q24">
        <v>0.96499999999999997</v>
      </c>
      <c r="R24" s="29">
        <v>24.75</v>
      </c>
      <c r="S24" s="8">
        <v>31.207301165682335</v>
      </c>
      <c r="T24" s="12">
        <v>0.66153314917127071</v>
      </c>
      <c r="U24">
        <v>2.3250000000000002</v>
      </c>
      <c r="V24">
        <v>7.0000000000000001E-3</v>
      </c>
      <c r="W24">
        <f>V24*0.04</f>
        <v>2.8000000000000003E-4</v>
      </c>
      <c r="X24">
        <f>((I24/1000/U24)*(1-N24/Q24/2000)+N24/Q24/1000)/(1+I24/1000/(2*U24))*1000</f>
        <v>23.14863180121359</v>
      </c>
      <c r="Z24" s="15">
        <v>0.94799999999999995</v>
      </c>
      <c r="AA24" s="8">
        <f>S24/Q24*Z24</f>
        <v>30.657535238411242</v>
      </c>
      <c r="AB24" s="9">
        <f>V24*(AA24/1000-X24/1000)</f>
        <v>5.2562324060383551E-5</v>
      </c>
      <c r="AC24" s="10">
        <f>I24/1000-AB24</f>
        <v>6.3474376759396168E-3</v>
      </c>
      <c r="AD24" s="11">
        <f t="shared" si="1"/>
        <v>0.61141993498406744</v>
      </c>
      <c r="AE24" s="12">
        <f>(AC24-AC24*((AA24+X24)/2000))/((AA24-X24)/1000)</f>
        <v>0.82257976569640956</v>
      </c>
      <c r="AF24" s="12">
        <f>AE24+V24</f>
        <v>0.82957976569640957</v>
      </c>
      <c r="AG24" s="12">
        <f>AE24/1.6</f>
        <v>0.51411235356025597</v>
      </c>
      <c r="AH24" s="12">
        <f>AG24+W24</f>
        <v>0.51439235356025592</v>
      </c>
      <c r="AI24" s="12">
        <f>U24/1.37</f>
        <v>1.697080291970803</v>
      </c>
      <c r="AJ24" s="8">
        <f>(E24/Q24*(AI24-I24/1000/2)-G24)/(AI24+I24/1000/2)</f>
        <v>275.69540833842535</v>
      </c>
      <c r="AK24" s="13">
        <f>(AJ24*(AH24-AC24/2)-G24)/(AH24+AC24/2)</f>
        <v>272.48816676967419</v>
      </c>
      <c r="AL24" s="14">
        <f>AK24*Q24</f>
        <v>262.95108093273558</v>
      </c>
      <c r="AM24" s="4"/>
    </row>
    <row r="25" spans="1:39" x14ac:dyDescent="0.25">
      <c r="B25" s="23"/>
      <c r="D25" s="24">
        <v>354.5</v>
      </c>
      <c r="E25" s="24">
        <v>327</v>
      </c>
      <c r="F25" s="24">
        <v>268</v>
      </c>
      <c r="G25" s="26">
        <v>44.559999999999995</v>
      </c>
      <c r="H25" s="26">
        <v>1.069</v>
      </c>
      <c r="I25" s="26">
        <v>13.27</v>
      </c>
      <c r="J25" s="26">
        <v>11.67</v>
      </c>
      <c r="K25" s="26">
        <v>0.84000000000000008</v>
      </c>
      <c r="L25" s="25">
        <v>43.71</v>
      </c>
      <c r="M25" s="25">
        <v>13.524999999999999</v>
      </c>
      <c r="N25" s="25">
        <v>19.71</v>
      </c>
      <c r="O25" s="25">
        <v>26.2</v>
      </c>
      <c r="P25" s="25">
        <v>277.72020725388603</v>
      </c>
      <c r="T25" s="26">
        <v>1.3885410409412819</v>
      </c>
      <c r="U25" s="26">
        <v>4.6530000000000005</v>
      </c>
      <c r="V25" s="24"/>
      <c r="W25" s="26"/>
      <c r="Z25" s="15"/>
      <c r="AA25" s="8"/>
      <c r="AC25" s="10"/>
      <c r="AD25" s="8"/>
      <c r="AE25" s="12"/>
      <c r="AF25" s="12"/>
      <c r="AG25" s="8"/>
      <c r="AH25" s="7"/>
      <c r="AJ25" s="8"/>
      <c r="AK25" s="13">
        <f>AK23-AK24</f>
        <v>17.369560658735509</v>
      </c>
      <c r="AL25" s="14"/>
      <c r="AM25" s="13">
        <f>($AK$19-$AK$20)/$G$21*G25</f>
        <v>17.287910294921375</v>
      </c>
    </row>
    <row r="26" spans="1:39" x14ac:dyDescent="0.25">
      <c r="B26" s="23"/>
      <c r="G26" s="8"/>
      <c r="H26" s="12"/>
      <c r="I26" s="8"/>
      <c r="L26" s="8"/>
      <c r="M26" s="8"/>
      <c r="N26" s="8"/>
      <c r="Z26" s="15"/>
      <c r="AK26" s="13"/>
      <c r="AL26" s="14"/>
      <c r="AM26" s="13"/>
    </row>
    <row r="27" spans="1:39" x14ac:dyDescent="0.25">
      <c r="A27" s="35"/>
      <c r="B27" s="30">
        <v>0.60555555555555551</v>
      </c>
      <c r="D27" s="28">
        <v>442</v>
      </c>
      <c r="E27" s="28">
        <v>388</v>
      </c>
      <c r="F27" s="28">
        <v>233</v>
      </c>
      <c r="G27" s="32">
        <v>42.6</v>
      </c>
      <c r="H27" s="33">
        <v>0.42</v>
      </c>
      <c r="I27" s="32">
        <v>6.77</v>
      </c>
      <c r="J27" s="28">
        <v>15.14</v>
      </c>
      <c r="K27" s="28">
        <v>0.59</v>
      </c>
      <c r="L27" s="32">
        <v>49.11</v>
      </c>
      <c r="M27" s="32">
        <v>8.5</v>
      </c>
      <c r="N27" s="32">
        <v>16.100000000000001</v>
      </c>
      <c r="O27" s="28">
        <v>26.2</v>
      </c>
      <c r="P27" s="14">
        <v>241.45077720207254</v>
      </c>
      <c r="Q27">
        <v>0.96499999999999997</v>
      </c>
      <c r="R27" s="28">
        <v>24.7</v>
      </c>
      <c r="S27" s="8">
        <v>31.114304461991754</v>
      </c>
      <c r="T27" s="12">
        <v>0.51245283018867915</v>
      </c>
      <c r="U27">
        <v>2.3279999999999998</v>
      </c>
      <c r="V27">
        <v>6.0000000000000001E-3</v>
      </c>
      <c r="W27">
        <f>V27*0.04</f>
        <v>2.4000000000000001E-4</v>
      </c>
      <c r="X27">
        <f>((I27/1000/U27)*(1-N27/Q27/2000)+N27/Q27/1000)/(1+I27/1000/(2*U27))*1000</f>
        <v>19.539343405037062</v>
      </c>
      <c r="Z27" s="15">
        <v>0.88400000000000001</v>
      </c>
      <c r="AA27" s="8">
        <f>S27/Q27*Z27</f>
        <v>28.502637455337524</v>
      </c>
      <c r="AB27" s="9">
        <f>V27*(AA27/1000-X27/1000)</f>
        <v>5.377976430180277E-5</v>
      </c>
      <c r="AC27" s="10">
        <f>I27/1000-AB27</f>
        <v>6.7162202356981972E-3</v>
      </c>
      <c r="AD27" s="11">
        <f>1/(((AA27/1000-X27/1000)/(I27/1000-AC27*((AA27+X27)/2000)))+((X27-(N27/Q27))/1000)/(I27/1000-I27/1000*((X27+N27/Q27)/2000)))</f>
        <v>0.55995854115824495</v>
      </c>
      <c r="AE27" s="12">
        <f>(AC27-AC27*((AA27+X27)/2000))/((AA27-X27)/1000)</f>
        <v>0.73130368555405489</v>
      </c>
      <c r="AF27" s="12">
        <f>AE27+V27</f>
        <v>0.7373036855540549</v>
      </c>
      <c r="AG27" s="12">
        <f>AE27/1.6</f>
        <v>0.45706480347128431</v>
      </c>
      <c r="AH27" s="12">
        <f>AG27+W27</f>
        <v>0.45730480347128433</v>
      </c>
      <c r="AI27" s="12">
        <f>U27/1.37</f>
        <v>1.6992700729927004</v>
      </c>
      <c r="AJ27" s="8">
        <f>(E27/Q27*(AI27-I27/1000/2)-G27)/(AI27+I27/1000/2)</f>
        <v>375.45409346445354</v>
      </c>
      <c r="AK27" s="13">
        <f>(AJ27*(AH27-AC27/2)-G27)/(AH27+AC27/2)</f>
        <v>277.50474471278523</v>
      </c>
      <c r="AL27" s="14">
        <f>AK27*Q27</f>
        <v>267.79207864783774</v>
      </c>
      <c r="AM27" s="13"/>
    </row>
    <row r="28" spans="1:39" x14ac:dyDescent="0.25">
      <c r="B28" s="23"/>
      <c r="D28">
        <v>261</v>
      </c>
      <c r="E28">
        <v>257</v>
      </c>
      <c r="F28">
        <v>254</v>
      </c>
      <c r="G28" s="8">
        <v>-0.02</v>
      </c>
      <c r="H28" s="12">
        <v>0.34799999999999998</v>
      </c>
      <c r="I28" s="8">
        <v>5.87</v>
      </c>
      <c r="J28">
        <v>15.86</v>
      </c>
      <c r="K28">
        <v>0.99</v>
      </c>
      <c r="L28" s="8">
        <v>-0.02</v>
      </c>
      <c r="M28" s="8">
        <v>9.82</v>
      </c>
      <c r="N28" s="8">
        <v>15.37</v>
      </c>
      <c r="O28">
        <v>26.2</v>
      </c>
      <c r="P28" s="14">
        <v>263.21243523316065</v>
      </c>
      <c r="Q28">
        <v>0.96499999999999997</v>
      </c>
      <c r="R28">
        <v>24.7</v>
      </c>
      <c r="S28" s="8">
        <v>31.114304461991754</v>
      </c>
      <c r="T28" s="12">
        <v>0.4092564491654021</v>
      </c>
      <c r="U28">
        <v>2.3250000000000002</v>
      </c>
      <c r="V28">
        <v>7.0000000000000001E-3</v>
      </c>
      <c r="W28">
        <f>V28*0.04</f>
        <v>2.8000000000000003E-4</v>
      </c>
      <c r="X28">
        <f>((I28/1000/U28)*(1-N28/Q28/2000)+N28/Q28/1000)/(1+I28/1000/(2*U28))*1000</f>
        <v>18.408847348320922</v>
      </c>
      <c r="Z28" s="15">
        <v>0.88400000000000001</v>
      </c>
      <c r="AA28" s="8">
        <f>S28/Q28*Z28</f>
        <v>28.502637455337524</v>
      </c>
      <c r="AB28" s="9">
        <f>V28*(AA28/1000-X28/1000)</f>
        <v>7.0656530749116215E-5</v>
      </c>
      <c r="AC28" s="10">
        <f>I28/1000-AB28</f>
        <v>5.799343469250884E-3</v>
      </c>
      <c r="AD28" s="11">
        <f>1/(((AA28/1000-X28/1000)/(I28/1000-AC28*((AA28+X28)/2000)))+((X28-(N28/Q28))/1000)/(I28/1000-I28/1000*((X28+N28/Q28)/2000)))</f>
        <v>0.45652590758633116</v>
      </c>
      <c r="AE28" s="12">
        <f>(AC28-AC28*((AA28+X28)/2000))/((AA28-X28)/1000)</f>
        <v>0.56106928147828283</v>
      </c>
      <c r="AF28" s="12">
        <f>AE28+V28</f>
        <v>0.56806928147828284</v>
      </c>
      <c r="AG28" s="12">
        <f>AE28/1.6</f>
        <v>0.35066830092392676</v>
      </c>
      <c r="AH28" s="12">
        <f>AG28+W28</f>
        <v>0.35094830092392676</v>
      </c>
      <c r="AI28" s="12">
        <f>U28/1.37</f>
        <v>1.697080291970803</v>
      </c>
      <c r="AJ28" s="8">
        <f>(E28/Q28*(AI28-I28/1000/2)-G28)/(AI28+I28/1000/2)</f>
        <v>265.41342480734869</v>
      </c>
      <c r="AK28" s="13">
        <f>(AJ28*(AH28-AC28/2)-G28)/(AH28+AC28/2)</f>
        <v>261.11998884276284</v>
      </c>
      <c r="AL28" s="14">
        <f>AK28*Q28</f>
        <v>251.98078923326614</v>
      </c>
      <c r="AM28" s="13"/>
    </row>
    <row r="29" spans="1:39" x14ac:dyDescent="0.25">
      <c r="B29" s="23"/>
      <c r="D29" s="24">
        <v>351.5</v>
      </c>
      <c r="E29" s="24">
        <v>322.5</v>
      </c>
      <c r="F29" s="24">
        <v>243.5</v>
      </c>
      <c r="G29" s="26">
        <v>42.58</v>
      </c>
      <c r="H29" s="26">
        <v>0.76800000000000002</v>
      </c>
      <c r="I29" s="26">
        <v>12.64</v>
      </c>
      <c r="J29" s="26">
        <v>15.5</v>
      </c>
      <c r="K29" s="26">
        <v>0.79</v>
      </c>
      <c r="L29" s="25">
        <v>49.089999999999996</v>
      </c>
      <c r="M29" s="25">
        <v>9.16</v>
      </c>
      <c r="N29" s="25">
        <v>15.734999999999999</v>
      </c>
      <c r="O29" s="25">
        <v>26.2</v>
      </c>
      <c r="P29" s="25">
        <v>252.33160621761658</v>
      </c>
      <c r="Q29">
        <v>0.96499999999999997</v>
      </c>
      <c r="T29" s="26">
        <v>0.92170927935408131</v>
      </c>
      <c r="U29" s="26">
        <v>4.6530000000000005</v>
      </c>
      <c r="Z29" s="15"/>
      <c r="AC29" s="10"/>
      <c r="AE29" s="12"/>
      <c r="AF29" s="12"/>
      <c r="AG29" s="8"/>
      <c r="AJ29" s="8"/>
      <c r="AK29" s="13">
        <f>AK27-AK28</f>
        <v>16.384755870022389</v>
      </c>
      <c r="AL29" s="14"/>
      <c r="AM29" s="13">
        <f>($AK$19-$AK$20)/$G$21*G29</f>
        <v>16.519731157041118</v>
      </c>
    </row>
    <row r="30" spans="1:39" x14ac:dyDescent="0.25">
      <c r="B30" s="23"/>
      <c r="F30" s="36"/>
      <c r="G30" s="8"/>
      <c r="H30" s="37"/>
      <c r="I30" s="38"/>
      <c r="J30" s="38"/>
      <c r="L30" s="8"/>
      <c r="M30" s="8"/>
      <c r="N30" s="8"/>
      <c r="Z30" s="15"/>
      <c r="AC30" s="10"/>
      <c r="AE30" s="12"/>
      <c r="AF30" s="12"/>
      <c r="AJ30" s="8"/>
      <c r="AK30" s="13"/>
      <c r="AL30" s="14"/>
      <c r="AM30" s="13"/>
    </row>
    <row r="31" spans="1:39" x14ac:dyDescent="0.25">
      <c r="B31" s="23">
        <v>0.66805555555555562</v>
      </c>
      <c r="D31">
        <v>446</v>
      </c>
      <c r="E31">
        <v>407</v>
      </c>
      <c r="F31">
        <v>214</v>
      </c>
      <c r="G31" s="8">
        <v>36.47</v>
      </c>
      <c r="H31" s="12">
        <v>0.29499999999999998</v>
      </c>
      <c r="I31" s="8">
        <v>6.54</v>
      </c>
      <c r="J31">
        <v>20.88</v>
      </c>
      <c r="K31">
        <v>0.51</v>
      </c>
      <c r="L31" s="8">
        <v>35.31</v>
      </c>
      <c r="M31" s="8">
        <v>4.2</v>
      </c>
      <c r="N31" s="8">
        <v>10.44</v>
      </c>
      <c r="O31">
        <v>26.2</v>
      </c>
      <c r="P31" s="14">
        <v>221.7616580310881</v>
      </c>
      <c r="Q31">
        <v>0.96499999999999997</v>
      </c>
      <c r="R31">
        <v>24.7</v>
      </c>
      <c r="S31" s="8">
        <v>31.114304461991754</v>
      </c>
      <c r="T31" s="12">
        <v>0.33780619773733395</v>
      </c>
      <c r="U31">
        <v>2.3279999999999998</v>
      </c>
      <c r="V31">
        <v>6.0000000000000001E-3</v>
      </c>
      <c r="W31">
        <f>V31*0.04</f>
        <v>2.4000000000000001E-4</v>
      </c>
      <c r="X31">
        <f>((I31/1000/U31)*(1-N31/Q31/2000)+N31/Q31/1000)/(1+I31/1000/(2*U31))*1000</f>
        <v>13.593640736327512</v>
      </c>
      <c r="Z31" s="15">
        <v>0.84599999999999997</v>
      </c>
      <c r="AA31" s="8">
        <f>S31/Q31*Z31</f>
        <v>27.277410958388625</v>
      </c>
      <c r="AB31" s="9">
        <f>V31*(AA31/1000-X31/1000)</f>
        <v>8.2102621332366668E-5</v>
      </c>
      <c r="AC31" s="10">
        <f>I31/1000-AB31</f>
        <v>6.4578973786676335E-3</v>
      </c>
      <c r="AD31" s="11">
        <f t="shared" ref="AD31:AD32" si="2">1/(((AA31/1000-X31/1000)/(I31/1000-AC31*((AA31+X31)/2000)))+((X31-(N31/Q31))/1000)/(I31/1000-I31/1000*((X31+N31/Q31)/2000)))</f>
        <v>0.38986913116995603</v>
      </c>
      <c r="AE31" s="12">
        <f>(AC31-AC31*((AA31+X31)/2000))/((AA31-X31)/1000)</f>
        <v>0.46229414461137042</v>
      </c>
      <c r="AF31" s="12">
        <f>AE31+V31</f>
        <v>0.46829414461137042</v>
      </c>
      <c r="AG31" s="12">
        <f>AE31/1.6</f>
        <v>0.28893384038210651</v>
      </c>
      <c r="AH31" s="12">
        <f>AG31+W31</f>
        <v>0.28917384038210653</v>
      </c>
      <c r="AI31" s="12">
        <f>U31/1.37</f>
        <v>1.6992700729927004</v>
      </c>
      <c r="AJ31" s="8">
        <f>(E31/Q31*(AI31-I31/1000/2)-G31)/(AI31+I31/1000/2)</f>
        <v>398.72060198441983</v>
      </c>
      <c r="AK31" s="13">
        <f>(AJ31*(AH31-AC31/2)-G31)/(AH31+AC31/2)</f>
        <v>265.18939712017192</v>
      </c>
      <c r="AL31" s="14">
        <f>AK31*Q31</f>
        <v>255.90776822096589</v>
      </c>
      <c r="AM31" s="13"/>
    </row>
    <row r="32" spans="1:39" x14ac:dyDescent="0.25">
      <c r="B32" s="6"/>
      <c r="D32">
        <v>250</v>
      </c>
      <c r="E32">
        <v>248</v>
      </c>
      <c r="F32">
        <v>243</v>
      </c>
      <c r="G32" s="8">
        <v>-0.14000000000000001</v>
      </c>
      <c r="H32" s="12">
        <v>0.26200000000000001</v>
      </c>
      <c r="I32" s="8">
        <v>5.82</v>
      </c>
      <c r="J32">
        <v>20.92</v>
      </c>
      <c r="K32">
        <v>0.98</v>
      </c>
      <c r="L32" s="8">
        <v>-0.14000000000000001</v>
      </c>
      <c r="M32" s="8">
        <v>4.5</v>
      </c>
      <c r="N32" s="8">
        <v>10.38</v>
      </c>
      <c r="O32">
        <v>26.2</v>
      </c>
      <c r="P32" s="14">
        <v>251.81347150259069</v>
      </c>
      <c r="Q32">
        <v>0.96499999999999997</v>
      </c>
      <c r="R32">
        <v>24.7</v>
      </c>
      <c r="S32" s="8">
        <v>31.114304461991754</v>
      </c>
      <c r="T32" s="12">
        <v>0.29527387300048474</v>
      </c>
      <c r="U32">
        <v>2.3250000000000002</v>
      </c>
      <c r="V32">
        <v>7.0000000000000001E-3</v>
      </c>
      <c r="W32">
        <f>V32*0.04</f>
        <v>2.8000000000000003E-4</v>
      </c>
      <c r="X32">
        <f>((I32/1000/U32)*(1-N32/Q32/2000)+N32/Q32/1000)/(1+I32/1000/(2*U32))*1000</f>
        <v>13.229681105800989</v>
      </c>
      <c r="Z32" s="15">
        <v>0.84599999999999997</v>
      </c>
      <c r="AA32" s="8">
        <f>S32/Q32*Z32</f>
        <v>27.277410958388625</v>
      </c>
      <c r="AB32" s="9">
        <f>V32*(AA32/1000-X32/1000)</f>
        <v>9.8334108968113461E-5</v>
      </c>
      <c r="AC32" s="10">
        <f>I32/1000-AB32</f>
        <v>5.7216658910318871E-3</v>
      </c>
      <c r="AD32" s="11">
        <f t="shared" si="2"/>
        <v>0.34568067941180769</v>
      </c>
      <c r="AE32" s="12">
        <f>(AC32-AC32*((AA32+X32)/2000))/((AA32-X32)/1000)</f>
        <v>0.39905251071545939</v>
      </c>
      <c r="AF32" s="12">
        <f>AE32+V32</f>
        <v>0.40605251071545939</v>
      </c>
      <c r="AG32" s="12">
        <f>AE32/1.6</f>
        <v>0.2494078191971621</v>
      </c>
      <c r="AH32" s="12">
        <f>AG32+W32</f>
        <v>0.2496878191971621</v>
      </c>
      <c r="AI32" s="12">
        <f>U32/1.37</f>
        <v>1.697080291970803</v>
      </c>
      <c r="AJ32" s="8">
        <f>(E32/Q32*(AI32-I32/1000/2)-G32)/(AI32+I32/1000/2)</f>
        <v>256.19733771959812</v>
      </c>
      <c r="AK32" s="13">
        <f>(AJ32*(AH32-AC32/2)-G32)/(AH32+AC32/2)</f>
        <v>250.94735694419356</v>
      </c>
      <c r="AL32" s="14">
        <f>AK32*Q32</f>
        <v>242.16419945114677</v>
      </c>
      <c r="AM32" s="13"/>
    </row>
    <row r="33" spans="2:39" x14ac:dyDescent="0.25">
      <c r="B33" s="6"/>
      <c r="D33" s="24">
        <v>348</v>
      </c>
      <c r="E33" s="24">
        <v>327.5</v>
      </c>
      <c r="F33" s="24">
        <v>228.5</v>
      </c>
      <c r="G33" s="26">
        <v>36.33</v>
      </c>
      <c r="H33" s="26">
        <v>0.55699999999999994</v>
      </c>
      <c r="I33" s="26">
        <v>12.36</v>
      </c>
      <c r="J33" s="26">
        <v>20.9</v>
      </c>
      <c r="K33" s="26">
        <v>0.745</v>
      </c>
      <c r="L33" s="25">
        <v>35.17</v>
      </c>
      <c r="M33" s="25">
        <v>4.3499999999999996</v>
      </c>
      <c r="N33" s="25">
        <v>10.41</v>
      </c>
      <c r="O33" s="25">
        <v>26.2</v>
      </c>
      <c r="P33" s="25">
        <v>236.78756476683938</v>
      </c>
      <c r="T33" s="26">
        <v>0.63308007073781869</v>
      </c>
      <c r="U33" s="26">
        <v>4.6530000000000005</v>
      </c>
      <c r="V33" s="24"/>
      <c r="W33" s="26"/>
      <c r="AA33" s="8"/>
      <c r="AC33" s="10"/>
      <c r="AD33" s="8"/>
      <c r="AE33" s="12"/>
      <c r="AF33" s="12"/>
      <c r="AG33" s="8"/>
      <c r="AH33" s="7"/>
      <c r="AJ33" s="8"/>
      <c r="AK33" s="13">
        <f>AK31-AK32</f>
        <v>14.24204017597836</v>
      </c>
      <c r="AL33" s="14"/>
      <c r="AM33" s="13">
        <f>($AK$19-$AK$20)/$G$21*G33</f>
        <v>14.094923272318079</v>
      </c>
    </row>
    <row r="40" spans="2:39" x14ac:dyDescent="0.25">
      <c r="C40" t="s">
        <v>42</v>
      </c>
      <c r="D40" t="s">
        <v>43</v>
      </c>
    </row>
    <row r="41" spans="2:39" x14ac:dyDescent="0.25">
      <c r="C41" t="s">
        <v>44</v>
      </c>
      <c r="D41" t="s">
        <v>45</v>
      </c>
    </row>
    <row r="42" spans="2:39" x14ac:dyDescent="0.25">
      <c r="C42" t="s">
        <v>46</v>
      </c>
      <c r="D42" t="s">
        <v>47</v>
      </c>
    </row>
    <row r="43" spans="2:39" x14ac:dyDescent="0.25">
      <c r="C43" t="s">
        <v>48</v>
      </c>
      <c r="D43" t="s">
        <v>49</v>
      </c>
    </row>
    <row r="44" spans="2:39" x14ac:dyDescent="0.25">
      <c r="C44" t="s">
        <v>50</v>
      </c>
      <c r="D44" t="s">
        <v>51</v>
      </c>
    </row>
    <row r="45" spans="2:39" x14ac:dyDescent="0.25">
      <c r="C45" t="s">
        <v>52</v>
      </c>
      <c r="D45" t="s">
        <v>53</v>
      </c>
    </row>
    <row r="46" spans="2:39" x14ac:dyDescent="0.25">
      <c r="C46" t="s">
        <v>54</v>
      </c>
      <c r="D46" t="s">
        <v>55</v>
      </c>
    </row>
    <row r="47" spans="2:39" x14ac:dyDescent="0.25">
      <c r="C47" t="s">
        <v>56</v>
      </c>
      <c r="D47" t="s">
        <v>57</v>
      </c>
    </row>
    <row r="48" spans="2:39" x14ac:dyDescent="0.25">
      <c r="C48" t="s">
        <v>58</v>
      </c>
      <c r="D48" t="s">
        <v>59</v>
      </c>
    </row>
    <row r="49" spans="3:9" x14ac:dyDescent="0.25">
      <c r="C49" t="s">
        <v>60</v>
      </c>
      <c r="D49" t="s">
        <v>61</v>
      </c>
    </row>
    <row r="50" spans="3:9" x14ac:dyDescent="0.25">
      <c r="C50" t="s">
        <v>62</v>
      </c>
      <c r="D50" t="s">
        <v>63</v>
      </c>
    </row>
    <row r="51" spans="3:9" x14ac:dyDescent="0.25">
      <c r="C51" t="s">
        <v>64</v>
      </c>
      <c r="D51" t="s">
        <v>65</v>
      </c>
    </row>
    <row r="52" spans="3:9" x14ac:dyDescent="0.25">
      <c r="C52" t="s">
        <v>66</v>
      </c>
      <c r="D52" t="s">
        <v>67</v>
      </c>
    </row>
    <row r="53" spans="3:9" x14ac:dyDescent="0.25">
      <c r="C53" t="s">
        <v>68</v>
      </c>
      <c r="D53" t="s">
        <v>69</v>
      </c>
    </row>
    <row r="54" spans="3:9" x14ac:dyDescent="0.25">
      <c r="C54" t="s">
        <v>70</v>
      </c>
      <c r="D54" t="s">
        <v>71</v>
      </c>
    </row>
    <row r="55" spans="3:9" x14ac:dyDescent="0.25">
      <c r="C55" t="s">
        <v>72</v>
      </c>
      <c r="D55" t="s">
        <v>73</v>
      </c>
    </row>
    <row r="56" spans="3:9" x14ac:dyDescent="0.25">
      <c r="C56" t="s">
        <v>74</v>
      </c>
      <c r="D56" t="s">
        <v>75</v>
      </c>
    </row>
    <row r="57" spans="3:9" x14ac:dyDescent="0.25">
      <c r="C57" t="s">
        <v>76</v>
      </c>
      <c r="D57" t="s">
        <v>77</v>
      </c>
    </row>
    <row r="58" spans="3:9" x14ac:dyDescent="0.25">
      <c r="C58" t="s">
        <v>78</v>
      </c>
      <c r="D58" t="s">
        <v>79</v>
      </c>
    </row>
    <row r="59" spans="3:9" x14ac:dyDescent="0.25">
      <c r="C59" t="s">
        <v>80</v>
      </c>
      <c r="D59" t="s">
        <v>81</v>
      </c>
    </row>
    <row r="60" spans="3:9" x14ac:dyDescent="0.25">
      <c r="C60" t="s">
        <v>82</v>
      </c>
      <c r="D60" s="16" t="s">
        <v>83</v>
      </c>
      <c r="E60" s="17"/>
      <c r="F60" s="17"/>
      <c r="G60" s="17"/>
      <c r="H60" s="17"/>
      <c r="I60" s="17"/>
    </row>
    <row r="61" spans="3:9" x14ac:dyDescent="0.25">
      <c r="C61" t="s">
        <v>84</v>
      </c>
      <c r="D61" t="s">
        <v>85</v>
      </c>
    </row>
    <row r="62" spans="3:9" x14ac:dyDescent="0.25">
      <c r="C62" t="s">
        <v>86</v>
      </c>
      <c r="D62" t="s">
        <v>87</v>
      </c>
    </row>
    <row r="63" spans="3:9" x14ac:dyDescent="0.25">
      <c r="C63" t="s">
        <v>88</v>
      </c>
      <c r="D63" t="s">
        <v>89</v>
      </c>
    </row>
    <row r="64" spans="3:9" x14ac:dyDescent="0.25">
      <c r="C64" t="s">
        <v>90</v>
      </c>
      <c r="D64" t="s">
        <v>51</v>
      </c>
    </row>
    <row r="65" spans="3:14" x14ac:dyDescent="0.25">
      <c r="C65" t="s">
        <v>91</v>
      </c>
      <c r="D65" t="s">
        <v>75</v>
      </c>
    </row>
    <row r="66" spans="3:14" x14ac:dyDescent="0.25">
      <c r="C66" t="s">
        <v>92</v>
      </c>
      <c r="D66" t="s">
        <v>93</v>
      </c>
    </row>
    <row r="67" spans="3:14" x14ac:dyDescent="0.25">
      <c r="C67" t="s">
        <v>94</v>
      </c>
      <c r="D67" t="s">
        <v>95</v>
      </c>
    </row>
    <row r="68" spans="3:14" x14ac:dyDescent="0.25">
      <c r="C68" t="s">
        <v>96</v>
      </c>
      <c r="D68" t="s">
        <v>97</v>
      </c>
    </row>
    <row r="69" spans="3:14" x14ac:dyDescent="0.25">
      <c r="C69" t="s">
        <v>98</v>
      </c>
      <c r="D69" t="s">
        <v>99</v>
      </c>
    </row>
    <row r="70" spans="3:14" x14ac:dyDescent="0.25">
      <c r="C70" t="s">
        <v>100</v>
      </c>
      <c r="D70" s="16" t="s">
        <v>101</v>
      </c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3:14" x14ac:dyDescent="0.25">
      <c r="C71" t="s">
        <v>40</v>
      </c>
      <c r="D71" s="16" t="s">
        <v>102</v>
      </c>
      <c r="E71" s="17"/>
      <c r="F71" s="17"/>
      <c r="G71" s="17"/>
      <c r="H71" s="17"/>
      <c r="I71" s="17"/>
      <c r="J71" s="17"/>
      <c r="K71" s="17"/>
      <c r="L71" s="17"/>
      <c r="M71" s="17"/>
      <c r="N71" s="17"/>
    </row>
    <row r="72" spans="3:14" x14ac:dyDescent="0.25">
      <c r="C72" t="s">
        <v>46</v>
      </c>
      <c r="D72" t="s">
        <v>47</v>
      </c>
    </row>
  </sheetData>
  <mergeCells count="2">
    <mergeCell ref="D4:W4"/>
    <mergeCell ref="Z4:AM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A7803-9D1E-4005-8F29-2C0828DF63BF}">
  <dimension ref="A1:AM65"/>
  <sheetViews>
    <sheetView workbookViewId="0">
      <selection activeCell="L34" sqref="L34"/>
    </sheetView>
  </sheetViews>
  <sheetFormatPr defaultRowHeight="15" x14ac:dyDescent="0.25"/>
  <cols>
    <col min="39" max="39" width="11" customWidth="1"/>
  </cols>
  <sheetData>
    <row r="1" spans="1:39" ht="18.75" x14ac:dyDescent="0.3">
      <c r="A1" s="39" t="s">
        <v>0</v>
      </c>
      <c r="B1" s="39"/>
      <c r="C1" s="40" t="s">
        <v>161</v>
      </c>
      <c r="D1" s="39"/>
    </row>
    <row r="2" spans="1:39" x14ac:dyDescent="0.25">
      <c r="A2" t="s">
        <v>157</v>
      </c>
    </row>
    <row r="4" spans="1:39" x14ac:dyDescent="0.25">
      <c r="D4" s="53" t="s">
        <v>2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Z4" s="53" t="s">
        <v>3</v>
      </c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</row>
    <row r="6" spans="1:39" x14ac:dyDescent="0.25">
      <c r="V6" t="s">
        <v>26</v>
      </c>
      <c r="Z6" s="4" t="s">
        <v>27</v>
      </c>
      <c r="AM6" s="4" t="s">
        <v>107</v>
      </c>
    </row>
    <row r="7" spans="1:39" x14ac:dyDescent="0.25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115</v>
      </c>
      <c r="U7" t="s">
        <v>116</v>
      </c>
      <c r="V7" t="s">
        <v>134</v>
      </c>
      <c r="W7" t="s">
        <v>28</v>
      </c>
      <c r="X7" t="s">
        <v>29</v>
      </c>
      <c r="Z7" s="4" t="s">
        <v>162</v>
      </c>
      <c r="AA7" t="s">
        <v>30</v>
      </c>
      <c r="AB7" t="s">
        <v>31</v>
      </c>
      <c r="AC7" t="s">
        <v>32</v>
      </c>
      <c r="AD7" t="s">
        <v>33</v>
      </c>
      <c r="AE7" t="s">
        <v>34</v>
      </c>
      <c r="AF7" t="s">
        <v>35</v>
      </c>
      <c r="AG7" t="s">
        <v>36</v>
      </c>
      <c r="AH7" t="s">
        <v>37</v>
      </c>
      <c r="AI7" t="s">
        <v>38</v>
      </c>
      <c r="AJ7" t="s">
        <v>39</v>
      </c>
      <c r="AK7" s="4" t="s">
        <v>40</v>
      </c>
      <c r="AL7" t="s">
        <v>10</v>
      </c>
      <c r="AM7" s="4" t="s">
        <v>41</v>
      </c>
    </row>
    <row r="8" spans="1:39" x14ac:dyDescent="0.25">
      <c r="A8" t="s">
        <v>163</v>
      </c>
      <c r="B8" s="6">
        <v>0.43774305555555554</v>
      </c>
      <c r="C8">
        <v>10.5</v>
      </c>
      <c r="D8">
        <v>431</v>
      </c>
      <c r="E8" s="8">
        <v>393</v>
      </c>
      <c r="F8" s="8">
        <v>217</v>
      </c>
      <c r="G8" s="8">
        <v>28.986666666666668</v>
      </c>
      <c r="H8" s="8">
        <v>0.24073333333333335</v>
      </c>
      <c r="I8" s="8">
        <v>2.0723333333333334</v>
      </c>
      <c r="J8" s="8">
        <v>8.0533333333333328</v>
      </c>
      <c r="K8" s="8">
        <v>0.54666666666666675</v>
      </c>
      <c r="L8" s="8">
        <v>28.043333333333333</v>
      </c>
      <c r="M8" s="8">
        <v>24.709999999999997</v>
      </c>
      <c r="N8" s="8">
        <v>26.62</v>
      </c>
      <c r="O8" s="8">
        <v>26.7</v>
      </c>
      <c r="P8" s="41">
        <v>1.0253436666666667E-3</v>
      </c>
      <c r="Q8" s="8">
        <v>0.96099999999999997</v>
      </c>
      <c r="R8" s="8">
        <v>26.433333333333334</v>
      </c>
      <c r="S8" s="8">
        <v>34.676666666666669</v>
      </c>
      <c r="T8" s="8">
        <v>0.26819999999999999</v>
      </c>
      <c r="U8" s="8">
        <v>2.3502999999999998</v>
      </c>
      <c r="V8">
        <v>2E-3</v>
      </c>
      <c r="W8">
        <f>V8*0.04</f>
        <v>8.0000000000000007E-5</v>
      </c>
      <c r="X8">
        <f>((I8/1000/U8)*(1-N8/Q8/2000)+N8/Q8/1000)/(1+I8/1000/(2*U8))*1000</f>
        <v>28.557241558899182</v>
      </c>
      <c r="Z8" s="15">
        <v>1</v>
      </c>
      <c r="AA8" s="8">
        <f>S8/Q8*Z8</f>
        <v>36.083940339923693</v>
      </c>
      <c r="AB8" s="9">
        <f>V8*(AA8/1000-X8/1000)</f>
        <v>1.5053397562049028E-5</v>
      </c>
      <c r="AC8" s="10">
        <f>I8/1000-AB8</f>
        <v>2.0572799357712842E-3</v>
      </c>
      <c r="AD8" s="11">
        <f>1/(((AA8/1000-X8/1000)/(I8/1000-AC8*((AA8+X8)/2000)))+((X8-(N8/Q8))/1000)/(I8/1000-I8/1000*((X8+N8/Q8)/2000)))</f>
        <v>0.23935650723679719</v>
      </c>
      <c r="AE8" s="12">
        <f>(AC8-AC8*((AA8+X8)/2000))/((AA8-X8)/1000)</f>
        <v>0.26449675886030466</v>
      </c>
      <c r="AF8" s="12">
        <f>AE8+V8</f>
        <v>0.26649675886030466</v>
      </c>
      <c r="AG8" s="12">
        <f>AE8/1.6</f>
        <v>0.16531047428769041</v>
      </c>
      <c r="AH8" s="12">
        <f>AG8+W8</f>
        <v>0.16539047428769041</v>
      </c>
      <c r="AI8" s="12">
        <f>U8/1.37</f>
        <v>1.7155474452554742</v>
      </c>
      <c r="AJ8" s="8">
        <f>(E8/Q8*(AI8-I8/1000/2)-G8)/(AI8+I8/1000/2)</f>
        <v>391.5690567925763</v>
      </c>
      <c r="AK8" s="13">
        <f>(AJ8*(AH8-AC8/2)-G8)/(AH8+AC8/2)</f>
        <v>212.54975384807281</v>
      </c>
      <c r="AL8" s="14">
        <f>AK8*Q8</f>
        <v>204.26031344799796</v>
      </c>
      <c r="AM8" s="4"/>
    </row>
    <row r="9" spans="1:39" x14ac:dyDescent="0.25">
      <c r="B9" s="6"/>
      <c r="D9" s="8">
        <v>197.46666666666667</v>
      </c>
      <c r="E9" s="8">
        <v>193</v>
      </c>
      <c r="F9" s="8">
        <v>196.33333333333334</v>
      </c>
      <c r="G9" s="8">
        <v>-0.22666666666666668</v>
      </c>
      <c r="H9" s="8">
        <v>0.57786666666666664</v>
      </c>
      <c r="I9" s="8">
        <v>4.905666666666666</v>
      </c>
      <c r="J9" s="8">
        <v>7.9333333333333336</v>
      </c>
      <c r="K9" s="8">
        <v>1.0066666666666666</v>
      </c>
      <c r="L9" s="8">
        <v>-0.25666666666666665</v>
      </c>
      <c r="M9" s="8">
        <v>21.503333333333334</v>
      </c>
      <c r="N9" s="8">
        <v>26.736666666666668</v>
      </c>
      <c r="O9" s="8">
        <v>26.666666666666668</v>
      </c>
      <c r="P9" s="41">
        <v>8.8119373333333335E-4</v>
      </c>
      <c r="Q9" s="8">
        <v>0.96099999999999997</v>
      </c>
      <c r="R9" s="8">
        <v>26.433333333333334</v>
      </c>
      <c r="S9" s="8">
        <v>34.676666666666669</v>
      </c>
      <c r="T9" s="8">
        <v>0.76633333333333331</v>
      </c>
      <c r="U9" s="8">
        <v>2.3502999999999998</v>
      </c>
      <c r="V9">
        <v>3.5000000000000001E-3</v>
      </c>
      <c r="W9">
        <f>V9*0.04</f>
        <v>1.4000000000000001E-4</v>
      </c>
      <c r="X9">
        <f>((I9/1000/U9)*(1-N9/Q9/2000)+N9/Q9/1000)/(1+I9/1000/(2*U9))*1000</f>
        <v>29.848778362010417</v>
      </c>
      <c r="Z9" s="15">
        <v>1</v>
      </c>
      <c r="AA9" s="8">
        <f>S9/Q9*Z9</f>
        <v>36.083940339923693</v>
      </c>
      <c r="AB9" s="9">
        <f>V9*(AA9/1000-X9/1000)</f>
        <v>2.1823066922696471E-5</v>
      </c>
      <c r="AC9" s="10">
        <f>I9/1000-AB9</f>
        <v>4.8838435997439695E-3</v>
      </c>
      <c r="AD9" s="11">
        <f>1/(((AA9/1000-X9/1000)/(I9/1000-AC9*((AA9+X9)/2000)))+((X9-(N9/Q9))/1000)/(I9/1000-I9/1000*((X9+N9/Q9)/2000)))</f>
        <v>0.57483834512888532</v>
      </c>
      <c r="AE9" s="12">
        <f>(AC9-AC9*((AA9+X9)/2000))/((AA9-X9)/1000)</f>
        <v>0.75745282533966907</v>
      </c>
      <c r="AF9" s="12">
        <f>AE9+V9</f>
        <v>0.76095282533966901</v>
      </c>
      <c r="AG9" s="12">
        <f>AE9/1.6</f>
        <v>0.47340801583729314</v>
      </c>
      <c r="AH9" s="12">
        <f>AG9+W9</f>
        <v>0.47354801583729311</v>
      </c>
      <c r="AI9" s="12">
        <f>U9/1.37</f>
        <v>1.7155474452554742</v>
      </c>
      <c r="AJ9" s="8">
        <f>(E9/Q9*(AI9-I9/1000/2)-G9)/(AI9+I9/1000/2)</f>
        <v>200.39093513027174</v>
      </c>
      <c r="AK9" s="13">
        <f>(AJ9*(AH9-AC9/2)-G9)/(AH9+AC9/2)</f>
        <v>198.81104601948715</v>
      </c>
      <c r="AL9" s="14">
        <f>AK9*Q9</f>
        <v>191.05741522472715</v>
      </c>
      <c r="AM9" s="4"/>
    </row>
    <row r="10" spans="1:39" x14ac:dyDescent="0.25">
      <c r="B10" s="6"/>
      <c r="G10" s="14">
        <f>SUM(G8:G9)</f>
        <v>28.76</v>
      </c>
      <c r="J10" s="8">
        <f>AVERAGE(J8:J9)</f>
        <v>7.9933333333333332</v>
      </c>
      <c r="P10" s="41"/>
      <c r="Z10" s="15"/>
      <c r="AA10" s="8"/>
      <c r="AC10" s="10"/>
      <c r="AD10" s="8"/>
      <c r="AE10" s="12"/>
      <c r="AF10" s="12"/>
      <c r="AG10" s="8"/>
      <c r="AH10" s="7"/>
      <c r="AJ10" s="8"/>
      <c r="AK10" s="13">
        <f>AK8-AK9</f>
        <v>13.73870782858566</v>
      </c>
      <c r="AL10" s="14"/>
      <c r="AM10" s="15"/>
    </row>
    <row r="11" spans="1:39" x14ac:dyDescent="0.25">
      <c r="Z11" s="15"/>
      <c r="AK11" s="13"/>
      <c r="AL11" s="14"/>
      <c r="AM11" s="4"/>
    </row>
    <row r="12" spans="1:39" x14ac:dyDescent="0.25">
      <c r="A12" t="s">
        <v>163</v>
      </c>
      <c r="B12" s="6">
        <v>0.45456018518518521</v>
      </c>
      <c r="C12">
        <v>10.9</v>
      </c>
      <c r="D12">
        <v>425.2</v>
      </c>
      <c r="E12">
        <v>390</v>
      </c>
      <c r="F12">
        <v>210.75</v>
      </c>
      <c r="G12">
        <v>28.864999999999998</v>
      </c>
      <c r="H12">
        <v>0.24162499999999998</v>
      </c>
      <c r="I12">
        <v>3.01925</v>
      </c>
      <c r="J12" s="8">
        <v>11.7125</v>
      </c>
      <c r="K12">
        <v>0.53249999999999997</v>
      </c>
      <c r="L12">
        <v>27.875</v>
      </c>
      <c r="M12">
        <v>19.237500000000001</v>
      </c>
      <c r="N12">
        <v>22.03</v>
      </c>
      <c r="O12">
        <v>26.7</v>
      </c>
      <c r="P12" s="41">
        <v>1.0207912499999999E-3</v>
      </c>
      <c r="Q12">
        <v>0.96099999999999997</v>
      </c>
      <c r="R12">
        <v>25.974999999999998</v>
      </c>
      <c r="S12">
        <v>33.754999999999995</v>
      </c>
      <c r="T12">
        <v>0.26937499999999998</v>
      </c>
      <c r="U12">
        <v>2.3502999999999998</v>
      </c>
      <c r="V12">
        <v>2E-3</v>
      </c>
      <c r="W12">
        <f>V12*0.04</f>
        <v>8.0000000000000007E-5</v>
      </c>
      <c r="X12">
        <f>((I12/1000/U12)*(1-N12/Q12/2000)+N12/Q12/1000)/(1+I12/1000/(2*U12))*1000</f>
        <v>24.178406253646031</v>
      </c>
      <c r="Z12" s="15">
        <v>0.99399999999999999</v>
      </c>
      <c r="AA12" s="8">
        <f>S12/Q12*Z12</f>
        <v>34.914120707596247</v>
      </c>
      <c r="AB12" s="9">
        <f>V12*(AA12/1000-X12/1000)</f>
        <v>2.1471428907900429E-5</v>
      </c>
      <c r="AC12" s="10">
        <f>I12/1000-AB12</f>
        <v>2.9977785710920994E-3</v>
      </c>
      <c r="AD12" s="11">
        <f>1/(((AA12/1000-X12/1000)/(I12/1000-AC12*((AA12+X12)/2000)))+((X12-(N12/Q12))/1000)/(I12/1000-I12/1000*((X12+N12/Q12)/2000)))</f>
        <v>0.24457665076069293</v>
      </c>
      <c r="AE12" s="12">
        <f>(AC12-AC12*((AA12+X12)/2000))/((AA12-X12)/1000)</f>
        <v>0.27098386679832076</v>
      </c>
      <c r="AF12" s="12">
        <f>AE12+V12</f>
        <v>0.27298386679832076</v>
      </c>
      <c r="AG12" s="12">
        <f>AE12/1.6</f>
        <v>0.16936491674895046</v>
      </c>
      <c r="AH12" s="12">
        <f>AG12+W12</f>
        <v>0.16944491674895046</v>
      </c>
      <c r="AI12" s="12">
        <f>U12/1.37</f>
        <v>1.7155474452554742</v>
      </c>
      <c r="AJ12" s="8">
        <f>(E12/Q12*(AI12-I12/1000/2)-G12)/(AI12+I12/1000/2)</f>
        <v>388.30292206417369</v>
      </c>
      <c r="AK12" s="13">
        <f>(AJ12*(AH12-AC12/2)-G12)/(AH12+AC12/2)</f>
        <v>212.63673751229499</v>
      </c>
      <c r="AL12" s="14">
        <f>AK12*Q12</f>
        <v>204.34390474931547</v>
      </c>
      <c r="AM12" s="4"/>
    </row>
    <row r="13" spans="1:39" x14ac:dyDescent="0.25">
      <c r="B13" s="6"/>
      <c r="D13">
        <v>198.55</v>
      </c>
      <c r="E13">
        <v>194.5</v>
      </c>
      <c r="F13">
        <v>195.75</v>
      </c>
      <c r="G13">
        <v>-6.7500000000000004E-2</v>
      </c>
      <c r="H13">
        <v>0.58947499999999997</v>
      </c>
      <c r="I13">
        <v>7.0642499999999995</v>
      </c>
      <c r="J13" s="8">
        <v>11.237500000000001</v>
      </c>
      <c r="K13">
        <v>1</v>
      </c>
      <c r="L13">
        <v>-7.4999999999999983E-2</v>
      </c>
      <c r="M13">
        <v>14.915000000000001</v>
      </c>
      <c r="N13">
        <v>22.51</v>
      </c>
      <c r="O13">
        <v>26.6</v>
      </c>
      <c r="P13" s="41">
        <v>8.7694810000000004E-4</v>
      </c>
      <c r="Q13">
        <v>0.96099999999999997</v>
      </c>
      <c r="R13">
        <v>25.974999999999998</v>
      </c>
      <c r="S13">
        <v>33.754999999999995</v>
      </c>
      <c r="T13">
        <v>0.78692499999999999</v>
      </c>
      <c r="U13">
        <v>2.3502999999999998</v>
      </c>
      <c r="V13">
        <v>3.5000000000000001E-3</v>
      </c>
      <c r="W13">
        <f>V13*0.04</f>
        <v>1.4000000000000001E-4</v>
      </c>
      <c r="X13">
        <f>((I13/1000/U13)*(1-N13/Q13/2000)+N13/Q13/1000)/(1+I13/1000/(2*U13))*1000</f>
        <v>26.354389063817958</v>
      </c>
      <c r="Z13" s="15">
        <v>0.99399999999999999</v>
      </c>
      <c r="AA13" s="8">
        <f>S13/Q13*Z13</f>
        <v>34.914120707596247</v>
      </c>
      <c r="AB13" s="9">
        <f>V13*(AA13/1000-X13/1000)</f>
        <v>2.9959060753224011E-5</v>
      </c>
      <c r="AC13" s="10">
        <f>I13/1000-AB13</f>
        <v>7.0342909392467753E-3</v>
      </c>
      <c r="AD13" s="11">
        <f>1/(((AA13/1000-X13/1000)/(I13/1000-AC13*((AA13+X13)/2000)))+((X13-(N13/Q13))/1000)/(I13/1000-I13/1000*((X13+N13/Q13)/2000)))</f>
        <v>0.5969081048676308</v>
      </c>
      <c r="AE13" s="12">
        <f>(AC13-AC13*((AA13+X13)/2000))/((AA13-X13)/1000)</f>
        <v>0.79661383807867048</v>
      </c>
      <c r="AF13" s="12">
        <f>AE13+V13</f>
        <v>0.80011383807867043</v>
      </c>
      <c r="AG13" s="12">
        <f>AE13/1.6</f>
        <v>0.49788364879916902</v>
      </c>
      <c r="AH13" s="12">
        <f>AG13+W13</f>
        <v>0.49802364879916899</v>
      </c>
      <c r="AI13" s="12">
        <f>U13/1.37</f>
        <v>1.7155474452554742</v>
      </c>
      <c r="AJ13" s="8">
        <f>(E13/Q13*(AI13-I13/1000/2)-G13)/(AI13+I13/1000/2)</f>
        <v>201.60090623923801</v>
      </c>
      <c r="AK13" s="13">
        <f>(AJ13*(AH13-AC13/2)-G13)/(AH13+AC13/2)</f>
        <v>198.907965917062</v>
      </c>
      <c r="AL13" s="14">
        <f>AK13*Q13</f>
        <v>191.15055524629656</v>
      </c>
      <c r="AM13" s="4"/>
    </row>
    <row r="14" spans="1:39" x14ac:dyDescent="0.25">
      <c r="B14" s="6"/>
      <c r="G14" s="14">
        <f>SUM(G12:G13)</f>
        <v>28.797499999999999</v>
      </c>
      <c r="J14" s="8">
        <f>AVERAGE(J12:J13)</f>
        <v>11.475000000000001</v>
      </c>
      <c r="P14" s="41"/>
      <c r="Z14" s="15"/>
      <c r="AC14" s="10"/>
      <c r="AE14" s="12"/>
      <c r="AF14" s="12"/>
      <c r="AG14" s="8"/>
      <c r="AJ14" s="8"/>
      <c r="AK14" s="13">
        <f>AK12-AK13</f>
        <v>13.728771595232985</v>
      </c>
      <c r="AL14" s="14"/>
      <c r="AM14" s="13">
        <f>($AK$8-$AK$9)/$G$10*G14</f>
        <v>13.756621651380234</v>
      </c>
    </row>
    <row r="15" spans="1:39" x14ac:dyDescent="0.25">
      <c r="B15" s="6"/>
      <c r="P15" s="41"/>
      <c r="Z15" s="15"/>
      <c r="AC15" s="10"/>
      <c r="AE15" s="12"/>
      <c r="AF15" s="12"/>
      <c r="AJ15" s="8"/>
      <c r="AK15" s="13"/>
      <c r="AL15" s="14"/>
      <c r="AM15" s="13"/>
    </row>
    <row r="16" spans="1:39" x14ac:dyDescent="0.25">
      <c r="A16" t="s">
        <v>163</v>
      </c>
      <c r="B16" s="6">
        <v>0.53144675925925922</v>
      </c>
      <c r="C16">
        <v>12.75</v>
      </c>
      <c r="D16">
        <v>428.2</v>
      </c>
      <c r="E16">
        <v>396.5</v>
      </c>
      <c r="F16">
        <v>193.25</v>
      </c>
      <c r="G16">
        <v>26.772500000000001</v>
      </c>
      <c r="H16">
        <v>0.20067499999999999</v>
      </c>
      <c r="I16">
        <v>3.278</v>
      </c>
      <c r="J16">
        <v>15.309999999999999</v>
      </c>
      <c r="K16">
        <v>0.47499999999999998</v>
      </c>
      <c r="L16">
        <v>25.695</v>
      </c>
      <c r="M16">
        <v>15.282499999999999</v>
      </c>
      <c r="N16">
        <v>18.322499999999998</v>
      </c>
      <c r="O16">
        <v>26.7</v>
      </c>
      <c r="P16" s="41">
        <v>1.0210534999999998E-3</v>
      </c>
      <c r="Q16">
        <v>0.95799999999999996</v>
      </c>
      <c r="R16">
        <v>26</v>
      </c>
      <c r="S16">
        <v>33.642500000000005</v>
      </c>
      <c r="T16">
        <v>0.21944999999999998</v>
      </c>
      <c r="U16">
        <v>2.3502999999999998</v>
      </c>
      <c r="V16">
        <v>2E-3</v>
      </c>
      <c r="W16">
        <f>V16*0.04</f>
        <v>8.0000000000000007E-5</v>
      </c>
      <c r="X16">
        <f>((I16/1000/U16)*(1-N16/Q16/2000)+N16/Q16/1000)/(1+I16/1000/(2*U16))*1000</f>
        <v>20.49287007319375</v>
      </c>
      <c r="Z16" s="15">
        <v>0.98199999999999998</v>
      </c>
      <c r="AA16" s="8">
        <f>S16/Q16*Z16</f>
        <v>34.485318371607519</v>
      </c>
      <c r="AB16" s="9">
        <f>V16*(AA16/1000-X16/1000)</f>
        <v>2.7984896596827535E-5</v>
      </c>
      <c r="AC16" s="10">
        <f>I16/1000-AB16</f>
        <v>3.2500151034031725E-3</v>
      </c>
      <c r="AD16" s="11">
        <f>1/(((AA16/1000-X16/1000)/(I16/1000-AC16*((AA16+X16)/2000)))+((X16-(N16/Q16))/1000)/(I16/1000-I16/1000*((X16+N16/Q16)/2000)))</f>
        <v>0.20774177549435638</v>
      </c>
      <c r="AE16" s="12">
        <f>(AC16-AC16*((AA16+X16)/2000))/((AA16-X16)/1000)</f>
        <v>0.22588435308778676</v>
      </c>
      <c r="AF16" s="12">
        <f>AE16+V16</f>
        <v>0.22788435308778676</v>
      </c>
      <c r="AG16" s="12">
        <f>AE16/1.6</f>
        <v>0.14117772067986673</v>
      </c>
      <c r="AH16" s="12">
        <f>AG16+W16</f>
        <v>0.14125772067986672</v>
      </c>
      <c r="AI16" s="12">
        <f>U16/1.37</f>
        <v>1.7155474452554742</v>
      </c>
      <c r="AJ16" s="8">
        <f>(E16/Q16*(AI16-I16/1000/2)-G16)/(AI16+I16/1000/2)</f>
        <v>397.50210280997726</v>
      </c>
      <c r="AK16" s="13">
        <f>(AJ16*(AH16-AC16/2)-G16)/(AH16+AC16/2)</f>
        <v>201.0865655010638</v>
      </c>
      <c r="AL16" s="14">
        <f>AK16*Q16</f>
        <v>192.64092975001913</v>
      </c>
      <c r="AM16" s="13"/>
    </row>
    <row r="17" spans="1:39" x14ac:dyDescent="0.25">
      <c r="B17" s="6"/>
      <c r="D17">
        <v>186.32500000000002</v>
      </c>
      <c r="E17">
        <v>183.5</v>
      </c>
      <c r="F17">
        <v>184</v>
      </c>
      <c r="G17">
        <v>-0.41749999999999998</v>
      </c>
      <c r="H17">
        <v>0.45825000000000005</v>
      </c>
      <c r="I17">
        <v>7.1807499999999997</v>
      </c>
      <c r="J17" s="8">
        <f>AVERAGE(J15:J16)</f>
        <v>15.309999999999999</v>
      </c>
      <c r="K17">
        <v>0.99500000000000011</v>
      </c>
      <c r="L17">
        <v>-0.47499999999999998</v>
      </c>
      <c r="M17">
        <v>11.1775</v>
      </c>
      <c r="N17">
        <v>18.942499999999999</v>
      </c>
      <c r="O17">
        <v>26.625</v>
      </c>
      <c r="P17" s="41">
        <v>8.7382487500000001E-4</v>
      </c>
      <c r="Q17">
        <v>0.95799999999999996</v>
      </c>
      <c r="R17">
        <v>26</v>
      </c>
      <c r="S17">
        <v>33.642500000000005</v>
      </c>
      <c r="T17">
        <v>0.56927499999999998</v>
      </c>
      <c r="U17">
        <v>2.3502999999999998</v>
      </c>
      <c r="V17">
        <v>3.5000000000000001E-3</v>
      </c>
      <c r="W17">
        <f>V17*0.04</f>
        <v>1.4000000000000001E-4</v>
      </c>
      <c r="X17">
        <f>((I17/1000/U17)*(1-N17/Q17/2000)+N17/Q17/1000)/(1+I17/1000/(2*U17))*1000</f>
        <v>22.763233453036079</v>
      </c>
      <c r="Z17" s="15">
        <v>0.98199999999999998</v>
      </c>
      <c r="AA17" s="8">
        <f>S17/Q17*Z17</f>
        <v>34.485318371607519</v>
      </c>
      <c r="AB17" s="9">
        <f>V17*(AA17/1000-X17/1000)</f>
        <v>4.1027297215000033E-5</v>
      </c>
      <c r="AC17" s="10">
        <f>I17/1000-AB17</f>
        <v>7.1397227027849997E-3</v>
      </c>
      <c r="AD17" s="11">
        <f>1/(((AA17/1000-X17/1000)/(I17/1000-AC17*((AA17+X17)/2000)))+((X17-(N17/Q17))/1000)/(I17/1000-I17/1000*((X17+N17/Q17)/2000)))</f>
        <v>0.47489454178482748</v>
      </c>
      <c r="AE17" s="12">
        <f>(AC17-AC17*((AA17+X17)/2000))/((AA17-X17)/1000)</f>
        <v>0.59164844465639821</v>
      </c>
      <c r="AF17" s="12">
        <f>AE17+V17</f>
        <v>0.59514844465639816</v>
      </c>
      <c r="AG17" s="12">
        <f>AE17/1.6</f>
        <v>0.36978027791024887</v>
      </c>
      <c r="AH17" s="12">
        <f>AG17+W17</f>
        <v>0.36992027791024884</v>
      </c>
      <c r="AI17" s="12">
        <f>U17/1.37</f>
        <v>1.7155474452554742</v>
      </c>
      <c r="AJ17" s="8">
        <f>(E17/Q17*(AI17-I17/1000/2)-G17)/(AI17+I17/1000/2)</f>
        <v>190.98766636523729</v>
      </c>
      <c r="AK17" s="13">
        <f>(AJ17*(AH17-AC17/2)-G17)/(AH17+AC17/2)</f>
        <v>188.45453663021894</v>
      </c>
      <c r="AL17" s="14">
        <f>AK17*Q17</f>
        <v>180.53944609174974</v>
      </c>
      <c r="AM17" s="13"/>
    </row>
    <row r="18" spans="1:39" x14ac:dyDescent="0.25">
      <c r="B18" s="6"/>
      <c r="G18" s="14">
        <f>SUM(G16:G17)</f>
        <v>26.355</v>
      </c>
      <c r="J18" s="8">
        <f>AVERAGE(J16:J17)</f>
        <v>15.309999999999999</v>
      </c>
      <c r="P18" s="41"/>
      <c r="Z18" s="15"/>
      <c r="AC18" s="10"/>
      <c r="AE18" s="12"/>
      <c r="AF18" s="12"/>
      <c r="AG18" s="8"/>
      <c r="AJ18" s="8"/>
      <c r="AK18" s="13">
        <f>AK16-AK17</f>
        <v>12.632028870844863</v>
      </c>
      <c r="AL18" s="14"/>
      <c r="AM18" s="13">
        <f>($AK$8-$AK$9)/$G$10*G18</f>
        <v>12.58983466002695</v>
      </c>
    </row>
    <row r="19" spans="1:39" x14ac:dyDescent="0.25">
      <c r="B19" s="6"/>
      <c r="P19" s="41"/>
      <c r="Z19" s="15"/>
      <c r="AC19" s="10"/>
      <c r="AE19" s="12"/>
      <c r="AF19" s="12"/>
      <c r="AJ19" s="8"/>
      <c r="AK19" s="13"/>
      <c r="AL19" s="14"/>
      <c r="AM19" s="13"/>
    </row>
    <row r="20" spans="1:39" x14ac:dyDescent="0.25">
      <c r="A20" t="s">
        <v>163</v>
      </c>
      <c r="B20" s="6">
        <v>0.61010416666666667</v>
      </c>
      <c r="C20">
        <v>14.64</v>
      </c>
      <c r="D20">
        <v>430.7</v>
      </c>
      <c r="E20">
        <v>403.33333333333331</v>
      </c>
      <c r="F20">
        <v>127.66666666666667</v>
      </c>
      <c r="G20">
        <v>24.13</v>
      </c>
      <c r="H20">
        <v>0.13503333333333334</v>
      </c>
      <c r="I20">
        <v>2.7709999999999995</v>
      </c>
      <c r="J20" s="8">
        <v>19.256666666666664</v>
      </c>
      <c r="K20">
        <v>0.31</v>
      </c>
      <c r="L20">
        <v>23.136666666666667</v>
      </c>
      <c r="M20">
        <v>11.6</v>
      </c>
      <c r="N20">
        <v>14.183333333333332</v>
      </c>
      <c r="O20">
        <v>26.7</v>
      </c>
      <c r="P20" s="41">
        <v>1.0174353333333335E-3</v>
      </c>
      <c r="Q20">
        <v>0.95799999999999985</v>
      </c>
      <c r="R20">
        <v>25.8</v>
      </c>
      <c r="S20">
        <v>33.46</v>
      </c>
      <c r="T20">
        <v>0.14333333333333331</v>
      </c>
      <c r="U20">
        <v>2.3502999999999998</v>
      </c>
      <c r="V20">
        <v>2E-3</v>
      </c>
      <c r="W20">
        <f>V20*0.04</f>
        <v>8.0000000000000007E-5</v>
      </c>
      <c r="X20">
        <f>((I20/1000/U20)*(1-N20/Q20/2000)+N20/Q20/1000)/(1+I20/1000/(2*U20))*1000</f>
        <v>15.966008469519917</v>
      </c>
      <c r="Z20" s="15">
        <v>0.877</v>
      </c>
      <c r="AA20" s="8">
        <f>S20/Q20*Z20</f>
        <v>30.630918580375784</v>
      </c>
      <c r="AB20" s="9">
        <f>V20*(AA20/1000-X20/1000)</f>
        <v>2.9329820221711741E-5</v>
      </c>
      <c r="AC20" s="10">
        <f>I20/1000-AB20</f>
        <v>2.741670179778288E-3</v>
      </c>
      <c r="AD20" s="11">
        <f>1/(((AA20/1000-X20/1000)/(I20/1000-AC20*((AA20+X20)/2000)))+((X20-(N20/Q20))/1000)/(I20/1000-I20/1000*((X20+N20/Q20)/2000)))</f>
        <v>0.17115568285177474</v>
      </c>
      <c r="AE20" s="12">
        <f>(AC20-AC20*((AA20+X20)/2000))/((AA20-X20)/1000)</f>
        <v>0.18259869694769007</v>
      </c>
      <c r="AF20" s="12">
        <f>AE20+V20</f>
        <v>0.18459869694769007</v>
      </c>
      <c r="AG20" s="12">
        <f>AE20/1.6</f>
        <v>0.11412418559230629</v>
      </c>
      <c r="AH20" s="12">
        <f>AG20+W20</f>
        <v>0.11420418559230629</v>
      </c>
      <c r="AI20" s="12">
        <f>U20/1.37</f>
        <v>1.7155474452554742</v>
      </c>
      <c r="AJ20" s="8">
        <f>(E20/Q20*(AI20-I20/1000/2)-G20)/(AI20+I20/1000/2)</f>
        <v>406.28238686566021</v>
      </c>
      <c r="AK20" s="13">
        <f>(AJ20*(AH20-AC20/2)-G20)/(AH20+AC20/2)</f>
        <v>187.86241898995823</v>
      </c>
      <c r="AL20" s="14">
        <f>AK20*Q20</f>
        <v>179.97219739237997</v>
      </c>
      <c r="AM20" s="13"/>
    </row>
    <row r="21" spans="1:39" x14ac:dyDescent="0.25">
      <c r="B21" s="6"/>
      <c r="D21">
        <v>175.16666666666666</v>
      </c>
      <c r="E21">
        <v>173</v>
      </c>
      <c r="F21">
        <v>170.33333333333334</v>
      </c>
      <c r="G21">
        <v>-4.9999999999999989E-2</v>
      </c>
      <c r="H21">
        <v>0.38643333333333335</v>
      </c>
      <c r="I21">
        <v>7.7266666666666666</v>
      </c>
      <c r="J21" s="8">
        <v>18.766666666666666</v>
      </c>
      <c r="K21">
        <v>0.97666666666666657</v>
      </c>
      <c r="L21">
        <v>-5.000000000000001E-2</v>
      </c>
      <c r="M21">
        <v>6.253333333333333</v>
      </c>
      <c r="N21">
        <v>14.673333333333334</v>
      </c>
      <c r="O21">
        <v>26.7</v>
      </c>
      <c r="P21" s="41">
        <v>8.7026570000000008E-4</v>
      </c>
      <c r="Q21">
        <v>0.95799999999999985</v>
      </c>
      <c r="R21">
        <v>25.8</v>
      </c>
      <c r="S21">
        <v>33.46</v>
      </c>
      <c r="T21">
        <v>0.46256666666666663</v>
      </c>
      <c r="U21">
        <v>2.3502999999999998</v>
      </c>
      <c r="V21">
        <v>3.5000000000000001E-3</v>
      </c>
      <c r="W21">
        <f>V21*0.04</f>
        <v>1.4000000000000001E-4</v>
      </c>
      <c r="X21">
        <f>((I21/1000/U21)*(1-N21/Q21/2000)+N21/Q21/1000)/(1+I21/1000/(2*U21))*1000</f>
        <v>18.548489258402469</v>
      </c>
      <c r="Z21" s="15">
        <v>0.877</v>
      </c>
      <c r="AA21" s="8">
        <f>S21/Q21*Z21</f>
        <v>30.630918580375784</v>
      </c>
      <c r="AB21" s="9">
        <f>V21*(AA21/1000-X21/1000)</f>
        <v>4.22885026269066E-5</v>
      </c>
      <c r="AC21" s="10">
        <f>I21/1000-AB21</f>
        <v>7.6843781640397596E-3</v>
      </c>
      <c r="AD21" s="11">
        <f>1/(((AA21/1000-X21/1000)/(I21/1000-AC21*((AA21+X21)/2000)))+((X21-(N21/Q21))/1000)/(I21/1000-I21/1000*((X21+N21/Q21)/2000)))</f>
        <v>0.49299731333375318</v>
      </c>
      <c r="AE21" s="12">
        <f>(AC21-AC21*((AA21+X21)/2000))/((AA21-X21)/1000)</f>
        <v>0.62035716331897761</v>
      </c>
      <c r="AF21" s="12">
        <f>AE21+V21</f>
        <v>0.62385716331897756</v>
      </c>
      <c r="AG21" s="12">
        <f>AE21/1.6</f>
        <v>0.38772322707436097</v>
      </c>
      <c r="AH21" s="12">
        <f>AG21+W21</f>
        <v>0.38786322707436094</v>
      </c>
      <c r="AI21" s="12">
        <f>U21/1.37</f>
        <v>1.7155474452554742</v>
      </c>
      <c r="AJ21" s="8">
        <f>(E21/Q21*(AI21-I21/1000/2)-G21)/(AI21+I21/1000/2)</f>
        <v>179.80212227862395</v>
      </c>
      <c r="AK21" s="13">
        <f>(AJ21*(AH21-AC21/2)-G21)/(AH21+AC21/2)</f>
        <v>176.40245649061191</v>
      </c>
      <c r="AL21" s="14">
        <f>AK21*Q21</f>
        <v>168.99355331800618</v>
      </c>
      <c r="AM21" s="13"/>
    </row>
    <row r="22" spans="1:39" x14ac:dyDescent="0.25">
      <c r="B22" s="6"/>
      <c r="G22" s="14">
        <f>SUM(G20:G21)</f>
        <v>24.08</v>
      </c>
      <c r="J22" s="8">
        <f>AVERAGE(J20:J21)</f>
        <v>19.011666666666663</v>
      </c>
      <c r="P22" s="41"/>
      <c r="Z22" s="15"/>
      <c r="AC22" s="10"/>
      <c r="AE22" s="12"/>
      <c r="AF22" s="12"/>
      <c r="AG22" s="8"/>
      <c r="AJ22" s="8"/>
      <c r="AK22" s="13">
        <f>AK20-AK21</f>
        <v>11.459962499346318</v>
      </c>
      <c r="AL22" s="14"/>
      <c r="AM22" s="13">
        <f>($AK$8-$AK$9)/$G$10*G22</f>
        <v>11.503062743822763</v>
      </c>
    </row>
    <row r="23" spans="1:39" x14ac:dyDescent="0.25">
      <c r="B23" s="6"/>
      <c r="P23" s="41"/>
      <c r="Z23" s="15"/>
      <c r="AC23" s="10"/>
      <c r="AE23" s="12"/>
      <c r="AF23" s="12"/>
      <c r="AJ23" s="8"/>
      <c r="AK23" s="13"/>
      <c r="AL23" s="14"/>
      <c r="AM23" s="13"/>
    </row>
    <row r="24" spans="1:39" x14ac:dyDescent="0.25">
      <c r="A24" t="s">
        <v>163</v>
      </c>
      <c r="B24" s="6">
        <v>0.68553240740740751</v>
      </c>
      <c r="C24">
        <v>16.45</v>
      </c>
      <c r="D24" s="14">
        <v>411.63333333333338</v>
      </c>
      <c r="E24" s="14">
        <v>387.66666666666669</v>
      </c>
      <c r="F24" s="14">
        <v>126</v>
      </c>
      <c r="G24" s="14">
        <v>21.656666666666666</v>
      </c>
      <c r="H24" s="14">
        <v>0.12906666666666666</v>
      </c>
      <c r="I24" s="14">
        <v>2.98</v>
      </c>
      <c r="J24" s="14">
        <v>21.709999999999997</v>
      </c>
      <c r="K24" s="14">
        <v>0.32</v>
      </c>
      <c r="L24" s="14">
        <v>20.763333333333332</v>
      </c>
      <c r="M24" s="14">
        <v>8.9833333333333343</v>
      </c>
      <c r="N24" s="14">
        <v>11.780000000000001</v>
      </c>
      <c r="O24" s="14">
        <v>26.766666666666666</v>
      </c>
      <c r="P24" s="41">
        <v>1.0144956666666668E-3</v>
      </c>
      <c r="Q24" s="14">
        <v>0.95799999999999985</v>
      </c>
      <c r="R24" s="14">
        <v>25.8</v>
      </c>
      <c r="S24" s="14">
        <v>33.493333333333332</v>
      </c>
      <c r="T24" s="14">
        <v>0.13656666666666664</v>
      </c>
      <c r="U24" s="14">
        <v>2.3502999999999998</v>
      </c>
      <c r="V24">
        <v>2E-3</v>
      </c>
      <c r="W24">
        <f>V24*0.04</f>
        <v>8.0000000000000007E-5</v>
      </c>
      <c r="X24">
        <f>((I24/1000/U24)*(1-N24/Q24/2000)+N24/Q24/1000)/(1+I24/1000/(2*U24))*1000</f>
        <v>13.54798979972977</v>
      </c>
      <c r="Z24" s="15">
        <v>0.89500000000000002</v>
      </c>
      <c r="AA24" s="8">
        <f>S24/Q24*Z24</f>
        <v>31.290744606819771</v>
      </c>
      <c r="AB24" s="9">
        <f>V24*(AA24/1000-X24/1000)</f>
        <v>3.5485509614180001E-5</v>
      </c>
      <c r="AC24" s="10">
        <f>I24/1000-AB24</f>
        <v>2.9445144903858201E-3</v>
      </c>
      <c r="AD24" s="11">
        <f>1/(((AA24/1000-X24/1000)/(I24/1000-AC24*((AA24+X24)/2000)))+((X24-(N24/Q24))/1000)/(I24/1000-I24/1000*((X24+N24/Q24)/2000)))</f>
        <v>0.15350833423606239</v>
      </c>
      <c r="AE24" s="12">
        <f>(AC24-AC24*((AA24+X24)/2000))/((AA24-X24)/1000)</f>
        <v>0.16223525433830877</v>
      </c>
      <c r="AF24" s="12">
        <f>AE24+V24</f>
        <v>0.16423525433830877</v>
      </c>
      <c r="AG24" s="12">
        <f>AE24/1.6</f>
        <v>0.10139703396144298</v>
      </c>
      <c r="AH24" s="12">
        <f>AG24+W24</f>
        <v>0.10147703396144298</v>
      </c>
      <c r="AI24" s="12">
        <f>U24/1.37</f>
        <v>1.7155474452554742</v>
      </c>
      <c r="AJ24" s="8">
        <f>(E24/Q24*(AI24-I24/1000/2)-G24)/(AI24+I24/1000/2)</f>
        <v>391.34737056594258</v>
      </c>
      <c r="AK24" s="13">
        <f>(AJ24*(AH24-AC24/2)-G24)/(AH24+AC24/2)</f>
        <v>169.79174446365954</v>
      </c>
      <c r="AL24" s="14">
        <f>AK24*Q24</f>
        <v>162.6604911961858</v>
      </c>
      <c r="AM24" s="13"/>
    </row>
    <row r="25" spans="1:39" x14ac:dyDescent="0.25">
      <c r="B25" s="6"/>
      <c r="D25" s="14">
        <v>158.03333333333333</v>
      </c>
      <c r="E25" s="14">
        <v>156.66666666666666</v>
      </c>
      <c r="F25" s="14">
        <v>153.66666666666666</v>
      </c>
      <c r="G25" s="14">
        <v>-0.20333333333333334</v>
      </c>
      <c r="H25" s="14">
        <v>0.31573333333333337</v>
      </c>
      <c r="I25" s="14">
        <v>7.3073333333333323</v>
      </c>
      <c r="J25" s="14">
        <v>21.76</v>
      </c>
      <c r="K25" s="14">
        <v>0.97666666666666657</v>
      </c>
      <c r="L25" s="14">
        <v>-0.22666666666666666</v>
      </c>
      <c r="M25" s="14">
        <v>3.6966666666666668</v>
      </c>
      <c r="N25" s="14">
        <v>11.719999999999999</v>
      </c>
      <c r="O25" s="14">
        <v>26.7</v>
      </c>
      <c r="P25" s="41">
        <v>8.6641553333333338E-4</v>
      </c>
      <c r="Q25" s="14">
        <v>0.95799999999999985</v>
      </c>
      <c r="R25" s="14">
        <v>25.8</v>
      </c>
      <c r="S25" s="14">
        <v>33.493333333333332</v>
      </c>
      <c r="T25" s="14">
        <v>0.36480000000000001</v>
      </c>
      <c r="U25" s="14">
        <v>2.3502999999999998</v>
      </c>
      <c r="V25">
        <v>3.5000000000000001E-3</v>
      </c>
      <c r="W25">
        <f>V25*0.04</f>
        <v>1.4000000000000001E-4</v>
      </c>
      <c r="X25">
        <f>((I25/1000/U25)*(1-N25/Q25/2000)+N25/Q25/1000)/(1+I25/1000/(2*U25))*1000</f>
        <v>15.300124113226659</v>
      </c>
      <c r="Z25" s="15">
        <v>0.89500000000000002</v>
      </c>
      <c r="AA25" s="8">
        <f>S25/Q25*Z25</f>
        <v>31.290744606819771</v>
      </c>
      <c r="AB25" s="9">
        <f>V25*(AA25/1000-X25/1000)</f>
        <v>5.5967171727575893E-5</v>
      </c>
      <c r="AC25" s="10">
        <f>I25/1000-AB25</f>
        <v>7.2513661616057561E-3</v>
      </c>
      <c r="AD25" s="11">
        <f>1/(((AA25/1000-X25/1000)/(I25/1000-AC25*((AA25+X25)/2000)))+((X25-(N25/Q25))/1000)/(I25/1000-I25/1000*((X25+N25/Q25)/2000)))</f>
        <v>0.37515579302715268</v>
      </c>
      <c r="AE25" s="12">
        <f>(AC25-AC25*((AA25+X25)/2000))/((AA25-X25)/1000)</f>
        <v>0.44291229599284565</v>
      </c>
      <c r="AF25" s="12">
        <f>AE25+V25</f>
        <v>0.44641229599284565</v>
      </c>
      <c r="AG25" s="12">
        <f>AE25/1.6</f>
        <v>0.27682018499552852</v>
      </c>
      <c r="AH25" s="12">
        <f>AG25+W25</f>
        <v>0.27696018499552849</v>
      </c>
      <c r="AI25" s="12">
        <f>U25/1.37</f>
        <v>1.7155474452554742</v>
      </c>
      <c r="AJ25" s="8">
        <f>(E25/Q25*(AI25-I25/1000/2)-G25)/(AI25+I25/1000/2)</f>
        <v>162.95832098288295</v>
      </c>
      <c r="AK25" s="13">
        <f>(AJ25*(AH25-AC25/2)-G25)/(AH25+AC25/2)</f>
        <v>159.47155549500786</v>
      </c>
      <c r="AL25" s="14">
        <f>AK25*Q25</f>
        <v>152.77375016421752</v>
      </c>
      <c r="AM25" s="13"/>
    </row>
    <row r="26" spans="1:39" x14ac:dyDescent="0.25">
      <c r="B26" s="6"/>
      <c r="G26" s="14">
        <f>SUM(G24:G25)</f>
        <v>21.453333333333333</v>
      </c>
      <c r="J26" s="8">
        <f>AVERAGE(J24:J25)</f>
        <v>21.734999999999999</v>
      </c>
      <c r="P26" s="41"/>
      <c r="Z26" s="15"/>
      <c r="AC26" s="10"/>
      <c r="AE26" s="12"/>
      <c r="AF26" s="12"/>
      <c r="AG26" s="8"/>
      <c r="AJ26" s="8"/>
      <c r="AK26" s="13">
        <f>AK24-AK25</f>
        <v>10.320188968651678</v>
      </c>
      <c r="AL26" s="14"/>
      <c r="AM26" s="13">
        <f>($AK$8-$AK$9)/$G$10*G26</f>
        <v>10.24829897830057</v>
      </c>
    </row>
    <row r="27" spans="1:39" x14ac:dyDescent="0.25">
      <c r="B27" s="6"/>
      <c r="P27" s="41"/>
      <c r="Z27" s="15"/>
      <c r="AC27" s="10"/>
      <c r="AE27" s="12"/>
      <c r="AF27" s="12"/>
      <c r="AJ27" s="8"/>
      <c r="AK27" s="13"/>
      <c r="AL27" s="14"/>
      <c r="AM27" s="13"/>
    </row>
    <row r="28" spans="1:39" x14ac:dyDescent="0.25">
      <c r="A28" t="s">
        <v>163</v>
      </c>
      <c r="B28" s="6">
        <v>0.70927083333333341</v>
      </c>
      <c r="C28">
        <v>17.02</v>
      </c>
      <c r="D28" s="14">
        <v>412.0333333333333</v>
      </c>
      <c r="E28" s="14">
        <v>392</v>
      </c>
      <c r="F28" s="14">
        <v>112.66666666666667</v>
      </c>
      <c r="G28" s="14">
        <v>17.783333333333335</v>
      </c>
      <c r="H28" s="14">
        <v>9.973333333333334E-2</v>
      </c>
      <c r="I28" s="14">
        <v>2.6943333333333328</v>
      </c>
      <c r="J28" s="14">
        <v>25.366666666666671</v>
      </c>
      <c r="K28" s="14">
        <v>0.28000000000000003</v>
      </c>
      <c r="L28" s="14">
        <v>17.05</v>
      </c>
      <c r="M28" s="14">
        <v>8.0066666666666659</v>
      </c>
      <c r="N28" s="14">
        <v>10.533333333333333</v>
      </c>
      <c r="O28" s="14">
        <v>27.633333333333336</v>
      </c>
      <c r="P28" s="41">
        <v>1.0134093333333332E-3</v>
      </c>
      <c r="Q28" s="14">
        <v>0.95799999999999985</v>
      </c>
      <c r="R28" s="14">
        <v>27.100000000000005</v>
      </c>
      <c r="S28" s="14">
        <v>35.913333333333334</v>
      </c>
      <c r="T28" s="14">
        <v>0.1042</v>
      </c>
      <c r="U28" s="14">
        <v>2.3502999999999998</v>
      </c>
      <c r="V28">
        <v>2E-3</v>
      </c>
      <c r="W28">
        <f>V28*0.04</f>
        <v>8.0000000000000007E-5</v>
      </c>
      <c r="X28">
        <f>((I28/1000/U28)*(1-N28/Q28/2000)+N28/Q28/1000)/(1+I28/1000/(2*U28))*1000</f>
        <v>12.12825314329023</v>
      </c>
      <c r="Z28" s="15">
        <v>0.91600000000000004</v>
      </c>
      <c r="AA28" s="8">
        <f>S28/Q28*Z28</f>
        <v>34.33884481558804</v>
      </c>
      <c r="AB28" s="9">
        <f>V28*(AA28/1000-X28/1000)</f>
        <v>4.4421183344595623E-5</v>
      </c>
      <c r="AC28" s="10">
        <f>I28/1000-AB28</f>
        <v>2.6499121499887371E-3</v>
      </c>
      <c r="AD28" s="11">
        <f>1/(((AA28/1000-X28/1000)/(I28/1000-AC28*((AA28+X28)/2000)))+((X28-(N28/Q28))/1000)/(I28/1000-I28/1000*((X28+N28/Q28)/2000)))</f>
        <v>0.11284522220433507</v>
      </c>
      <c r="AE28" s="12">
        <f>(AC28-AC28*((AA28+X28)/2000))/((AA28-X28)/1000)</f>
        <v>0.11653653015867561</v>
      </c>
      <c r="AF28" s="12">
        <f>AE28+V28</f>
        <v>0.11853653015867562</v>
      </c>
      <c r="AG28" s="12">
        <f>AE28/1.6</f>
        <v>7.283533134917225E-2</v>
      </c>
      <c r="AH28" s="12">
        <f>AG28+W28</f>
        <v>7.2915331349172247E-2</v>
      </c>
      <c r="AI28" s="12">
        <f>U28/1.37</f>
        <v>1.7155474452554742</v>
      </c>
      <c r="AJ28" s="8">
        <f>(E28/Q28*(AI28-I28/1000/2)-G28)/(AI28+I28/1000/2)</f>
        <v>398.18581799703639</v>
      </c>
      <c r="AK28" s="13">
        <f>(AJ28*(AH28-AC28/2)-G28)/(AH28+AC28/2)</f>
        <v>144.43557774319001</v>
      </c>
      <c r="AL28" s="14">
        <f>AK28*Q28</f>
        <v>138.36928347797601</v>
      </c>
      <c r="AM28" s="13"/>
    </row>
    <row r="29" spans="1:39" x14ac:dyDescent="0.25">
      <c r="B29" s="6"/>
      <c r="D29" s="14">
        <v>133.53333333333333</v>
      </c>
      <c r="E29" s="14">
        <v>132.66666666666666</v>
      </c>
      <c r="F29" s="14">
        <v>131.66666666666666</v>
      </c>
      <c r="G29" s="14">
        <v>-0.45999999999999996</v>
      </c>
      <c r="H29" s="14">
        <v>0.21049999999999999</v>
      </c>
      <c r="I29" s="14">
        <v>5.7953333333333346</v>
      </c>
      <c r="J29" s="14">
        <v>25.876666666666665</v>
      </c>
      <c r="K29" s="14">
        <v>0.98666666666666669</v>
      </c>
      <c r="L29" s="14">
        <v>-0.5099999999999999</v>
      </c>
      <c r="M29" s="14">
        <v>3.6566666666666667</v>
      </c>
      <c r="N29" s="14">
        <v>10.030000000000001</v>
      </c>
      <c r="O29" s="14">
        <v>27.466666666666669</v>
      </c>
      <c r="P29" s="41">
        <v>8.6613369999999996E-4</v>
      </c>
      <c r="Q29" s="14">
        <v>0.95799999999999985</v>
      </c>
      <c r="R29" s="14">
        <v>27.100000000000005</v>
      </c>
      <c r="S29" s="14">
        <v>35.913333333333334</v>
      </c>
      <c r="T29" s="14">
        <v>0.23126666666666665</v>
      </c>
      <c r="U29" s="14">
        <v>2.3502999999999998</v>
      </c>
      <c r="V29">
        <v>3.5000000000000001E-3</v>
      </c>
      <c r="W29">
        <f>V29*0.04</f>
        <v>1.4000000000000001E-4</v>
      </c>
      <c r="X29">
        <f>((I29/1000/U29)*(1-N29/Q29/2000)+N29/Q29/1000)/(1+I29/1000/(2*U29))*1000</f>
        <v>12.906692502505649</v>
      </c>
      <c r="Z29" s="15">
        <v>0.91600000000000004</v>
      </c>
      <c r="AA29" s="8">
        <f>S29/Q29*Z29</f>
        <v>34.33884481558804</v>
      </c>
      <c r="AB29" s="9">
        <f>V29*(AA29/1000-X29/1000)</f>
        <v>7.5012533095788372E-5</v>
      </c>
      <c r="AC29" s="10">
        <f>I29/1000-AB29</f>
        <v>5.7203208002375465E-3</v>
      </c>
      <c r="AD29" s="11">
        <f>1/(((AA29/1000-X29/1000)/(I29/1000-AC29*((AA29+X29)/2000)))+((X29-(N29/Q29))/1000)/(I29/1000-I29/1000*((X29+N29/Q29)/2000)))</f>
        <v>0.23742024126133493</v>
      </c>
      <c r="AE29" s="12">
        <f>(AC29-AC29*((AA29+X29)/2000))/((AA29-X29)/1000)</f>
        <v>0.26059869786893719</v>
      </c>
      <c r="AF29" s="12">
        <f>AE29+V29</f>
        <v>0.26409869786893719</v>
      </c>
      <c r="AG29" s="12">
        <f>AE29/1.6</f>
        <v>0.16287418616808574</v>
      </c>
      <c r="AH29" s="12">
        <f>AG29+W29</f>
        <v>0.16301418616808575</v>
      </c>
      <c r="AI29" s="12">
        <f>U29/1.37</f>
        <v>1.7155474452554742</v>
      </c>
      <c r="AJ29" s="8">
        <f>(E29/Q29*(AI29-I29/1000/2)-G29)/(AI29+I29/1000/2)</f>
        <v>138.28361058507943</v>
      </c>
      <c r="AK29" s="13">
        <f>(AJ29*(AH29-AC29/2)-G29)/(AH29+AC29/2)</f>
        <v>136.28796375475017</v>
      </c>
      <c r="AL29" s="14">
        <f>AK29*Q29</f>
        <v>130.56386927705063</v>
      </c>
      <c r="AM29" s="13"/>
    </row>
    <row r="30" spans="1:39" x14ac:dyDescent="0.25">
      <c r="B30" s="6"/>
      <c r="G30" s="14">
        <f>SUM(G28:G29)</f>
        <v>17.323333333333334</v>
      </c>
      <c r="J30" s="8">
        <f>AVERAGE(J28:J29)</f>
        <v>25.62166666666667</v>
      </c>
      <c r="R30" s="7"/>
      <c r="AA30" s="8"/>
      <c r="AC30" s="10"/>
      <c r="AD30" s="8"/>
      <c r="AE30" s="12"/>
      <c r="AF30" s="12"/>
      <c r="AG30" s="8"/>
      <c r="AH30" s="7"/>
      <c r="AJ30" s="8"/>
      <c r="AK30" s="13">
        <f>AK28-AK29</f>
        <v>8.1476139884398435</v>
      </c>
      <c r="AL30" s="14"/>
      <c r="AM30" s="13">
        <f>($AK$8-$AK$9)/$G$10*G30</f>
        <v>8.2753899611914328</v>
      </c>
    </row>
    <row r="31" spans="1:39" x14ac:dyDescent="0.25">
      <c r="B31" s="6"/>
      <c r="R31" s="7"/>
      <c r="AG31" s="7"/>
    </row>
    <row r="33" spans="3:4" x14ac:dyDescent="0.25">
      <c r="C33" t="s">
        <v>42</v>
      </c>
      <c r="D33" t="s">
        <v>43</v>
      </c>
    </row>
    <row r="34" spans="3:4" x14ac:dyDescent="0.25">
      <c r="C34" t="s">
        <v>44</v>
      </c>
      <c r="D34" t="s">
        <v>45</v>
      </c>
    </row>
    <row r="35" spans="3:4" x14ac:dyDescent="0.25">
      <c r="C35" t="s">
        <v>46</v>
      </c>
      <c r="D35" t="s">
        <v>47</v>
      </c>
    </row>
    <row r="36" spans="3:4" x14ac:dyDescent="0.25">
      <c r="C36" t="s">
        <v>48</v>
      </c>
      <c r="D36" t="s">
        <v>49</v>
      </c>
    </row>
    <row r="37" spans="3:4" x14ac:dyDescent="0.25">
      <c r="C37" t="s">
        <v>50</v>
      </c>
      <c r="D37" t="s">
        <v>51</v>
      </c>
    </row>
    <row r="38" spans="3:4" x14ac:dyDescent="0.25">
      <c r="C38" t="s">
        <v>52</v>
      </c>
      <c r="D38" t="s">
        <v>53</v>
      </c>
    </row>
    <row r="39" spans="3:4" x14ac:dyDescent="0.25">
      <c r="C39" t="s">
        <v>54</v>
      </c>
      <c r="D39" t="s">
        <v>55</v>
      </c>
    </row>
    <row r="40" spans="3:4" x14ac:dyDescent="0.25">
      <c r="C40" t="s">
        <v>56</v>
      </c>
      <c r="D40" t="s">
        <v>57</v>
      </c>
    </row>
    <row r="41" spans="3:4" x14ac:dyDescent="0.25">
      <c r="C41" t="s">
        <v>58</v>
      </c>
      <c r="D41" t="s">
        <v>59</v>
      </c>
    </row>
    <row r="42" spans="3:4" x14ac:dyDescent="0.25">
      <c r="C42" t="s">
        <v>60</v>
      </c>
      <c r="D42" t="s">
        <v>61</v>
      </c>
    </row>
    <row r="43" spans="3:4" x14ac:dyDescent="0.25">
      <c r="C43" t="s">
        <v>62</v>
      </c>
      <c r="D43" t="s">
        <v>63</v>
      </c>
    </row>
    <row r="44" spans="3:4" x14ac:dyDescent="0.25">
      <c r="C44" t="s">
        <v>64</v>
      </c>
      <c r="D44" t="s">
        <v>65</v>
      </c>
    </row>
    <row r="45" spans="3:4" x14ac:dyDescent="0.25">
      <c r="C45" t="s">
        <v>66</v>
      </c>
      <c r="D45" t="s">
        <v>67</v>
      </c>
    </row>
    <row r="46" spans="3:4" x14ac:dyDescent="0.25">
      <c r="C46" t="s">
        <v>68</v>
      </c>
      <c r="D46" t="s">
        <v>69</v>
      </c>
    </row>
    <row r="47" spans="3:4" x14ac:dyDescent="0.25">
      <c r="C47" t="s">
        <v>70</v>
      </c>
      <c r="D47" t="s">
        <v>71</v>
      </c>
    </row>
    <row r="48" spans="3:4" x14ac:dyDescent="0.25">
      <c r="C48" t="s">
        <v>72</v>
      </c>
      <c r="D48" t="s">
        <v>73</v>
      </c>
    </row>
    <row r="49" spans="3:14" x14ac:dyDescent="0.25">
      <c r="C49" t="s">
        <v>74</v>
      </c>
      <c r="D49" t="s">
        <v>75</v>
      </c>
    </row>
    <row r="50" spans="3:14" x14ac:dyDescent="0.25">
      <c r="C50" t="s">
        <v>76</v>
      </c>
      <c r="D50" t="s">
        <v>77</v>
      </c>
    </row>
    <row r="51" spans="3:14" x14ac:dyDescent="0.25">
      <c r="C51" t="s">
        <v>78</v>
      </c>
      <c r="D51" t="s">
        <v>79</v>
      </c>
    </row>
    <row r="52" spans="3:14" x14ac:dyDescent="0.25">
      <c r="C52" t="s">
        <v>80</v>
      </c>
      <c r="D52" t="s">
        <v>81</v>
      </c>
    </row>
    <row r="53" spans="3:14" x14ac:dyDescent="0.25">
      <c r="C53" t="s">
        <v>82</v>
      </c>
      <c r="D53" s="16" t="s">
        <v>83</v>
      </c>
      <c r="E53" s="17"/>
      <c r="F53" s="17"/>
      <c r="G53" s="17"/>
      <c r="H53" s="17"/>
      <c r="I53" s="17"/>
    </row>
    <row r="54" spans="3:14" x14ac:dyDescent="0.25">
      <c r="C54" t="s">
        <v>84</v>
      </c>
      <c r="D54" t="s">
        <v>85</v>
      </c>
    </row>
    <row r="55" spans="3:14" x14ac:dyDescent="0.25">
      <c r="C55" t="s">
        <v>86</v>
      </c>
      <c r="D55" t="s">
        <v>87</v>
      </c>
    </row>
    <row r="56" spans="3:14" x14ac:dyDescent="0.25">
      <c r="C56" t="s">
        <v>88</v>
      </c>
      <c r="D56" t="s">
        <v>89</v>
      </c>
    </row>
    <row r="57" spans="3:14" x14ac:dyDescent="0.25">
      <c r="C57" t="s">
        <v>90</v>
      </c>
      <c r="D57" t="s">
        <v>51</v>
      </c>
    </row>
    <row r="58" spans="3:14" x14ac:dyDescent="0.25">
      <c r="C58" t="s">
        <v>91</v>
      </c>
      <c r="D58" t="s">
        <v>75</v>
      </c>
    </row>
    <row r="59" spans="3:14" x14ac:dyDescent="0.25">
      <c r="C59" t="s">
        <v>92</v>
      </c>
      <c r="D59" t="s">
        <v>93</v>
      </c>
    </row>
    <row r="60" spans="3:14" x14ac:dyDescent="0.25">
      <c r="C60" t="s">
        <v>94</v>
      </c>
      <c r="D60" t="s">
        <v>95</v>
      </c>
    </row>
    <row r="61" spans="3:14" x14ac:dyDescent="0.25">
      <c r="C61" t="s">
        <v>96</v>
      </c>
      <c r="D61" t="s">
        <v>97</v>
      </c>
    </row>
    <row r="62" spans="3:14" x14ac:dyDescent="0.25">
      <c r="C62" t="s">
        <v>98</v>
      </c>
      <c r="D62" t="s">
        <v>99</v>
      </c>
    </row>
    <row r="63" spans="3:14" x14ac:dyDescent="0.25">
      <c r="C63" t="s">
        <v>100</v>
      </c>
      <c r="D63" s="16" t="s">
        <v>101</v>
      </c>
      <c r="E63" s="17"/>
      <c r="F63" s="17"/>
      <c r="G63" s="17"/>
      <c r="H63" s="17"/>
      <c r="I63" s="17"/>
      <c r="J63" s="17"/>
      <c r="K63" s="17"/>
      <c r="L63" s="17"/>
      <c r="M63" s="17"/>
      <c r="N63" s="17"/>
    </row>
    <row r="64" spans="3:14" x14ac:dyDescent="0.25">
      <c r="C64" t="s">
        <v>40</v>
      </c>
      <c r="D64" s="16" t="s">
        <v>102</v>
      </c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3:4" x14ac:dyDescent="0.25">
      <c r="C65" t="s">
        <v>46</v>
      </c>
      <c r="D65" t="s">
        <v>47</v>
      </c>
    </row>
  </sheetData>
  <mergeCells count="2">
    <mergeCell ref="D4:U4"/>
    <mergeCell ref="Z4:AM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FA362-DA8D-4819-B99E-3E8DD06A8EA7}">
  <dimension ref="A1:AG54"/>
  <sheetViews>
    <sheetView workbookViewId="0">
      <selection activeCell="J31" sqref="J31"/>
    </sheetView>
  </sheetViews>
  <sheetFormatPr defaultRowHeight="15" x14ac:dyDescent="0.25"/>
  <sheetData>
    <row r="1" spans="1:32" x14ac:dyDescent="0.25">
      <c r="A1" s="35" t="s">
        <v>164</v>
      </c>
      <c r="B1" s="35"/>
      <c r="C1" s="35"/>
      <c r="D1" s="35"/>
    </row>
    <row r="4" spans="1:32" x14ac:dyDescent="0.25">
      <c r="A4" s="53" t="s">
        <v>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V4" s="53" t="s">
        <v>3</v>
      </c>
      <c r="W4" s="53"/>
      <c r="X4" s="53"/>
      <c r="Y4" s="53"/>
      <c r="Z4" s="53"/>
      <c r="AA4" s="53"/>
      <c r="AB4" s="53"/>
      <c r="AC4" s="53"/>
      <c r="AD4" s="53"/>
      <c r="AE4" s="53"/>
      <c r="AF4" s="53"/>
    </row>
    <row r="5" spans="1:32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</row>
    <row r="6" spans="1:32" x14ac:dyDescent="0.2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AF6" s="4" t="s">
        <v>4</v>
      </c>
    </row>
    <row r="7" spans="1:32" x14ac:dyDescent="0.25">
      <c r="A7" s="35" t="s">
        <v>5</v>
      </c>
      <c r="B7" s="35" t="s">
        <v>6</v>
      </c>
      <c r="C7" s="35" t="s">
        <v>7</v>
      </c>
      <c r="D7" s="35" t="s">
        <v>158</v>
      </c>
      <c r="E7" s="35" t="s">
        <v>9</v>
      </c>
      <c r="F7" s="35" t="s">
        <v>10</v>
      </c>
      <c r="G7" s="35" t="s">
        <v>11</v>
      </c>
      <c r="H7" s="35" t="s">
        <v>12</v>
      </c>
      <c r="I7" s="35" t="s">
        <v>13</v>
      </c>
      <c r="J7" s="35" t="s">
        <v>14</v>
      </c>
      <c r="K7" s="35" t="s">
        <v>15</v>
      </c>
      <c r="L7" s="35" t="s">
        <v>16</v>
      </c>
      <c r="M7" s="35" t="s">
        <v>17</v>
      </c>
      <c r="N7" s="35" t="s">
        <v>18</v>
      </c>
      <c r="O7" s="35" t="s">
        <v>19</v>
      </c>
      <c r="P7" s="35"/>
      <c r="Q7" s="35" t="s">
        <v>22</v>
      </c>
      <c r="R7" s="35" t="s">
        <v>23</v>
      </c>
      <c r="S7" s="35" t="s">
        <v>24</v>
      </c>
      <c r="T7" s="35" t="s">
        <v>25</v>
      </c>
      <c r="V7" s="4" t="s">
        <v>27</v>
      </c>
      <c r="W7" s="35" t="s">
        <v>30</v>
      </c>
      <c r="X7" s="35" t="s">
        <v>165</v>
      </c>
      <c r="Y7" s="35" t="s">
        <v>12</v>
      </c>
      <c r="Z7" s="35" t="s">
        <v>24</v>
      </c>
      <c r="AA7" s="35" t="s">
        <v>166</v>
      </c>
      <c r="AB7" s="35" t="s">
        <v>167</v>
      </c>
      <c r="AC7" s="35" t="s">
        <v>168</v>
      </c>
      <c r="AD7" s="42" t="s">
        <v>169</v>
      </c>
      <c r="AE7" s="35" t="s">
        <v>10</v>
      </c>
      <c r="AF7" s="4" t="s">
        <v>41</v>
      </c>
    </row>
    <row r="8" spans="1:32" x14ac:dyDescent="0.25">
      <c r="A8" s="5">
        <v>40149</v>
      </c>
      <c r="B8" s="6">
        <v>0.49548611111111113</v>
      </c>
      <c r="C8">
        <v>11.89</v>
      </c>
      <c r="D8">
        <v>389.2</v>
      </c>
      <c r="E8" s="28">
        <v>366</v>
      </c>
      <c r="F8" s="28">
        <v>289</v>
      </c>
      <c r="G8" s="28">
        <v>13.8</v>
      </c>
      <c r="H8">
        <v>0.25700000000000001</v>
      </c>
      <c r="I8">
        <v>2.21</v>
      </c>
      <c r="J8">
        <v>7.96</v>
      </c>
      <c r="K8">
        <v>0.79</v>
      </c>
      <c r="L8">
        <v>14.6</v>
      </c>
      <c r="M8">
        <v>22.34</v>
      </c>
      <c r="N8">
        <v>24.55</v>
      </c>
      <c r="O8">
        <v>25.1</v>
      </c>
      <c r="Q8">
        <v>25.3</v>
      </c>
      <c r="R8">
        <v>32.520000000000003</v>
      </c>
      <c r="S8" s="12">
        <f>1/(1/H8-1/T8)</f>
        <v>0.28886155330438978</v>
      </c>
      <c r="T8">
        <v>2.33</v>
      </c>
      <c r="V8" s="15">
        <v>1</v>
      </c>
      <c r="W8" s="8">
        <f>R8/0.95</f>
        <v>34.231578947368426</v>
      </c>
      <c r="X8" s="8">
        <f>N8/0.95</f>
        <v>25.842105263157897</v>
      </c>
      <c r="Y8" s="12">
        <f>I8*(1-(W8*V8+X8)/2/1000)/(W8*V8-X8)</f>
        <v>0.25551287954830604</v>
      </c>
      <c r="Z8" s="12">
        <f>T8*Y8/(T8-Y8)</f>
        <v>0.28698419164825861</v>
      </c>
      <c r="AA8" s="12">
        <v>1.64</v>
      </c>
      <c r="AB8" s="12">
        <f>Z8/1.6</f>
        <v>0.17936511978016162</v>
      </c>
      <c r="AC8" s="12">
        <f>AA8*AB8/(AA8+AB8)</f>
        <v>0.16168211275535996</v>
      </c>
      <c r="AD8" s="13">
        <f>((AC8-I8/2/1000)*(D8-L8)/0.95-G8)/(AC8+I8/2/1000)</f>
        <v>304.18925767146834</v>
      </c>
      <c r="AE8" s="14">
        <f>AD8*0.95</f>
        <v>288.97979478789489</v>
      </c>
      <c r="AF8" s="4"/>
    </row>
    <row r="9" spans="1:32" x14ac:dyDescent="0.25">
      <c r="A9" s="5"/>
      <c r="B9" s="6"/>
      <c r="D9">
        <v>276.2</v>
      </c>
      <c r="E9" s="28">
        <v>270</v>
      </c>
      <c r="F9" s="28">
        <v>272</v>
      </c>
      <c r="G9" s="28">
        <v>0</v>
      </c>
      <c r="H9">
        <v>6.7000000000000004E-2</v>
      </c>
      <c r="I9">
        <v>0.68</v>
      </c>
      <c r="J9">
        <v>9.44</v>
      </c>
      <c r="K9">
        <v>1</v>
      </c>
      <c r="L9">
        <v>0</v>
      </c>
      <c r="M9">
        <v>22.46</v>
      </c>
      <c r="N9">
        <v>23.06</v>
      </c>
      <c r="O9">
        <v>24.5</v>
      </c>
      <c r="Q9">
        <v>25.3</v>
      </c>
      <c r="R9">
        <v>32.520000000000003</v>
      </c>
      <c r="S9" s="12">
        <f>1/(1/H9-1/T9)</f>
        <v>6.898365002209457E-2</v>
      </c>
      <c r="T9">
        <v>2.33</v>
      </c>
      <c r="V9" s="15">
        <v>1</v>
      </c>
      <c r="W9" s="8">
        <f>R9/0.95</f>
        <v>34.231578947368426</v>
      </c>
      <c r="X9" s="8">
        <f>N9/0.95</f>
        <v>24.273684210526316</v>
      </c>
      <c r="Y9" s="12">
        <f>I9*(1-(W9*V9+X9)/2/1000)/(W9*V9-X9)</f>
        <v>6.6289936575052832E-2</v>
      </c>
      <c r="Z9" s="12">
        <f>T9*Y9/(T9-Y9)</f>
        <v>6.8231155003209643E-2</v>
      </c>
      <c r="AA9" s="12">
        <v>1.64</v>
      </c>
      <c r="AB9" s="12">
        <f>Z9/1.6</f>
        <v>4.2644471877006027E-2</v>
      </c>
      <c r="AC9" s="12">
        <f>AA9*AB9/(AA9+AB9)</f>
        <v>4.1563702283628913E-2</v>
      </c>
      <c r="AD9" s="13">
        <f>((AC9-I9/2/1000)*(D9-L9)/0.95-G9)/(AC9+I9/2/1000)</f>
        <v>286.01885677562757</v>
      </c>
      <c r="AE9" s="14">
        <f>AD9*0.95</f>
        <v>271.71791393684617</v>
      </c>
      <c r="AF9" s="4"/>
    </row>
    <row r="10" spans="1:32" x14ac:dyDescent="0.25">
      <c r="A10" s="5"/>
      <c r="B10" s="6"/>
      <c r="E10" s="31">
        <f>(E8*G8+E9*G9)/(G8+G9)</f>
        <v>366</v>
      </c>
      <c r="F10" s="31">
        <f>F8-F9</f>
        <v>17</v>
      </c>
      <c r="G10" s="28">
        <f>G8+G9</f>
        <v>13.8</v>
      </c>
      <c r="H10" s="37">
        <f>(H8*I8+H9*I9)/(I8+I9)</f>
        <v>0.21229411764705883</v>
      </c>
      <c r="I10" s="36">
        <f>I8+I9</f>
        <v>2.89</v>
      </c>
      <c r="J10" s="38">
        <f>(J8*I8+J9*I9)/(I8+I9)</f>
        <v>8.3082352941176474</v>
      </c>
      <c r="V10" s="15"/>
      <c r="AD10" s="13">
        <f>AD8-AD9</f>
        <v>18.170400895840771</v>
      </c>
      <c r="AE10" s="14">
        <f>AE8-AE9</f>
        <v>17.261880851048716</v>
      </c>
      <c r="AF10" s="4"/>
    </row>
    <row r="11" spans="1:32" x14ac:dyDescent="0.25">
      <c r="A11" s="5"/>
      <c r="B11" s="6"/>
      <c r="E11" s="28"/>
      <c r="F11" s="28"/>
      <c r="G11" s="28"/>
      <c r="V11" s="15"/>
      <c r="AD11" s="13"/>
      <c r="AE11" s="14"/>
      <c r="AF11" s="4"/>
    </row>
    <row r="12" spans="1:32" x14ac:dyDescent="0.25">
      <c r="A12" s="5">
        <v>40149</v>
      </c>
      <c r="B12" s="6">
        <v>0.52156250000000004</v>
      </c>
      <c r="C12">
        <v>12.51</v>
      </c>
      <c r="D12">
        <v>390.1</v>
      </c>
      <c r="E12" s="28">
        <v>366</v>
      </c>
      <c r="F12" s="28">
        <v>280</v>
      </c>
      <c r="G12" s="28">
        <v>13.6</v>
      </c>
      <c r="H12">
        <v>0.23200000000000001</v>
      </c>
      <c r="I12">
        <v>3.3</v>
      </c>
      <c r="J12">
        <v>13.1</v>
      </c>
      <c r="K12">
        <v>0.75</v>
      </c>
      <c r="L12">
        <v>14.3</v>
      </c>
      <c r="M12">
        <v>22.43</v>
      </c>
      <c r="N12">
        <v>25.76</v>
      </c>
      <c r="O12">
        <v>25.2</v>
      </c>
      <c r="Q12">
        <v>28.3</v>
      </c>
      <c r="R12">
        <v>38.86</v>
      </c>
      <c r="S12" s="12">
        <f>1/(1/H12-1/T12)</f>
        <v>0.25765490943755959</v>
      </c>
      <c r="T12">
        <v>2.33</v>
      </c>
      <c r="V12" s="15">
        <v>0.97899999999999998</v>
      </c>
      <c r="W12" s="8">
        <f>R12/0.95</f>
        <v>40.905263157894737</v>
      </c>
      <c r="X12" s="8">
        <f>N12/0.95</f>
        <v>27.115789473684213</v>
      </c>
      <c r="Y12" s="12">
        <f>I12*(1-(W12*V12+X12)/2/1000)/(W12*V12-X12)</f>
        <v>0.24664102063344504</v>
      </c>
      <c r="Z12" s="12">
        <f>T12*Y12/(T12-Y12)</f>
        <v>0.27583992186054096</v>
      </c>
      <c r="AA12" s="12">
        <v>1.64</v>
      </c>
      <c r="AB12" s="12">
        <f>Z12/1.6</f>
        <v>0.1723999511628381</v>
      </c>
      <c r="AC12" s="12">
        <f>AA12*AB12/(AA12+AB12)</f>
        <v>0.15600084281929646</v>
      </c>
      <c r="AD12" s="13">
        <f>((AC12-I12/2/1000)*(D12-L12)/0.95-G12)/(AC12+I12/2/1000)</f>
        <v>301.03197089966363</v>
      </c>
      <c r="AE12" s="14">
        <f>AD12*0.95</f>
        <v>285.98037235468041</v>
      </c>
      <c r="AF12" s="4"/>
    </row>
    <row r="13" spans="1:32" x14ac:dyDescent="0.25">
      <c r="A13" s="5"/>
      <c r="B13" s="6"/>
      <c r="D13">
        <v>276.10000000000002</v>
      </c>
      <c r="E13" s="28">
        <v>270</v>
      </c>
      <c r="F13" s="28">
        <v>269</v>
      </c>
      <c r="G13" s="28">
        <v>0</v>
      </c>
      <c r="H13">
        <v>7.3999999999999996E-2</v>
      </c>
      <c r="I13">
        <v>1.22</v>
      </c>
      <c r="J13">
        <v>15.22</v>
      </c>
      <c r="K13">
        <v>0.99</v>
      </c>
      <c r="L13">
        <v>0</v>
      </c>
      <c r="M13">
        <v>22.57</v>
      </c>
      <c r="N13">
        <v>23.63</v>
      </c>
      <c r="O13">
        <v>27.2</v>
      </c>
      <c r="Q13">
        <v>28.3</v>
      </c>
      <c r="R13">
        <v>38.86</v>
      </c>
      <c r="S13" s="12">
        <f>1/(1/H13-1/T13)</f>
        <v>7.6427304964539006E-2</v>
      </c>
      <c r="T13">
        <v>2.33</v>
      </c>
      <c r="V13" s="15">
        <v>0.97899999999999998</v>
      </c>
      <c r="W13" s="8">
        <f>R13/0.95</f>
        <v>40.905263157894737</v>
      </c>
      <c r="X13" s="8">
        <f>N13/0.95</f>
        <v>24.873684210526317</v>
      </c>
      <c r="Y13" s="12">
        <f>I13*(1-(W13*V13+X13)/2/1000)/(W13*V13-X13)</f>
        <v>7.7798221485589666E-2</v>
      </c>
      <c r="Z13" s="12">
        <f>T13*Y13/(T13-Y13)</f>
        <v>8.0485619801345026E-2</v>
      </c>
      <c r="AA13" s="12">
        <v>1.64</v>
      </c>
      <c r="AB13" s="12">
        <f>Z13/1.6</f>
        <v>5.0303512375840638E-2</v>
      </c>
      <c r="AC13" s="12">
        <f>AA13*AB13/(AA13+AB13)</f>
        <v>4.8806477471269191E-2</v>
      </c>
      <c r="AD13" s="13">
        <f>((AC13-I13/2/1000)*(D13-L13)/0.95-G13)/(AC13+I13/2/1000)</f>
        <v>283.45643121406562</v>
      </c>
      <c r="AE13" s="14">
        <f>AD13*0.95</f>
        <v>269.2836096533623</v>
      </c>
      <c r="AF13" s="4"/>
    </row>
    <row r="14" spans="1:32" x14ac:dyDescent="0.25">
      <c r="A14" s="5"/>
      <c r="B14" s="6"/>
      <c r="E14" s="31">
        <f>(E12*G12+E13*G13)/(G12+G13)</f>
        <v>365.99999999999994</v>
      </c>
      <c r="F14" s="31">
        <f>F12-F13</f>
        <v>11</v>
      </c>
      <c r="G14" s="28">
        <f>G12+G13</f>
        <v>13.6</v>
      </c>
      <c r="H14" s="37">
        <f>(H12*I12+H13*I13)/(I12+I13)</f>
        <v>0.18935398230088496</v>
      </c>
      <c r="I14" s="36">
        <f>I12+I13</f>
        <v>4.5199999999999996</v>
      </c>
      <c r="J14" s="38">
        <f>(J12*I12+J13*I13)/(I12+I13)</f>
        <v>13.672212389380533</v>
      </c>
      <c r="V14" s="15"/>
      <c r="AD14" s="13">
        <f>AD12-AD13</f>
        <v>17.575539685598017</v>
      </c>
      <c r="AE14" s="14">
        <f>AE12-AE13</f>
        <v>16.696762701318107</v>
      </c>
      <c r="AF14" s="13">
        <f>($F$8/0.95-$F$9/0.95)/$G$10*G14</f>
        <v>17.635392829900837</v>
      </c>
    </row>
    <row r="15" spans="1:32" x14ac:dyDescent="0.25">
      <c r="A15" s="5"/>
      <c r="B15" s="6"/>
      <c r="E15" s="28"/>
      <c r="F15" s="28"/>
      <c r="G15" s="28"/>
      <c r="V15" s="15"/>
      <c r="AD15" s="13"/>
      <c r="AE15" s="14"/>
      <c r="AF15" s="13"/>
    </row>
    <row r="16" spans="1:32" x14ac:dyDescent="0.25">
      <c r="A16" s="5">
        <v>40149</v>
      </c>
      <c r="B16" s="6">
        <v>0.55634259259259256</v>
      </c>
      <c r="C16">
        <v>13.35</v>
      </c>
      <c r="D16">
        <v>390.6</v>
      </c>
      <c r="E16" s="28">
        <v>367</v>
      </c>
      <c r="F16" s="28">
        <v>277</v>
      </c>
      <c r="G16" s="28">
        <v>12.1</v>
      </c>
      <c r="H16">
        <v>0.20200000000000001</v>
      </c>
      <c r="I16">
        <v>3.66</v>
      </c>
      <c r="J16">
        <v>16.649999999999999</v>
      </c>
      <c r="K16">
        <v>0.75</v>
      </c>
      <c r="L16">
        <v>13.5</v>
      </c>
      <c r="M16">
        <v>22.27</v>
      </c>
      <c r="N16">
        <v>26.12</v>
      </c>
      <c r="O16">
        <v>24.2</v>
      </c>
      <c r="Q16">
        <v>30.1</v>
      </c>
      <c r="R16">
        <v>42.79</v>
      </c>
      <c r="S16" s="12">
        <f>1/(1/H16-1/T16)</f>
        <v>0.22117481203007519</v>
      </c>
      <c r="T16">
        <v>2.33</v>
      </c>
      <c r="V16" s="15">
        <v>0.97699999999999998</v>
      </c>
      <c r="W16" s="8">
        <f>R16/0.95</f>
        <v>45.042105263157893</v>
      </c>
      <c r="X16" s="8">
        <f>N16/0.95</f>
        <v>27.494736842105265</v>
      </c>
      <c r="Y16" s="12">
        <f>I16*(1-(W16*V16+X16)/2/1000)/(W16*V16-X16)</f>
        <v>0.21374040972648564</v>
      </c>
      <c r="Z16" s="12">
        <f>T16*Y16/(T16-Y16)</f>
        <v>0.23532800841240178</v>
      </c>
      <c r="AA16" s="12">
        <v>1.64</v>
      </c>
      <c r="AB16" s="12">
        <f>Z16/1.6</f>
        <v>0.14708000525775111</v>
      </c>
      <c r="AC16" s="12">
        <f>AA16*AB16/(AA16+AB16)</f>
        <v>0.13497504751496664</v>
      </c>
      <c r="AD16" s="13">
        <f>((AC16-I16/2/1000)*(D16-L16)/0.95-G16)/(AC16+I16/2/1000)</f>
        <v>297.88064818956155</v>
      </c>
      <c r="AE16" s="14">
        <f>AD16*0.95</f>
        <v>282.98661578008347</v>
      </c>
      <c r="AF16" s="13"/>
    </row>
    <row r="17" spans="1:32" x14ac:dyDescent="0.25">
      <c r="A17" s="5"/>
      <c r="B17" s="6"/>
      <c r="D17">
        <v>276.7</v>
      </c>
      <c r="E17" s="28">
        <v>270</v>
      </c>
      <c r="F17" s="28">
        <v>268</v>
      </c>
      <c r="G17" s="28">
        <v>0</v>
      </c>
      <c r="H17">
        <v>6.3E-2</v>
      </c>
      <c r="I17">
        <v>1.33</v>
      </c>
      <c r="J17">
        <v>19.28</v>
      </c>
      <c r="K17">
        <v>0.99</v>
      </c>
      <c r="L17">
        <v>0</v>
      </c>
      <c r="M17">
        <v>22.37</v>
      </c>
      <c r="N17">
        <v>23.51</v>
      </c>
      <c r="O17">
        <v>29.1</v>
      </c>
      <c r="Q17">
        <v>30.1</v>
      </c>
      <c r="R17">
        <v>42.79</v>
      </c>
      <c r="S17" s="12">
        <f>1/(1/H17-1/T17)</f>
        <v>6.4750771945302169E-2</v>
      </c>
      <c r="T17">
        <v>2.33</v>
      </c>
      <c r="V17" s="15">
        <v>0.97699999999999998</v>
      </c>
      <c r="W17" s="8">
        <f>R17/0.95</f>
        <v>45.042105263157893</v>
      </c>
      <c r="X17" s="8">
        <f>N17/0.95</f>
        <v>24.747368421052634</v>
      </c>
      <c r="Y17" s="12">
        <f>I17*(1-(W17*V17+X17)/2/1000)/(W17*V17-X17)</f>
        <v>6.6685412635010294E-2</v>
      </c>
      <c r="Z17" s="12">
        <f>T17*Y17/(T17-Y17)</f>
        <v>6.8650205458388347E-2</v>
      </c>
      <c r="AA17" s="12">
        <v>1.64</v>
      </c>
      <c r="AB17" s="12">
        <f>Z17/1.6</f>
        <v>4.2906378411492717E-2</v>
      </c>
      <c r="AC17" s="12">
        <f>AA17*AB17/(AA17+AB17)</f>
        <v>4.181246294952394E-2</v>
      </c>
      <c r="AD17" s="13">
        <f>((AC17-I17/2/1000)*(D17-L17)/0.95-G17)/(AC17+I17/2/1000)</f>
        <v>282.14349835997785</v>
      </c>
      <c r="AE17" s="14">
        <f>AD17*0.95</f>
        <v>268.03632344197894</v>
      </c>
      <c r="AF17" s="13"/>
    </row>
    <row r="18" spans="1:32" x14ac:dyDescent="0.25">
      <c r="A18" s="5"/>
      <c r="B18" s="6"/>
      <c r="E18" s="31">
        <f>(E16*G16+E17*G17)/(G16+G17)</f>
        <v>367</v>
      </c>
      <c r="F18" s="31">
        <f>F16-F17</f>
        <v>9</v>
      </c>
      <c r="G18" s="28">
        <f>G16+G17</f>
        <v>12.1</v>
      </c>
      <c r="H18" s="37">
        <f>(H16*I16+H17*I17)/(I16+I17)</f>
        <v>0.16495190380761524</v>
      </c>
      <c r="I18" s="36">
        <f>I16+I17</f>
        <v>4.99</v>
      </c>
      <c r="J18" s="38">
        <f>(J16*I16+J17*I17)/(I16+I17)</f>
        <v>17.350981963927854</v>
      </c>
      <c r="V18" s="15"/>
      <c r="AD18" s="13">
        <f>AD16-AD17</f>
        <v>15.7371498295837</v>
      </c>
      <c r="AE18" s="14">
        <f>AE16-AE17</f>
        <v>14.950292338104532</v>
      </c>
      <c r="AF18" s="13">
        <f>($F$8/0.95-$F$9/0.95)/$G$10*G18</f>
        <v>15.690312738367655</v>
      </c>
    </row>
    <row r="19" spans="1:32" x14ac:dyDescent="0.25">
      <c r="A19" s="5"/>
      <c r="B19" s="6"/>
      <c r="E19" s="28"/>
      <c r="F19" s="28"/>
      <c r="G19" s="28"/>
      <c r="V19" s="15"/>
      <c r="AD19" s="13"/>
      <c r="AE19" s="14"/>
      <c r="AF19" s="13"/>
    </row>
    <row r="20" spans="1:32" x14ac:dyDescent="0.25">
      <c r="A20" s="5">
        <v>40149</v>
      </c>
      <c r="B20" s="6">
        <v>0.58548611111111104</v>
      </c>
      <c r="C20">
        <v>14.05</v>
      </c>
      <c r="D20">
        <v>389.7</v>
      </c>
      <c r="E20" s="28">
        <v>369</v>
      </c>
      <c r="F20" s="28">
        <v>268</v>
      </c>
      <c r="G20" s="28">
        <v>11</v>
      </c>
      <c r="H20">
        <v>0.17</v>
      </c>
      <c r="I20">
        <v>3.89</v>
      </c>
      <c r="J20">
        <v>21.18</v>
      </c>
      <c r="K20">
        <v>0.72</v>
      </c>
      <c r="L20">
        <v>11.8</v>
      </c>
      <c r="M20">
        <v>18.7</v>
      </c>
      <c r="N20">
        <v>22.7</v>
      </c>
      <c r="O20">
        <v>25.2</v>
      </c>
      <c r="Q20">
        <v>30.5</v>
      </c>
      <c r="R20">
        <v>43.9</v>
      </c>
      <c r="S20" s="12">
        <f>1/(1/H20-1/T20)</f>
        <v>0.18337962962962964</v>
      </c>
      <c r="T20">
        <v>2.33</v>
      </c>
      <c r="V20" s="15">
        <v>0.94799999999999995</v>
      </c>
      <c r="W20" s="8">
        <f>R20/0.95</f>
        <v>46.210526315789473</v>
      </c>
      <c r="X20" s="8">
        <f>N20/0.95</f>
        <v>23.894736842105264</v>
      </c>
      <c r="Y20" s="12">
        <f>I20*(1-(W20*V20+X20)/2/1000)/(W20*V20-X20)</f>
        <v>0.18873845209650481</v>
      </c>
      <c r="Z20" s="12">
        <f>T20*Y20/(T20-Y20)</f>
        <v>0.20537453437924244</v>
      </c>
      <c r="AA20" s="12">
        <v>1.64</v>
      </c>
      <c r="AB20" s="12">
        <f>Z20/1.6</f>
        <v>0.12835908398702653</v>
      </c>
      <c r="AC20" s="12">
        <f>AA20*AB20/(AA20+AB20)</f>
        <v>0.11904194099769609</v>
      </c>
      <c r="AD20" s="13">
        <f>((AC20-I20/2/1000)*(D20-L20)/0.95-G20)/(AC20+I20/2/1000)</f>
        <v>294.08075149351959</v>
      </c>
      <c r="AE20" s="14">
        <f>AD20*0.95</f>
        <v>279.37671391884362</v>
      </c>
      <c r="AF20" s="13"/>
    </row>
    <row r="21" spans="1:32" x14ac:dyDescent="0.25">
      <c r="A21" s="5"/>
      <c r="B21" s="6"/>
      <c r="D21">
        <v>276.2</v>
      </c>
      <c r="E21" s="28">
        <v>271</v>
      </c>
      <c r="F21" s="28">
        <v>265</v>
      </c>
      <c r="G21" s="28">
        <v>0</v>
      </c>
      <c r="H21">
        <v>4.8000000000000001E-2</v>
      </c>
      <c r="I21">
        <v>1.27</v>
      </c>
      <c r="J21">
        <v>23.93</v>
      </c>
      <c r="K21">
        <v>0.98</v>
      </c>
      <c r="L21">
        <v>0</v>
      </c>
      <c r="M21">
        <v>18.82</v>
      </c>
      <c r="N21">
        <v>19.95</v>
      </c>
      <c r="O21">
        <v>29.2</v>
      </c>
      <c r="Q21">
        <v>30.5</v>
      </c>
      <c r="R21">
        <v>43.9</v>
      </c>
      <c r="S21" s="12">
        <f>1/(1/H21-1/T21)</f>
        <v>4.9009640666082384E-2</v>
      </c>
      <c r="T21">
        <v>2.33</v>
      </c>
      <c r="V21" s="15">
        <v>0.94799999999999995</v>
      </c>
      <c r="W21" s="8">
        <f>R21/0.95</f>
        <v>46.210526315789473</v>
      </c>
      <c r="X21" s="8">
        <f>N21/0.95</f>
        <v>21</v>
      </c>
      <c r="Y21" s="12">
        <f>I21*(1-(W21*V21+X21)/2/1000)/(W21*V21-X21)</f>
        <v>5.3878896581007238E-2</v>
      </c>
      <c r="Z21" s="12">
        <f>T21*Y21/(T21-Y21)</f>
        <v>5.5154283682522322E-2</v>
      </c>
      <c r="AA21" s="12">
        <v>1.64</v>
      </c>
      <c r="AB21" s="12">
        <f>Z21/1.6</f>
        <v>3.447142730157645E-2</v>
      </c>
      <c r="AC21" s="12">
        <f>AA21*AB21/(AA21+AB21)</f>
        <v>3.3761782884339189E-2</v>
      </c>
      <c r="AD21" s="13">
        <f>((AC21-I21/2/1000)*(D21-L21)/0.95-G21)/(AC21+I21/2/1000)</f>
        <v>280.00223966539966</v>
      </c>
      <c r="AE21" s="14">
        <f>AD21*0.95</f>
        <v>266.00212768212964</v>
      </c>
      <c r="AF21" s="13"/>
    </row>
    <row r="22" spans="1:32" x14ac:dyDescent="0.25">
      <c r="A22" s="5"/>
      <c r="B22" s="6"/>
      <c r="E22" s="31">
        <f>(E20*G20+E21*G21)/(G20+G21)</f>
        <v>369</v>
      </c>
      <c r="F22" s="31">
        <f>F20-F21</f>
        <v>3</v>
      </c>
      <c r="G22" s="28">
        <f>G20+G21</f>
        <v>11</v>
      </c>
      <c r="H22" s="37">
        <f>(H20*I20+H21*I21)/(I20+I21)</f>
        <v>0.13997286821705429</v>
      </c>
      <c r="I22" s="36">
        <f>I20+I21</f>
        <v>5.16</v>
      </c>
      <c r="J22" s="38">
        <f>(J20*I20+J21*I21)/(I20+I21)</f>
        <v>21.85684108527132</v>
      </c>
      <c r="V22" s="15"/>
      <c r="AD22" s="13">
        <f>AD20-AD21</f>
        <v>14.078511828119929</v>
      </c>
      <c r="AE22" s="14">
        <f>AE20-AE21</f>
        <v>13.374586236713981</v>
      </c>
      <c r="AF22" s="13">
        <f>($F$8/0.95-$F$9/0.95)/$G$10*G22</f>
        <v>14.263920671243323</v>
      </c>
    </row>
    <row r="23" spans="1:32" x14ac:dyDescent="0.25">
      <c r="A23" s="5"/>
      <c r="B23" s="6"/>
      <c r="E23" s="28"/>
      <c r="F23" s="28"/>
      <c r="G23" s="28"/>
      <c r="V23" s="15"/>
      <c r="AD23" s="13"/>
      <c r="AE23" s="14"/>
      <c r="AF23" s="13"/>
    </row>
    <row r="24" spans="1:32" x14ac:dyDescent="0.25">
      <c r="A24" s="5">
        <v>40149</v>
      </c>
      <c r="B24" s="6">
        <v>0.7028240740740741</v>
      </c>
      <c r="C24">
        <v>16.86</v>
      </c>
      <c r="D24">
        <v>390.2</v>
      </c>
      <c r="E24" s="28">
        <v>376</v>
      </c>
      <c r="F24" s="28">
        <v>216</v>
      </c>
      <c r="G24" s="28">
        <v>8.6</v>
      </c>
      <c r="H24">
        <v>8.6999999999999994E-2</v>
      </c>
      <c r="I24">
        <v>2.95</v>
      </c>
      <c r="J24">
        <v>30.92</v>
      </c>
      <c r="K24">
        <v>0.56000000000000005</v>
      </c>
      <c r="L24">
        <v>9.5</v>
      </c>
      <c r="M24">
        <v>9.25</v>
      </c>
      <c r="N24">
        <v>12.4</v>
      </c>
      <c r="O24">
        <v>25.7</v>
      </c>
      <c r="Q24">
        <v>30.2</v>
      </c>
      <c r="R24">
        <v>43.33</v>
      </c>
      <c r="S24" s="12">
        <f>1/(1/H24-1/T24)</f>
        <v>9.0374498439589834E-2</v>
      </c>
      <c r="T24">
        <v>2.33</v>
      </c>
      <c r="V24" s="15">
        <v>0.92400000000000004</v>
      </c>
      <c r="W24" s="8">
        <f>R24/0.95</f>
        <v>45.610526315789471</v>
      </c>
      <c r="X24" s="8">
        <f>N24/0.95</f>
        <v>13.05263157894737</v>
      </c>
      <c r="Y24" s="12">
        <f>I24*(1-(W24*V24+X24)/2/1000)/(W24*V24-X24)</f>
        <v>9.8605616798109225E-2</v>
      </c>
      <c r="Z24" s="12">
        <f>T24*Y24/(T24-Y24)</f>
        <v>0.10296301221746294</v>
      </c>
      <c r="AA24" s="12">
        <v>1.64</v>
      </c>
      <c r="AB24" s="12">
        <f>Z24/1.6</f>
        <v>6.4351882635914334E-2</v>
      </c>
      <c r="AC24" s="12">
        <f>AA24*AB24/(AA24+AB24)</f>
        <v>6.1922123358515671E-2</v>
      </c>
      <c r="AD24" s="13">
        <f>((AC24-I24/2/1000)*(D24-L24)/0.95-G24)/(AC24+I24/2/1000)</f>
        <v>246.43688075068295</v>
      </c>
      <c r="AE24" s="14">
        <f>AD24*0.95</f>
        <v>234.11503671314878</v>
      </c>
      <c r="AF24" s="13"/>
    </row>
    <row r="25" spans="1:32" x14ac:dyDescent="0.25">
      <c r="D25">
        <v>239.3</v>
      </c>
      <c r="E25" s="28">
        <v>236</v>
      </c>
      <c r="F25" s="28">
        <v>221</v>
      </c>
      <c r="G25" s="28">
        <v>0.2</v>
      </c>
      <c r="H25">
        <v>6.4000000000000001E-2</v>
      </c>
      <c r="I25">
        <v>2.2000000000000002</v>
      </c>
      <c r="J25">
        <v>32</v>
      </c>
      <c r="K25">
        <v>0.93</v>
      </c>
      <c r="L25">
        <v>0.2</v>
      </c>
      <c r="M25">
        <v>9.35</v>
      </c>
      <c r="N25">
        <v>11.31</v>
      </c>
      <c r="O25">
        <v>29.2</v>
      </c>
      <c r="Q25">
        <v>30.2</v>
      </c>
      <c r="R25">
        <v>43.33</v>
      </c>
      <c r="S25" s="12">
        <f>1/(1/H25-1/T25)</f>
        <v>6.5807590467784643E-2</v>
      </c>
      <c r="T25">
        <v>2.33</v>
      </c>
      <c r="V25" s="15">
        <v>0.92400000000000004</v>
      </c>
      <c r="W25" s="8">
        <f>R25/0.95</f>
        <v>45.610526315789471</v>
      </c>
      <c r="X25" s="8">
        <f>N25/0.95</f>
        <v>11.905263157894739</v>
      </c>
      <c r="Y25" s="12">
        <f>I25*(1-(W25*V25+X25)/2/1000)/(W25*V25-X25)</f>
        <v>7.0787901661577377E-2</v>
      </c>
      <c r="Z25" s="12">
        <f>T25*Y25/(T25-Y25)</f>
        <v>7.3005899265845942E-2</v>
      </c>
      <c r="AA25" s="12">
        <v>1.64</v>
      </c>
      <c r="AB25" s="12">
        <f>Z25/1.6</f>
        <v>4.5628687041153713E-2</v>
      </c>
      <c r="AC25" s="12">
        <f>AA25*AB25/(AA25+AB25)</f>
        <v>4.4393553172641945E-2</v>
      </c>
      <c r="AD25" s="13">
        <f>((AC25-I25/2/1000)*(D25-L25)/0.95-G25)/(AC25+I25/2/1000)</f>
        <v>235.11691229182352</v>
      </c>
      <c r="AE25" s="14">
        <f>AD25*0.95</f>
        <v>223.36106667723234</v>
      </c>
      <c r="AF25" s="13"/>
    </row>
    <row r="26" spans="1:32" x14ac:dyDescent="0.25">
      <c r="E26" s="31">
        <f>(E24*G24+E25*G25)/(G24+G25)</f>
        <v>372.81818181818181</v>
      </c>
      <c r="F26" s="31">
        <f>F24-F25</f>
        <v>-5</v>
      </c>
      <c r="G26" s="28">
        <f>G24+G25</f>
        <v>8.7999999999999989</v>
      </c>
      <c r="H26" s="37">
        <f>(H24*I24+H25*I25)/(I24+I25)</f>
        <v>7.7174757281553388E-2</v>
      </c>
      <c r="I26" s="36">
        <f>I24+I25</f>
        <v>5.15</v>
      </c>
      <c r="J26" s="38">
        <f>(J24*I24+J25*I25)/(I24+I25)</f>
        <v>31.381359223300976</v>
      </c>
      <c r="AD26" s="13">
        <f>AD24-AD25</f>
        <v>11.319968458859421</v>
      </c>
      <c r="AE26" s="14">
        <f>AE24-AE25</f>
        <v>10.753970035916439</v>
      </c>
      <c r="AF26" s="13">
        <f>($F$8/0.95-$F$9/0.95)/$G$10*G26</f>
        <v>11.411136536994658</v>
      </c>
    </row>
    <row r="30" spans="1:32" x14ac:dyDescent="0.25">
      <c r="B30" t="s">
        <v>42</v>
      </c>
      <c r="C30" t="s">
        <v>43</v>
      </c>
    </row>
    <row r="31" spans="1:32" x14ac:dyDescent="0.25">
      <c r="B31" t="s">
        <v>44</v>
      </c>
      <c r="C31" t="s">
        <v>45</v>
      </c>
    </row>
    <row r="32" spans="1:32" x14ac:dyDescent="0.25">
      <c r="B32" t="s">
        <v>46</v>
      </c>
      <c r="C32" t="s">
        <v>47</v>
      </c>
    </row>
    <row r="33" spans="1:33" x14ac:dyDescent="0.25">
      <c r="B33" t="s">
        <v>48</v>
      </c>
      <c r="C33" t="s">
        <v>49</v>
      </c>
    </row>
    <row r="34" spans="1:33" x14ac:dyDescent="0.25">
      <c r="B34" t="s">
        <v>50</v>
      </c>
      <c r="C34" t="s">
        <v>51</v>
      </c>
    </row>
    <row r="35" spans="1:33" x14ac:dyDescent="0.25">
      <c r="A35" s="5"/>
      <c r="B35" t="s">
        <v>52</v>
      </c>
      <c r="C35" t="s">
        <v>53</v>
      </c>
      <c r="P35" s="7"/>
      <c r="Y35" s="21"/>
      <c r="AA35" s="8"/>
      <c r="AB35" s="9"/>
      <c r="AC35" s="10"/>
      <c r="AD35" s="11"/>
      <c r="AE35" s="12"/>
      <c r="AF35" s="12"/>
      <c r="AG35" s="12"/>
    </row>
    <row r="36" spans="1:33" x14ac:dyDescent="0.25">
      <c r="A36" s="5"/>
      <c r="B36" t="s">
        <v>54</v>
      </c>
      <c r="C36" t="s">
        <v>55</v>
      </c>
      <c r="P36" s="7"/>
      <c r="AA36" s="8"/>
      <c r="AB36" s="9"/>
      <c r="AC36" s="10"/>
      <c r="AD36" s="11"/>
      <c r="AE36" s="12"/>
      <c r="AF36" s="12"/>
      <c r="AG36" s="12"/>
    </row>
    <row r="37" spans="1:33" x14ac:dyDescent="0.25">
      <c r="A37" s="5"/>
      <c r="B37" t="s">
        <v>56</v>
      </c>
      <c r="C37" t="s">
        <v>57</v>
      </c>
      <c r="P37" s="7"/>
      <c r="AC37" s="10"/>
      <c r="AD37" s="12"/>
      <c r="AE37" s="12"/>
      <c r="AF37" s="12"/>
      <c r="AG37" s="8"/>
    </row>
    <row r="38" spans="1:33" x14ac:dyDescent="0.25">
      <c r="A38" s="5"/>
      <c r="B38" t="s">
        <v>58</v>
      </c>
      <c r="C38" t="s">
        <v>59</v>
      </c>
      <c r="P38" s="7"/>
      <c r="AC38" s="10"/>
      <c r="AE38" s="12"/>
      <c r="AF38" s="12"/>
    </row>
    <row r="39" spans="1:33" x14ac:dyDescent="0.25">
      <c r="A39" s="5"/>
      <c r="B39" t="s">
        <v>60</v>
      </c>
      <c r="C39" t="s">
        <v>61</v>
      </c>
      <c r="P39" s="7"/>
      <c r="Z39" s="8"/>
      <c r="AA39" s="8"/>
      <c r="AB39" s="9"/>
      <c r="AC39" s="10"/>
      <c r="AD39" s="11"/>
      <c r="AE39" s="12"/>
      <c r="AF39" s="12"/>
      <c r="AG39" s="12"/>
    </row>
    <row r="40" spans="1:33" x14ac:dyDescent="0.25">
      <c r="A40" s="5"/>
      <c r="B40" t="s">
        <v>62</v>
      </c>
      <c r="C40" t="s">
        <v>63</v>
      </c>
      <c r="P40" s="7"/>
      <c r="Z40" s="8"/>
      <c r="AA40" s="8"/>
      <c r="AB40" s="9"/>
      <c r="AC40" s="10"/>
      <c r="AD40" s="11"/>
      <c r="AE40" s="12"/>
      <c r="AF40" s="12"/>
      <c r="AG40" s="12"/>
    </row>
    <row r="41" spans="1:33" x14ac:dyDescent="0.25">
      <c r="A41" s="5"/>
      <c r="B41" t="s">
        <v>64</v>
      </c>
      <c r="C41" t="s">
        <v>65</v>
      </c>
      <c r="P41" s="7"/>
      <c r="AA41" s="8"/>
      <c r="AC41" s="10"/>
      <c r="AD41" s="12"/>
      <c r="AE41" s="12"/>
      <c r="AF41" s="12"/>
      <c r="AG41" s="8"/>
    </row>
    <row r="42" spans="1:33" x14ac:dyDescent="0.25">
      <c r="A42" s="5"/>
      <c r="B42" t="s">
        <v>70</v>
      </c>
      <c r="C42" t="s">
        <v>71</v>
      </c>
      <c r="P42" s="7"/>
      <c r="Z42" s="8"/>
      <c r="AA42" s="8"/>
      <c r="AB42" s="9"/>
      <c r="AC42" s="10"/>
      <c r="AD42" s="11"/>
      <c r="AE42" s="12"/>
      <c r="AF42" s="12"/>
      <c r="AG42" s="12"/>
    </row>
    <row r="43" spans="1:33" x14ac:dyDescent="0.25">
      <c r="A43" s="5"/>
      <c r="B43" t="s">
        <v>72</v>
      </c>
      <c r="C43" t="s">
        <v>73</v>
      </c>
      <c r="P43" s="7"/>
      <c r="AA43" s="8"/>
      <c r="AC43" s="10"/>
      <c r="AD43" s="12"/>
      <c r="AE43" s="12"/>
      <c r="AF43" s="12"/>
      <c r="AG43" s="8"/>
    </row>
    <row r="44" spans="1:33" x14ac:dyDescent="0.25">
      <c r="A44" s="5"/>
      <c r="B44" t="s">
        <v>74</v>
      </c>
      <c r="C44" t="s">
        <v>75</v>
      </c>
      <c r="P44" s="7"/>
    </row>
    <row r="45" spans="1:33" x14ac:dyDescent="0.25">
      <c r="A45" s="5"/>
      <c r="B45" t="s">
        <v>76</v>
      </c>
      <c r="C45" t="s">
        <v>77</v>
      </c>
      <c r="P45" s="7"/>
      <c r="Z45" s="8"/>
      <c r="AA45" s="8"/>
      <c r="AB45" s="9"/>
      <c r="AC45" s="10"/>
      <c r="AD45" s="11"/>
      <c r="AE45" s="12"/>
      <c r="AF45" s="12"/>
      <c r="AG45" s="12"/>
    </row>
    <row r="46" spans="1:33" x14ac:dyDescent="0.25">
      <c r="B46" t="s">
        <v>84</v>
      </c>
      <c r="C46" t="s">
        <v>170</v>
      </c>
    </row>
    <row r="47" spans="1:33" x14ac:dyDescent="0.25">
      <c r="B47" t="s">
        <v>171</v>
      </c>
      <c r="C47" t="s">
        <v>172</v>
      </c>
    </row>
    <row r="48" spans="1:33" x14ac:dyDescent="0.25">
      <c r="B48" t="s">
        <v>90</v>
      </c>
      <c r="C48" t="s">
        <v>51</v>
      </c>
    </row>
    <row r="49" spans="2:13" x14ac:dyDescent="0.25">
      <c r="B49" t="s">
        <v>91</v>
      </c>
      <c r="C49" t="s">
        <v>75</v>
      </c>
    </row>
    <row r="50" spans="2:13" x14ac:dyDescent="0.25">
      <c r="B50" t="s">
        <v>98</v>
      </c>
      <c r="C50" t="s">
        <v>99</v>
      </c>
    </row>
    <row r="51" spans="2:13" x14ac:dyDescent="0.25">
      <c r="B51" t="s">
        <v>94</v>
      </c>
      <c r="C51" t="s">
        <v>95</v>
      </c>
    </row>
    <row r="52" spans="2:13" x14ac:dyDescent="0.25">
      <c r="B52" t="s">
        <v>173</v>
      </c>
      <c r="C52" t="s">
        <v>174</v>
      </c>
    </row>
    <row r="53" spans="2:13" x14ac:dyDescent="0.25">
      <c r="B53" t="s">
        <v>169</v>
      </c>
      <c r="C53" s="16" t="s">
        <v>102</v>
      </c>
      <c r="D53" s="17"/>
      <c r="E53" s="17"/>
      <c r="F53" s="17"/>
      <c r="G53" s="17"/>
      <c r="H53" s="17"/>
      <c r="I53" s="17"/>
      <c r="J53" s="17"/>
      <c r="K53" s="17"/>
      <c r="L53" s="17"/>
      <c r="M53" s="17"/>
    </row>
    <row r="54" spans="2:13" x14ac:dyDescent="0.25">
      <c r="B54" t="s">
        <v>46</v>
      </c>
      <c r="C54" t="s">
        <v>47</v>
      </c>
    </row>
  </sheetData>
  <mergeCells count="2">
    <mergeCell ref="A4:T4"/>
    <mergeCell ref="V4:A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F4E9-DE95-4B12-B3D9-5D83A476881B}">
  <dimension ref="A1:AF57"/>
  <sheetViews>
    <sheetView workbookViewId="0">
      <selection activeCell="K31" sqref="K31"/>
    </sheetView>
  </sheetViews>
  <sheetFormatPr defaultRowHeight="15" x14ac:dyDescent="0.25"/>
  <sheetData>
    <row r="1" spans="1:32" x14ac:dyDescent="0.25">
      <c r="A1" t="s">
        <v>175</v>
      </c>
      <c r="D1" t="s">
        <v>176</v>
      </c>
    </row>
    <row r="5" spans="1:32" x14ac:dyDescent="0.25">
      <c r="A5" s="28"/>
      <c r="B5" s="28"/>
      <c r="C5" s="28"/>
      <c r="D5" s="54" t="s">
        <v>2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V5" s="53" t="s">
        <v>3</v>
      </c>
      <c r="W5" s="53"/>
      <c r="X5" s="53"/>
      <c r="Y5" s="53"/>
      <c r="Z5" s="53"/>
      <c r="AA5" s="53"/>
      <c r="AB5" s="53"/>
      <c r="AC5" s="53"/>
      <c r="AD5" s="53"/>
      <c r="AE5" s="53"/>
      <c r="AF5" s="53"/>
    </row>
    <row r="6" spans="1:32" x14ac:dyDescent="0.25">
      <c r="A6" s="28"/>
      <c r="B6" s="28"/>
      <c r="C6" s="28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</row>
    <row r="7" spans="1:32" x14ac:dyDescent="0.25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AF7" s="4" t="s">
        <v>4</v>
      </c>
    </row>
    <row r="8" spans="1:32" x14ac:dyDescent="0.25">
      <c r="A8" s="28"/>
      <c r="B8" s="35" t="s">
        <v>6</v>
      </c>
      <c r="C8" s="35" t="s">
        <v>7</v>
      </c>
      <c r="D8" s="35" t="s">
        <v>158</v>
      </c>
      <c r="E8" s="35" t="s">
        <v>9</v>
      </c>
      <c r="F8" s="35" t="s">
        <v>10</v>
      </c>
      <c r="G8" s="35" t="s">
        <v>11</v>
      </c>
      <c r="H8" s="35" t="s">
        <v>12</v>
      </c>
      <c r="I8" s="35" t="s">
        <v>13</v>
      </c>
      <c r="J8" s="35" t="s">
        <v>14</v>
      </c>
      <c r="K8" s="35" t="s">
        <v>57</v>
      </c>
      <c r="L8" s="35" t="s">
        <v>16</v>
      </c>
      <c r="M8" s="35" t="s">
        <v>177</v>
      </c>
      <c r="N8" s="35" t="s">
        <v>178</v>
      </c>
      <c r="O8" s="35" t="s">
        <v>179</v>
      </c>
      <c r="Q8" s="35" t="s">
        <v>180</v>
      </c>
      <c r="R8" s="35" t="s">
        <v>181</v>
      </c>
      <c r="S8" s="35" t="s">
        <v>24</v>
      </c>
      <c r="T8" s="35" t="s">
        <v>25</v>
      </c>
      <c r="V8" s="42" t="s">
        <v>27</v>
      </c>
      <c r="W8" s="35" t="s">
        <v>30</v>
      </c>
      <c r="X8" s="35" t="s">
        <v>165</v>
      </c>
      <c r="Y8" s="35" t="s">
        <v>33</v>
      </c>
      <c r="Z8" s="35" t="s">
        <v>34</v>
      </c>
      <c r="AA8" s="35" t="s">
        <v>38</v>
      </c>
      <c r="AB8" s="35" t="s">
        <v>36</v>
      </c>
      <c r="AC8" s="35" t="s">
        <v>168</v>
      </c>
      <c r="AD8" s="35" t="s">
        <v>169</v>
      </c>
      <c r="AE8" s="35" t="s">
        <v>10</v>
      </c>
      <c r="AF8" s="4" t="s">
        <v>41</v>
      </c>
    </row>
    <row r="9" spans="1:32" x14ac:dyDescent="0.25">
      <c r="A9" s="28" t="s">
        <v>182</v>
      </c>
      <c r="B9" s="44">
        <v>0.5081944444444445</v>
      </c>
      <c r="C9" s="28">
        <v>12.19</v>
      </c>
      <c r="D9" s="31">
        <v>401.6</v>
      </c>
      <c r="E9" s="31">
        <v>369</v>
      </c>
      <c r="F9" s="31">
        <v>233</v>
      </c>
      <c r="G9" s="29">
        <v>22.8</v>
      </c>
      <c r="H9" s="32">
        <v>0.246</v>
      </c>
      <c r="I9" s="32">
        <v>3.56</v>
      </c>
      <c r="J9" s="32">
        <v>13.34</v>
      </c>
      <c r="K9" s="32">
        <v>0.62</v>
      </c>
      <c r="L9" s="29">
        <v>22.8</v>
      </c>
      <c r="M9" s="29">
        <v>23.14</v>
      </c>
      <c r="N9" s="29">
        <v>26.54</v>
      </c>
      <c r="O9" s="29">
        <v>30.1</v>
      </c>
      <c r="Q9" s="29">
        <v>28.8</v>
      </c>
      <c r="R9" s="29">
        <v>39.9</v>
      </c>
      <c r="S9" s="32">
        <v>0.27500000000000002</v>
      </c>
      <c r="T9" s="32">
        <v>2.335</v>
      </c>
      <c r="V9" s="15">
        <v>1</v>
      </c>
      <c r="W9" s="8">
        <f>R9/0.95</f>
        <v>42</v>
      </c>
      <c r="X9" s="8">
        <f>N9/0.95</f>
        <v>27.936842105263157</v>
      </c>
      <c r="Y9" s="12">
        <f>I9*(1-(W9*V9+X9)/2/1000)/(W9*V9-X9)</f>
        <v>0.24429167664670659</v>
      </c>
      <c r="Z9" s="12">
        <f>T9*Y9/(T9-Y9)</f>
        <v>0.27283627208943229</v>
      </c>
      <c r="AA9" s="12">
        <f>T9/1.37</f>
        <v>1.7043795620437954</v>
      </c>
      <c r="AB9" s="12">
        <f>Z9/1.6</f>
        <v>0.17052267005589516</v>
      </c>
      <c r="AC9" s="12">
        <f>AA9*AB9/(AA9+AB9)</f>
        <v>0.15501360483363688</v>
      </c>
      <c r="AD9" s="13">
        <f>((AC9-I9/2/1000)*(D9-L9)/0.95-G9)/(AC9+I9/2/1000)</f>
        <v>244.26942499604868</v>
      </c>
      <c r="AE9" s="14">
        <f>AD9*0.95</f>
        <v>232.05595374624625</v>
      </c>
      <c r="AF9" s="4"/>
    </row>
    <row r="10" spans="1:32" x14ac:dyDescent="0.25">
      <c r="A10" s="28"/>
      <c r="B10" s="28"/>
      <c r="C10" s="28"/>
      <c r="D10" s="31">
        <v>198.8</v>
      </c>
      <c r="E10" s="31">
        <v>193</v>
      </c>
      <c r="F10" s="31">
        <v>196</v>
      </c>
      <c r="G10" s="29">
        <v>0</v>
      </c>
      <c r="H10" s="32">
        <v>0.77300000000000002</v>
      </c>
      <c r="I10" s="32">
        <v>7.94</v>
      </c>
      <c r="J10" s="32">
        <v>9.44</v>
      </c>
      <c r="K10" s="32">
        <v>1</v>
      </c>
      <c r="L10" s="29">
        <v>0</v>
      </c>
      <c r="M10" s="29">
        <v>23.28</v>
      </c>
      <c r="N10" s="29">
        <v>30.44</v>
      </c>
      <c r="O10" s="29">
        <v>29.5</v>
      </c>
      <c r="Q10" s="29">
        <v>28.8</v>
      </c>
      <c r="R10" s="29">
        <v>39.9</v>
      </c>
      <c r="S10" s="32">
        <v>1.46</v>
      </c>
      <c r="T10" s="32">
        <v>1.6459999999999999</v>
      </c>
      <c r="V10" s="15">
        <v>1</v>
      </c>
      <c r="W10" s="8">
        <f>R10/0.95</f>
        <v>42</v>
      </c>
      <c r="X10" s="8">
        <f>N10/0.95</f>
        <v>32.0421052631579</v>
      </c>
      <c r="Y10" s="12">
        <f>I10*(1-(W10*V10+X10)/2/1000)/(W10*V10-X10)</f>
        <v>0.76783828752642758</v>
      </c>
      <c r="Z10" s="12">
        <f>T10*Y10/(T10-Y10)</f>
        <v>1.4392130780884334</v>
      </c>
      <c r="AA10" s="12">
        <f>T10/1.37</f>
        <v>1.2014598540145984</v>
      </c>
      <c r="AB10" s="12">
        <f>Z10/1.6</f>
        <v>0.89950817380527082</v>
      </c>
      <c r="AC10" s="12">
        <f>AA10*AB10/(AA10+AB10)</f>
        <v>0.51439286313483912</v>
      </c>
      <c r="AD10" s="13">
        <f>((AC10-I10/2/1000)*(D10-L10)/0.95-G10)/(AC10+I10/2/1000)</f>
        <v>206.05777882179194</v>
      </c>
      <c r="AE10" s="14">
        <f>AD10*0.95</f>
        <v>195.75488988070234</v>
      </c>
      <c r="AF10" s="4"/>
    </row>
    <row r="11" spans="1:32" x14ac:dyDescent="0.25">
      <c r="A11" s="28"/>
      <c r="B11" s="28"/>
      <c r="C11" s="28"/>
      <c r="D11" s="24">
        <f>(D9+D10)/2</f>
        <v>300.20000000000005</v>
      </c>
      <c r="E11" s="24">
        <f>(E9+E10)/2</f>
        <v>281</v>
      </c>
      <c r="F11" s="24">
        <f>F9-F10</f>
        <v>37</v>
      </c>
      <c r="G11" s="25">
        <f>G9+G10</f>
        <v>22.8</v>
      </c>
      <c r="H11" s="26">
        <f>H9+H10</f>
        <v>1.0190000000000001</v>
      </c>
      <c r="I11" s="26">
        <f>I9+I10</f>
        <v>11.5</v>
      </c>
      <c r="J11" s="26">
        <f t="shared" ref="J11:O11" si="0">(J9+J10)/2</f>
        <v>11.39</v>
      </c>
      <c r="K11" s="26">
        <f t="shared" si="0"/>
        <v>0.81</v>
      </c>
      <c r="L11" s="25">
        <f t="shared" si="0"/>
        <v>11.4</v>
      </c>
      <c r="M11" s="25">
        <f t="shared" si="0"/>
        <v>23.21</v>
      </c>
      <c r="N11" s="25">
        <f t="shared" si="0"/>
        <v>28.490000000000002</v>
      </c>
      <c r="O11" s="25">
        <f t="shared" si="0"/>
        <v>29.8</v>
      </c>
      <c r="Q11" s="29"/>
      <c r="R11" s="29"/>
      <c r="S11" s="26"/>
      <c r="T11" s="26"/>
      <c r="V11" s="15"/>
      <c r="AD11" s="45">
        <f>AD9-AD10</f>
        <v>38.211646174256742</v>
      </c>
      <c r="AE11" s="14"/>
      <c r="AF11" s="4"/>
    </row>
    <row r="12" spans="1:32" x14ac:dyDescent="0.25">
      <c r="A12" s="28"/>
      <c r="B12" s="28"/>
      <c r="C12" s="28"/>
      <c r="D12" s="31"/>
      <c r="E12" s="31"/>
      <c r="F12" s="31"/>
      <c r="G12" s="29"/>
      <c r="H12" s="32"/>
      <c r="I12" s="32"/>
      <c r="J12" s="32"/>
      <c r="K12" s="32"/>
      <c r="L12" s="29"/>
      <c r="M12" s="29"/>
      <c r="N12" s="29"/>
      <c r="O12" s="29"/>
      <c r="Q12" s="29"/>
      <c r="R12" s="29"/>
      <c r="S12" s="32"/>
      <c r="T12" s="32"/>
      <c r="V12" s="15"/>
      <c r="AD12" s="13"/>
      <c r="AE12" s="14"/>
      <c r="AF12" s="4"/>
    </row>
    <row r="13" spans="1:32" x14ac:dyDescent="0.25">
      <c r="A13" s="28"/>
      <c r="B13" s="28"/>
      <c r="C13" s="28"/>
      <c r="D13" s="31"/>
      <c r="E13" s="31"/>
      <c r="F13" s="31"/>
      <c r="G13" s="29"/>
      <c r="H13" s="32"/>
      <c r="I13" s="32"/>
      <c r="J13" s="32"/>
      <c r="K13" s="32"/>
      <c r="L13" s="29"/>
      <c r="M13" s="29"/>
      <c r="N13" s="29"/>
      <c r="O13" s="29"/>
      <c r="Q13" s="29"/>
      <c r="R13" s="29"/>
      <c r="S13" s="32"/>
      <c r="T13" s="32"/>
      <c r="V13" s="15"/>
      <c r="AD13" s="13"/>
      <c r="AE13" s="14"/>
      <c r="AF13" s="4"/>
    </row>
    <row r="14" spans="1:32" x14ac:dyDescent="0.25">
      <c r="A14" s="28" t="s">
        <v>182</v>
      </c>
      <c r="B14" s="44">
        <v>0.5295023148148148</v>
      </c>
      <c r="C14" s="28">
        <v>12.7</v>
      </c>
      <c r="D14" s="31">
        <v>401.6</v>
      </c>
      <c r="E14" s="31">
        <v>371</v>
      </c>
      <c r="F14" s="31">
        <v>232</v>
      </c>
      <c r="G14" s="29">
        <v>22.2</v>
      </c>
      <c r="H14" s="32">
        <v>0.24099999999999999</v>
      </c>
      <c r="I14" s="32">
        <v>4.17</v>
      </c>
      <c r="J14" s="32">
        <v>15.96</v>
      </c>
      <c r="K14" s="32">
        <v>0.62</v>
      </c>
      <c r="L14" s="29">
        <v>22.5</v>
      </c>
      <c r="M14" s="29">
        <v>18.98</v>
      </c>
      <c r="N14" s="29">
        <v>23.02</v>
      </c>
      <c r="O14" s="29">
        <v>30.2</v>
      </c>
      <c r="Q14" s="29">
        <v>28.5</v>
      </c>
      <c r="R14" s="29">
        <v>38.97</v>
      </c>
      <c r="S14" s="32">
        <v>0.27</v>
      </c>
      <c r="T14" s="32">
        <v>2.3340000000000001</v>
      </c>
      <c r="V14" s="15">
        <v>0.999</v>
      </c>
      <c r="W14" s="8">
        <f>R14/0.95</f>
        <v>41.021052631578947</v>
      </c>
      <c r="X14" s="8">
        <f>N14/0.95</f>
        <v>24.231578947368423</v>
      </c>
      <c r="Y14" s="12">
        <f>I14*(1-(W14*V14+X14)/2/1000)/(W14*V14-X14)</f>
        <v>0.24086008903571926</v>
      </c>
      <c r="Z14" s="12">
        <f>T14*Y14/(T14-Y14)</f>
        <v>0.26857614479788211</v>
      </c>
      <c r="AA14" s="12">
        <f>T14/1.37</f>
        <v>1.7036496350364962</v>
      </c>
      <c r="AB14" s="12">
        <f>Z14/1.6</f>
        <v>0.16786009049867631</v>
      </c>
      <c r="AC14" s="12">
        <f>AA14*AB14/(AA14+AB14)</f>
        <v>0.15280432584099263</v>
      </c>
      <c r="AD14" s="13">
        <f>((AC14-I14/2/1000)*(D14-L14)/0.95-G14)/(AC14+I14/2/1000)</f>
        <v>244.98101079997431</v>
      </c>
      <c r="AE14" s="14">
        <f>AD14*0.95</f>
        <v>232.73196025997558</v>
      </c>
      <c r="AF14" s="4"/>
    </row>
    <row r="15" spans="1:32" x14ac:dyDescent="0.25">
      <c r="A15" s="28"/>
      <c r="B15" s="28"/>
      <c r="C15" s="28"/>
      <c r="D15" s="31">
        <v>199.3</v>
      </c>
      <c r="E15" s="31">
        <v>194</v>
      </c>
      <c r="F15" s="31">
        <v>196</v>
      </c>
      <c r="G15" s="29">
        <v>-0.4</v>
      </c>
      <c r="H15" s="32">
        <v>0.748</v>
      </c>
      <c r="I15" s="32">
        <v>9.2200000000000006</v>
      </c>
      <c r="J15" s="32">
        <v>11.35</v>
      </c>
      <c r="K15" s="32">
        <v>1</v>
      </c>
      <c r="L15" s="29">
        <v>-0.4</v>
      </c>
      <c r="M15" s="29">
        <v>19.25</v>
      </c>
      <c r="N15" s="29">
        <v>27.62</v>
      </c>
      <c r="O15" s="29">
        <v>29.5</v>
      </c>
      <c r="Q15" s="29">
        <v>28.5</v>
      </c>
      <c r="R15" s="29">
        <v>38.97</v>
      </c>
      <c r="S15" s="32">
        <v>1.37</v>
      </c>
      <c r="T15" s="32">
        <v>1.6459999999999999</v>
      </c>
      <c r="V15" s="15">
        <v>0.999</v>
      </c>
      <c r="W15" s="8">
        <f>R15/0.95</f>
        <v>41.021052631578947</v>
      </c>
      <c r="X15" s="8">
        <f>N15/0.95</f>
        <v>29.073684210526316</v>
      </c>
      <c r="Y15" s="12">
        <f>I15*(1-(W15*V15+X15)/2/1000)/(W15*V15-X15)</f>
        <v>0.74725288074560858</v>
      </c>
      <c r="Z15" s="12">
        <f>T15*Y15/(T15-Y15)</f>
        <v>1.3685476318718803</v>
      </c>
      <c r="AA15" s="12">
        <f>T15/1.37</f>
        <v>1.2014598540145984</v>
      </c>
      <c r="AB15" s="12">
        <f>Z15/1.6</f>
        <v>0.85534226991992512</v>
      </c>
      <c r="AC15" s="12">
        <f>AA15*AB15/(AA15+AB15)</f>
        <v>0.49963940954352265</v>
      </c>
      <c r="AD15" s="13">
        <f>((AC15-I15/2/1000)*(D15-L15)/0.95-G15)/(AC15+I15/2/1000)</f>
        <v>207.16016864849155</v>
      </c>
      <c r="AE15" s="14">
        <f>AD15*0.95</f>
        <v>196.80216021606697</v>
      </c>
      <c r="AF15" s="4"/>
    </row>
    <row r="16" spans="1:32" x14ac:dyDescent="0.25">
      <c r="A16" s="28"/>
      <c r="B16" s="28"/>
      <c r="C16" s="28"/>
      <c r="D16" s="24">
        <f>(D14+D15)/2</f>
        <v>300.45000000000005</v>
      </c>
      <c r="E16" s="24">
        <f>(E14+E15)/2</f>
        <v>282.5</v>
      </c>
      <c r="F16" s="24">
        <f>F14-F15</f>
        <v>36</v>
      </c>
      <c r="G16" s="25">
        <f>G14+G15</f>
        <v>21.8</v>
      </c>
      <c r="H16" s="26">
        <f>H14+H15</f>
        <v>0.98899999999999999</v>
      </c>
      <c r="I16" s="26">
        <f>I14+I15</f>
        <v>13.39</v>
      </c>
      <c r="J16" s="26">
        <f t="shared" ref="J16:O16" si="1">(J14+J15)/2</f>
        <v>13.655000000000001</v>
      </c>
      <c r="K16" s="26">
        <f t="shared" si="1"/>
        <v>0.81</v>
      </c>
      <c r="L16" s="25">
        <f t="shared" si="1"/>
        <v>11.05</v>
      </c>
      <c r="M16" s="25">
        <f t="shared" si="1"/>
        <v>19.115000000000002</v>
      </c>
      <c r="N16" s="25">
        <f t="shared" si="1"/>
        <v>25.32</v>
      </c>
      <c r="O16" s="25">
        <f t="shared" si="1"/>
        <v>29.85</v>
      </c>
      <c r="Q16" s="29"/>
      <c r="R16" s="29"/>
      <c r="S16" s="26"/>
      <c r="T16" s="26"/>
      <c r="V16" s="15"/>
      <c r="AD16" s="45">
        <f>AD14-AD15</f>
        <v>37.820842151482765</v>
      </c>
      <c r="AE16" s="14"/>
      <c r="AF16" s="13">
        <f>(F9/0.95-F10/0.95)/G11*G16</f>
        <v>37.239150507848571</v>
      </c>
    </row>
    <row r="17" spans="1:32" x14ac:dyDescent="0.25">
      <c r="A17" s="28"/>
      <c r="B17" s="28"/>
      <c r="C17" s="28"/>
      <c r="D17" s="31"/>
      <c r="E17" s="31"/>
      <c r="F17" s="31"/>
      <c r="G17" s="29"/>
      <c r="H17" s="32"/>
      <c r="I17" s="32"/>
      <c r="J17" s="32"/>
      <c r="K17" s="32"/>
      <c r="L17" s="29"/>
      <c r="M17" s="29"/>
      <c r="N17" s="29"/>
      <c r="O17" s="29"/>
      <c r="Q17" s="29"/>
      <c r="R17" s="29"/>
      <c r="S17" s="32"/>
      <c r="T17" s="32"/>
      <c r="V17" s="15"/>
      <c r="AD17" s="13"/>
      <c r="AE17" s="14"/>
      <c r="AF17" s="13"/>
    </row>
    <row r="18" spans="1:32" x14ac:dyDescent="0.25">
      <c r="A18" s="28"/>
      <c r="B18" s="28"/>
      <c r="C18" s="28"/>
      <c r="D18" s="31"/>
      <c r="E18" s="31"/>
      <c r="F18" s="31"/>
      <c r="G18" s="29"/>
      <c r="H18" s="32"/>
      <c r="I18" s="32"/>
      <c r="J18" s="32"/>
      <c r="K18" s="32"/>
      <c r="L18" s="29"/>
      <c r="M18" s="29"/>
      <c r="N18" s="29"/>
      <c r="O18" s="29"/>
      <c r="Q18" s="29"/>
      <c r="R18" s="29"/>
      <c r="S18" s="32"/>
      <c r="T18" s="32"/>
      <c r="V18" s="15"/>
      <c r="AD18" s="13"/>
      <c r="AE18" s="14"/>
      <c r="AF18" s="13"/>
    </row>
    <row r="19" spans="1:32" x14ac:dyDescent="0.25">
      <c r="A19" s="28" t="s">
        <v>182</v>
      </c>
      <c r="B19" s="44">
        <v>0.56545138888888891</v>
      </c>
      <c r="C19" s="28">
        <v>13.57</v>
      </c>
      <c r="D19" s="31">
        <v>401.7</v>
      </c>
      <c r="E19" s="31">
        <v>374</v>
      </c>
      <c r="F19" s="31">
        <v>212</v>
      </c>
      <c r="G19" s="29">
        <v>21.2</v>
      </c>
      <c r="H19" s="32">
        <v>0.20100000000000001</v>
      </c>
      <c r="I19" s="32">
        <v>4.3600000000000003</v>
      </c>
      <c r="J19" s="32">
        <v>20.12</v>
      </c>
      <c r="K19" s="32">
        <v>0.56000000000000005</v>
      </c>
      <c r="L19" s="29">
        <v>21.2</v>
      </c>
      <c r="M19" s="29">
        <v>13.84</v>
      </c>
      <c r="N19" s="29">
        <v>18.09</v>
      </c>
      <c r="O19" s="29">
        <v>30.1</v>
      </c>
      <c r="Q19" s="29">
        <v>28.1</v>
      </c>
      <c r="R19" s="29">
        <v>38.22</v>
      </c>
      <c r="S19" s="32">
        <v>0.219</v>
      </c>
      <c r="T19" s="32">
        <v>2.3359999999999999</v>
      </c>
      <c r="V19" s="15">
        <v>0.96299999999999997</v>
      </c>
      <c r="W19" s="8">
        <f>R19/0.95</f>
        <v>40.231578947368419</v>
      </c>
      <c r="X19" s="8">
        <f>N19/0.95</f>
        <v>19.042105263157897</v>
      </c>
      <c r="Y19" s="12">
        <f>I19*(1-(W19*V19+X19)/2/1000)/(W19*V19-X19)</f>
        <v>0.21491542601836097</v>
      </c>
      <c r="Z19" s="12">
        <f>T19*Y19/(T19-Y19)</f>
        <v>0.23669138012562679</v>
      </c>
      <c r="AA19" s="12">
        <f>T19/1.37</f>
        <v>1.7051094890510947</v>
      </c>
      <c r="AB19" s="12">
        <f>Z19/1.6</f>
        <v>0.14793211257851674</v>
      </c>
      <c r="AC19" s="12">
        <f>AA19*AB19/(AA19+AB19)</f>
        <v>0.13612238854819939</v>
      </c>
      <c r="AD19" s="13">
        <f>((AC19-I19/2/1000)*(D19-L19)/0.95-G19)/(AC19+I19/2/1000)</f>
        <v>234.61237187486697</v>
      </c>
      <c r="AE19" s="14">
        <f>AD19*0.95</f>
        <v>222.88175328112359</v>
      </c>
      <c r="AF19" s="13"/>
    </row>
    <row r="20" spans="1:32" x14ac:dyDescent="0.25">
      <c r="A20" s="28"/>
      <c r="B20" s="28"/>
      <c r="C20" s="28"/>
      <c r="D20" s="31">
        <v>193</v>
      </c>
      <c r="E20" s="31">
        <v>188</v>
      </c>
      <c r="F20" s="31">
        <v>188</v>
      </c>
      <c r="G20" s="29">
        <v>0.2</v>
      </c>
      <c r="H20" s="32">
        <v>0.67100000000000004</v>
      </c>
      <c r="I20" s="32">
        <v>10.5</v>
      </c>
      <c r="J20" s="32">
        <v>14.43</v>
      </c>
      <c r="K20" s="32">
        <v>0.99</v>
      </c>
      <c r="L20" s="29">
        <v>0.2</v>
      </c>
      <c r="M20" s="29">
        <v>14.02</v>
      </c>
      <c r="N20" s="29">
        <v>23.77</v>
      </c>
      <c r="O20" s="29">
        <v>29.5</v>
      </c>
      <c r="Q20" s="29">
        <v>28.1</v>
      </c>
      <c r="R20" s="29">
        <v>38.22</v>
      </c>
      <c r="S20" s="32">
        <v>1.133</v>
      </c>
      <c r="T20" s="32">
        <v>1.649</v>
      </c>
      <c r="V20" s="15">
        <v>0.96299999999999997</v>
      </c>
      <c r="W20" s="8">
        <f>R20/0.95</f>
        <v>40.231578947368419</v>
      </c>
      <c r="X20" s="8">
        <f>N20/0.95</f>
        <v>25.021052631578947</v>
      </c>
      <c r="Y20" s="12">
        <f>I20*(1-(W20*V20+X20)/2/1000)/(W20*V20-X20)</f>
        <v>0.74080089345850619</v>
      </c>
      <c r="Z20" s="12">
        <f>T20*Y20/(T20-Y20)</f>
        <v>1.3450582196286989</v>
      </c>
      <c r="AA20" s="12">
        <f>T20/1.37</f>
        <v>1.2036496350364962</v>
      </c>
      <c r="AB20" s="12">
        <f>Z20/1.6</f>
        <v>0.84066138726793671</v>
      </c>
      <c r="AC20" s="12">
        <f>AA20*AB20/(AA20+AB20)</f>
        <v>0.49496469027189105</v>
      </c>
      <c r="AD20" s="13">
        <f>((AC20-I20/2/1000)*(D20-L20)/0.95-G20)/(AC20+I20/2/1000)</f>
        <v>198.28747455197404</v>
      </c>
      <c r="AE20" s="14">
        <f>AD20*0.95</f>
        <v>188.37310082437534</v>
      </c>
      <c r="AF20" s="13"/>
    </row>
    <row r="21" spans="1:32" x14ac:dyDescent="0.25">
      <c r="A21" s="28"/>
      <c r="B21" s="28"/>
      <c r="C21" s="28"/>
      <c r="D21" s="24">
        <f>(D19+D20)/2</f>
        <v>297.35000000000002</v>
      </c>
      <c r="E21" s="24">
        <f>(E19+E20)/2</f>
        <v>281</v>
      </c>
      <c r="F21" s="24">
        <f>F19-F20</f>
        <v>24</v>
      </c>
      <c r="G21" s="25">
        <f>G19+G20</f>
        <v>21.4</v>
      </c>
      <c r="H21" s="26">
        <f>H19+H20</f>
        <v>0.87200000000000011</v>
      </c>
      <c r="I21" s="26">
        <f>I19+I20</f>
        <v>14.86</v>
      </c>
      <c r="J21" s="26">
        <f t="shared" ref="J21:O21" si="2">(J19+J20)/2</f>
        <v>17.274999999999999</v>
      </c>
      <c r="K21" s="26">
        <f t="shared" si="2"/>
        <v>0.77500000000000002</v>
      </c>
      <c r="L21" s="25">
        <f t="shared" si="2"/>
        <v>10.7</v>
      </c>
      <c r="M21" s="25">
        <f t="shared" si="2"/>
        <v>13.93</v>
      </c>
      <c r="N21" s="25">
        <f t="shared" si="2"/>
        <v>20.93</v>
      </c>
      <c r="O21" s="25">
        <f t="shared" si="2"/>
        <v>29.8</v>
      </c>
      <c r="Q21" s="29"/>
      <c r="R21" s="29"/>
      <c r="S21" s="26"/>
      <c r="T21" s="26"/>
      <c r="V21" s="15"/>
      <c r="AD21" s="45">
        <f>AD19-AD20</f>
        <v>36.324897322892923</v>
      </c>
      <c r="AE21" s="14"/>
      <c r="AF21" s="13">
        <f>(F14/0.95-F15/0.95)/G16*G21</f>
        <v>37.199420569773054</v>
      </c>
    </row>
    <row r="22" spans="1:32" x14ac:dyDescent="0.25">
      <c r="A22" s="28"/>
      <c r="B22" s="28"/>
      <c r="C22" s="28"/>
      <c r="D22" s="31"/>
      <c r="E22" s="31"/>
      <c r="F22" s="31"/>
      <c r="G22" s="29"/>
      <c r="H22" s="32"/>
      <c r="I22" s="32"/>
      <c r="J22" s="32"/>
      <c r="K22" s="32"/>
      <c r="L22" s="29"/>
      <c r="M22" s="29"/>
      <c r="N22" s="29"/>
      <c r="O22" s="29"/>
      <c r="Q22" s="29"/>
      <c r="R22" s="29"/>
      <c r="S22" s="32"/>
      <c r="T22" s="32"/>
      <c r="V22" s="15"/>
      <c r="AD22" s="13"/>
      <c r="AE22" s="14"/>
      <c r="AF22" s="13"/>
    </row>
    <row r="23" spans="1:32" x14ac:dyDescent="0.25">
      <c r="A23" s="28"/>
      <c r="B23" s="28"/>
      <c r="C23" s="28"/>
      <c r="D23" s="31"/>
      <c r="E23" s="31"/>
      <c r="F23" s="31"/>
      <c r="G23" s="29"/>
      <c r="H23" s="32"/>
      <c r="I23" s="32"/>
      <c r="J23" s="32"/>
      <c r="K23" s="32"/>
      <c r="L23" s="29"/>
      <c r="M23" s="29"/>
      <c r="N23" s="29"/>
      <c r="O23" s="29"/>
      <c r="Q23" s="29"/>
      <c r="R23" s="29"/>
      <c r="S23" s="32"/>
      <c r="T23" s="32"/>
      <c r="V23" s="15"/>
      <c r="AD23" s="13"/>
      <c r="AE23" s="14"/>
      <c r="AF23" s="13"/>
    </row>
    <row r="24" spans="1:32" x14ac:dyDescent="0.25">
      <c r="A24" s="28" t="s">
        <v>182</v>
      </c>
      <c r="B24" s="44">
        <v>0.60717592592592595</v>
      </c>
      <c r="C24" s="28">
        <v>14.57</v>
      </c>
      <c r="D24" s="31">
        <v>401</v>
      </c>
      <c r="E24" s="31">
        <v>378</v>
      </c>
      <c r="F24" s="31">
        <v>193</v>
      </c>
      <c r="G24" s="29">
        <v>18.7</v>
      </c>
      <c r="H24" s="32">
        <v>0.159</v>
      </c>
      <c r="I24" s="32">
        <v>4.28</v>
      </c>
      <c r="J24" s="32">
        <v>24.92</v>
      </c>
      <c r="K24" s="32">
        <v>0.5</v>
      </c>
      <c r="L24" s="29">
        <v>18.600000000000001</v>
      </c>
      <c r="M24" s="29">
        <v>9.0299999999999994</v>
      </c>
      <c r="N24" s="29">
        <v>13.21</v>
      </c>
      <c r="O24" s="29">
        <v>30</v>
      </c>
      <c r="Q24" s="29">
        <v>28.1</v>
      </c>
      <c r="R24" s="29">
        <v>38.130000000000003</v>
      </c>
      <c r="S24" s="32">
        <v>0.17100000000000001</v>
      </c>
      <c r="T24" s="32">
        <v>2.335</v>
      </c>
      <c r="V24" s="15">
        <v>0.97499999999999998</v>
      </c>
      <c r="W24" s="8">
        <f>R24/0.95</f>
        <v>40.136842105263163</v>
      </c>
      <c r="X24" s="8">
        <f>N24/0.95</f>
        <v>13.905263157894739</v>
      </c>
      <c r="Y24" s="12">
        <f>I24*(1-(W24*V24+X24)/2/1000)/(W24*V24-X24)</f>
        <v>0.16515265336351403</v>
      </c>
      <c r="Z24" s="12">
        <f>T24*Y24/(T24-Y24)</f>
        <v>0.17772284589585463</v>
      </c>
      <c r="AA24" s="12">
        <f>T24/1.37</f>
        <v>1.7043795620437954</v>
      </c>
      <c r="AB24" s="12">
        <f>Z24/1.6</f>
        <v>0.11107677868490914</v>
      </c>
      <c r="AC24" s="12">
        <f>AA24*AB24/(AA24+AB24)</f>
        <v>0.1042806633026665</v>
      </c>
      <c r="AD24" s="13">
        <f>((AC24-I24/2/1000)*(D24-L24)/0.95-G24)/(AC24+I24/2/1000)</f>
        <v>210.61985704569292</v>
      </c>
      <c r="AE24" s="14">
        <f>AD24*0.95</f>
        <v>200.08886419340826</v>
      </c>
      <c r="AF24" s="13"/>
    </row>
    <row r="25" spans="1:32" x14ac:dyDescent="0.25">
      <c r="A25" s="28"/>
      <c r="B25" s="28"/>
      <c r="C25" s="28"/>
      <c r="D25" s="31">
        <v>185.3</v>
      </c>
      <c r="E25" s="31">
        <v>182</v>
      </c>
      <c r="F25" s="31">
        <v>179</v>
      </c>
      <c r="G25" s="29">
        <v>0.2</v>
      </c>
      <c r="H25" s="32">
        <v>0.5</v>
      </c>
      <c r="I25" s="32">
        <v>10.36</v>
      </c>
      <c r="J25" s="32">
        <v>19.14</v>
      </c>
      <c r="K25" s="32">
        <v>0.98</v>
      </c>
      <c r="L25" s="29">
        <v>0.2</v>
      </c>
      <c r="M25" s="29">
        <v>9.2200000000000006</v>
      </c>
      <c r="N25" s="29">
        <v>18.97</v>
      </c>
      <c r="O25" s="29">
        <v>29.3</v>
      </c>
      <c r="Q25" s="29">
        <v>28.1</v>
      </c>
      <c r="R25" s="29">
        <v>38.130000000000003</v>
      </c>
      <c r="S25" s="32">
        <v>0.71799999999999997</v>
      </c>
      <c r="T25" s="32">
        <v>1.6459999999999999</v>
      </c>
      <c r="V25" s="15">
        <v>0.97499999999999998</v>
      </c>
      <c r="W25" s="8">
        <f>R25/0.95</f>
        <v>40.136842105263163</v>
      </c>
      <c r="X25" s="8">
        <f>N25/0.95</f>
        <v>19.96842105263158</v>
      </c>
      <c r="Y25" s="12">
        <f>I25*(1-(W25*V25+X25)/2/1000)/(W25*V25-X25)</f>
        <v>0.52459444079805562</v>
      </c>
      <c r="Z25" s="12">
        <f>T25*Y25/(T25-Y25)</f>
        <v>0.77000015067528516</v>
      </c>
      <c r="AA25" s="12">
        <f>T25/1.37</f>
        <v>1.2014598540145984</v>
      </c>
      <c r="AB25" s="12">
        <f>Z25/1.6</f>
        <v>0.48125009417205322</v>
      </c>
      <c r="AC25" s="12">
        <f>AA25*AB25/(AA25+AB25)</f>
        <v>0.34361398321294689</v>
      </c>
      <c r="AD25" s="13">
        <f>((AC25-I25/2/1000)*(D25-L25)/0.95-G25)/(AC25+I25/2/1000)</f>
        <v>188.48143301161898</v>
      </c>
      <c r="AE25" s="14">
        <f>AD25*0.95</f>
        <v>179.05736136103801</v>
      </c>
      <c r="AF25" s="13"/>
    </row>
    <row r="26" spans="1:32" x14ac:dyDescent="0.25">
      <c r="A26" s="28"/>
      <c r="B26" s="28"/>
      <c r="C26" s="28"/>
      <c r="D26" s="24">
        <f>(D24+D25)/2</f>
        <v>293.14999999999998</v>
      </c>
      <c r="E26" s="24">
        <f>(E24+E25)/2</f>
        <v>280</v>
      </c>
      <c r="F26" s="24">
        <f>F24-F25</f>
        <v>14</v>
      </c>
      <c r="G26" s="25">
        <f>G24+G25</f>
        <v>18.899999999999999</v>
      </c>
      <c r="H26" s="26">
        <f>H24+H25</f>
        <v>0.65900000000000003</v>
      </c>
      <c r="I26" s="26">
        <f>I24+I25</f>
        <v>14.64</v>
      </c>
      <c r="J26" s="26">
        <f t="shared" ref="J26:O26" si="3">(J24+J25)/2</f>
        <v>22.03</v>
      </c>
      <c r="K26" s="26">
        <f t="shared" si="3"/>
        <v>0.74</v>
      </c>
      <c r="L26" s="25">
        <f t="shared" si="3"/>
        <v>9.4</v>
      </c>
      <c r="M26" s="25">
        <f t="shared" si="3"/>
        <v>9.125</v>
      </c>
      <c r="N26" s="25">
        <f t="shared" si="3"/>
        <v>16.09</v>
      </c>
      <c r="O26" s="25">
        <f t="shared" si="3"/>
        <v>29.65</v>
      </c>
      <c r="Q26" s="29"/>
      <c r="R26" s="29"/>
      <c r="S26" s="26"/>
      <c r="T26" s="26"/>
      <c r="AD26" s="45">
        <f>AD24-AD25</f>
        <v>22.13842403407395</v>
      </c>
      <c r="AE26" s="14"/>
      <c r="AF26" s="13">
        <f>(F19/0.95-F20/0.95)/G21*G26</f>
        <v>22.31185440236105</v>
      </c>
    </row>
    <row r="27" spans="1:32" x14ac:dyDescent="0.2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</row>
    <row r="28" spans="1:32" x14ac:dyDescent="0.2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</row>
    <row r="29" spans="1:32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</row>
    <row r="30" spans="1:32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</row>
    <row r="31" spans="1:32" x14ac:dyDescent="0.25">
      <c r="C31" t="s">
        <v>42</v>
      </c>
      <c r="D31" t="s">
        <v>43</v>
      </c>
    </row>
    <row r="32" spans="1:32" x14ac:dyDescent="0.25">
      <c r="C32" t="s">
        <v>44</v>
      </c>
      <c r="D32" t="s">
        <v>45</v>
      </c>
    </row>
    <row r="33" spans="3:26" x14ac:dyDescent="0.25">
      <c r="C33" t="s">
        <v>46</v>
      </c>
      <c r="D33" t="s">
        <v>47</v>
      </c>
    </row>
    <row r="34" spans="3:26" x14ac:dyDescent="0.25">
      <c r="C34" t="s">
        <v>48</v>
      </c>
      <c r="D34" t="s">
        <v>49</v>
      </c>
    </row>
    <row r="35" spans="3:26" x14ac:dyDescent="0.25">
      <c r="C35" t="s">
        <v>50</v>
      </c>
      <c r="D35" t="s">
        <v>51</v>
      </c>
    </row>
    <row r="36" spans="3:26" x14ac:dyDescent="0.25">
      <c r="C36" t="s">
        <v>52</v>
      </c>
      <c r="D36" t="s">
        <v>53</v>
      </c>
      <c r="X36" s="21"/>
    </row>
    <row r="37" spans="3:26" x14ac:dyDescent="0.25">
      <c r="C37" t="s">
        <v>54</v>
      </c>
      <c r="D37" t="s">
        <v>55</v>
      </c>
    </row>
    <row r="38" spans="3:26" x14ac:dyDescent="0.25">
      <c r="C38" t="s">
        <v>56</v>
      </c>
      <c r="D38" t="s">
        <v>57</v>
      </c>
    </row>
    <row r="39" spans="3:26" x14ac:dyDescent="0.25">
      <c r="C39" t="s">
        <v>58</v>
      </c>
      <c r="D39" t="s">
        <v>59</v>
      </c>
    </row>
    <row r="40" spans="3:26" x14ac:dyDescent="0.25">
      <c r="C40" t="s">
        <v>60</v>
      </c>
      <c r="D40" t="s">
        <v>61</v>
      </c>
    </row>
    <row r="41" spans="3:26" x14ac:dyDescent="0.25">
      <c r="C41" t="s">
        <v>62</v>
      </c>
      <c r="D41" t="s">
        <v>63</v>
      </c>
    </row>
    <row r="42" spans="3:26" x14ac:dyDescent="0.25">
      <c r="C42" t="s">
        <v>64</v>
      </c>
      <c r="D42" t="s">
        <v>65</v>
      </c>
    </row>
    <row r="43" spans="3:26" x14ac:dyDescent="0.25">
      <c r="C43" t="s">
        <v>70</v>
      </c>
      <c r="D43" t="s">
        <v>71</v>
      </c>
    </row>
    <row r="44" spans="3:26" x14ac:dyDescent="0.25">
      <c r="C44" t="s">
        <v>72</v>
      </c>
      <c r="D44" t="s">
        <v>73</v>
      </c>
    </row>
    <row r="45" spans="3:26" x14ac:dyDescent="0.25">
      <c r="C45" t="s">
        <v>74</v>
      </c>
      <c r="D45" t="s">
        <v>75</v>
      </c>
    </row>
    <row r="46" spans="3:26" x14ac:dyDescent="0.25">
      <c r="C46" t="s">
        <v>76</v>
      </c>
      <c r="D46" t="s">
        <v>77</v>
      </c>
    </row>
    <row r="47" spans="3:26" x14ac:dyDescent="0.25">
      <c r="C47" t="s">
        <v>84</v>
      </c>
      <c r="D47" t="s">
        <v>170</v>
      </c>
      <c r="P47" s="16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3:26" x14ac:dyDescent="0.25">
      <c r="C48" t="s">
        <v>171</v>
      </c>
      <c r="D48" t="s">
        <v>172</v>
      </c>
    </row>
    <row r="49" spans="3:14" x14ac:dyDescent="0.25">
      <c r="C49" t="s">
        <v>90</v>
      </c>
      <c r="D49" t="s">
        <v>51</v>
      </c>
    </row>
    <row r="50" spans="3:14" x14ac:dyDescent="0.25">
      <c r="C50" t="s">
        <v>91</v>
      </c>
      <c r="D50" t="s">
        <v>75</v>
      </c>
    </row>
    <row r="51" spans="3:14" x14ac:dyDescent="0.25">
      <c r="C51" t="s">
        <v>98</v>
      </c>
      <c r="D51" t="s">
        <v>99</v>
      </c>
    </row>
    <row r="52" spans="3:14" x14ac:dyDescent="0.25">
      <c r="C52" t="s">
        <v>94</v>
      </c>
      <c r="D52" t="s">
        <v>95</v>
      </c>
    </row>
    <row r="53" spans="3:14" x14ac:dyDescent="0.25">
      <c r="C53" t="s">
        <v>173</v>
      </c>
      <c r="D53" t="s">
        <v>174</v>
      </c>
    </row>
    <row r="54" spans="3:14" x14ac:dyDescent="0.25">
      <c r="C54" t="s">
        <v>169</v>
      </c>
      <c r="D54" s="16" t="s">
        <v>102</v>
      </c>
      <c r="E54" s="17"/>
      <c r="F54" s="17"/>
      <c r="G54" s="17"/>
      <c r="H54" s="17"/>
      <c r="I54" s="17"/>
      <c r="J54" s="17"/>
      <c r="K54" s="17"/>
      <c r="L54" s="17"/>
      <c r="M54" s="17"/>
      <c r="N54" s="17"/>
    </row>
    <row r="55" spans="3:14" x14ac:dyDescent="0.25">
      <c r="C55" t="s">
        <v>46</v>
      </c>
      <c r="D55" t="s">
        <v>47</v>
      </c>
    </row>
    <row r="57" spans="3:14" x14ac:dyDescent="0.25">
      <c r="D57" s="16"/>
      <c r="E57" s="17"/>
      <c r="F57" s="17"/>
      <c r="G57" s="17"/>
      <c r="H57" s="17"/>
      <c r="I57" s="17"/>
      <c r="J57" s="17"/>
      <c r="K57" s="17"/>
      <c r="L57" s="17"/>
      <c r="M57" s="17"/>
      <c r="N57" s="17"/>
    </row>
  </sheetData>
  <mergeCells count="2">
    <mergeCell ref="D5:T5"/>
    <mergeCell ref="V5:A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Cotton 20090307</vt:lpstr>
      <vt:lpstr>Sunflower 20210218</vt:lpstr>
      <vt:lpstr>Cotton 20210318</vt:lpstr>
      <vt:lpstr>Cotton 20210329</vt:lpstr>
      <vt:lpstr>Cotton 20210219</vt:lpstr>
      <vt:lpstr>Sunflower 20180606</vt:lpstr>
      <vt:lpstr>Cotton 20180621</vt:lpstr>
      <vt:lpstr>E pauciflora 20090212</vt:lpstr>
      <vt:lpstr>Phaseolus vulgaris 20090319</vt:lpstr>
      <vt:lpstr>Xanthium 20100204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Márquez Antivilo</dc:creator>
  <cp:lastModifiedBy>Diego Marquez Antivilo</cp:lastModifiedBy>
  <dcterms:created xsi:type="dcterms:W3CDTF">2015-06-05T18:17:20Z</dcterms:created>
  <dcterms:modified xsi:type="dcterms:W3CDTF">2022-01-14T05:24:19Z</dcterms:modified>
</cp:coreProperties>
</file>