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3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0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drawings/drawing5.xml" ContentType="application/vnd.openxmlformats-officedocument.drawingml.chartshapes+xml"/>
  <Override PartName="/xl/charts/chart51.xml" ContentType="application/vnd.openxmlformats-officedocument.drawingml.chart+xml"/>
  <Override PartName="/xl/drawings/drawing6.xml" ContentType="application/vnd.openxmlformats-officedocument.drawingml.chartshapes+xml"/>
  <Override PartName="/xl/charts/chart52.xml" ContentType="application/vnd.openxmlformats-officedocument.drawingml.chart+xml"/>
  <Override PartName="/xl/drawings/drawing7.xml" ContentType="application/vnd.openxmlformats-officedocument.drawingml.chartshapes+xml"/>
  <Override PartName="/xl/charts/chart53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drawings/drawing10.xml" ContentType="application/vnd.openxmlformats-officedocument.drawingml.chartshapes+xml"/>
  <Override PartName="/xl/charts/chart63.xml" ContentType="application/vnd.openxmlformats-officedocument.drawingml.chart+xml"/>
  <Override PartName="/xl/drawings/drawing11.xml" ContentType="application/vnd.openxmlformats-officedocument.drawingml.chartshapes+xml"/>
  <Override PartName="/xl/charts/chart64.xml" ContentType="application/vnd.openxmlformats-officedocument.drawingml.chart+xml"/>
  <Override PartName="/xl/drawings/drawing12.xml" ContentType="application/vnd.openxmlformats-officedocument.drawingml.chartshapes+xml"/>
  <Override PartName="/xl/charts/chart65.xml" ContentType="application/vnd.openxmlformats-officedocument.drawingml.chart+xml"/>
  <Override PartName="/xl/drawings/drawing1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Min.Tang\My Libraries\My Library\projects\HostSymbiontCoevo2heat\manuscript\submission\"/>
    </mc:Choice>
  </mc:AlternateContent>
  <xr:revisionPtr revIDLastSave="0" documentId="13_ncr:1_{2BC47717-2DF5-428D-86C1-6845B9D72F89}" xr6:coauthVersionLast="47" xr6:coauthVersionMax="47" xr10:uidLastSave="{00000000-0000-0000-0000-000000000000}"/>
  <bookViews>
    <workbookView xWindow="57480" yWindow="3150" windowWidth="29040" windowHeight="15840" tabRatio="947" activeTab="4" xr2:uid="{00000000-000D-0000-FFFF-FFFF00000000}"/>
  </bookViews>
  <sheets>
    <sheet name="gut" sheetId="3" r:id="rId1"/>
    <sheet name="gut&amp;honey" sheetId="4" r:id="rId2"/>
    <sheet name="beebread" sheetId="5" r:id="rId3"/>
    <sheet name="JNbeebread" sheetId="9" r:id="rId4"/>
    <sheet name="inoculation" sheetId="8" r:id="rId5"/>
  </sheets>
  <externalReferences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9" i="3" l="1"/>
  <c r="AA69" i="8"/>
  <c r="Y69" i="8"/>
  <c r="W69" i="8"/>
  <c r="S69" i="8"/>
  <c r="Q69" i="8"/>
  <c r="N69" i="8"/>
  <c r="O69" i="8" s="1"/>
  <c r="K69" i="8"/>
  <c r="L69" i="8" s="1"/>
  <c r="C69" i="8"/>
  <c r="AA68" i="8"/>
  <c r="Y68" i="8"/>
  <c r="W68" i="8"/>
  <c r="U68" i="8"/>
  <c r="S68" i="8"/>
  <c r="Q68" i="8"/>
  <c r="N68" i="8"/>
  <c r="O68" i="8" s="1"/>
  <c r="K68" i="8"/>
  <c r="L68" i="8" s="1"/>
  <c r="C68" i="8"/>
  <c r="AA67" i="8"/>
  <c r="Y67" i="8"/>
  <c r="W67" i="8"/>
  <c r="S67" i="8"/>
  <c r="Q67" i="8"/>
  <c r="N67" i="8"/>
  <c r="O67" i="8" s="1"/>
  <c r="K67" i="8"/>
  <c r="L67" i="8" s="1"/>
  <c r="C67" i="8"/>
  <c r="AA66" i="8"/>
  <c r="Y66" i="8"/>
  <c r="W66" i="8"/>
  <c r="S66" i="8"/>
  <c r="Q66" i="8"/>
  <c r="N66" i="8"/>
  <c r="O66" i="8" s="1"/>
  <c r="K66" i="8"/>
  <c r="L66" i="8" s="1"/>
  <c r="C66" i="8"/>
  <c r="AA65" i="8"/>
  <c r="Y65" i="8"/>
  <c r="W65" i="8"/>
  <c r="U65" i="8"/>
  <c r="S65" i="8"/>
  <c r="Q65" i="8"/>
  <c r="N65" i="8"/>
  <c r="O65" i="8" s="1"/>
  <c r="K65" i="8"/>
  <c r="L65" i="8" s="1"/>
  <c r="C65" i="8"/>
  <c r="AA64" i="8"/>
  <c r="Y64" i="8"/>
  <c r="W64" i="8"/>
  <c r="U64" i="8"/>
  <c r="S64" i="8"/>
  <c r="Q64" i="8"/>
  <c r="N64" i="8"/>
  <c r="O64" i="8" s="1"/>
  <c r="K64" i="8"/>
  <c r="L64" i="8" s="1"/>
  <c r="C64" i="8"/>
  <c r="AA63" i="8"/>
  <c r="Y63" i="8"/>
  <c r="W63" i="8"/>
  <c r="U63" i="8"/>
  <c r="S63" i="8"/>
  <c r="Q63" i="8"/>
  <c r="N63" i="8"/>
  <c r="O63" i="8" s="1"/>
  <c r="K63" i="8"/>
  <c r="L63" i="8" s="1"/>
  <c r="C63" i="8"/>
  <c r="AA62" i="8"/>
  <c r="Y62" i="8"/>
  <c r="W62" i="8"/>
  <c r="U62" i="8"/>
  <c r="S62" i="8"/>
  <c r="Q62" i="8"/>
  <c r="O62" i="8"/>
  <c r="K62" i="8"/>
  <c r="L62" i="8" s="1"/>
  <c r="G62" i="8"/>
  <c r="E62" i="8"/>
  <c r="C62" i="8"/>
  <c r="AA61" i="8"/>
  <c r="Y61" i="8"/>
  <c r="W61" i="8"/>
  <c r="U61" i="8"/>
  <c r="S61" i="8"/>
  <c r="Q61" i="8"/>
  <c r="N61" i="8"/>
  <c r="O61" i="8" s="1"/>
  <c r="K61" i="8"/>
  <c r="L61" i="8" s="1"/>
  <c r="G61" i="8"/>
  <c r="E61" i="8"/>
  <c r="C61" i="8"/>
  <c r="AA60" i="8"/>
  <c r="S60" i="8"/>
  <c r="Q60" i="8"/>
  <c r="N60" i="8"/>
  <c r="O60" i="8" s="1"/>
  <c r="K60" i="8"/>
  <c r="L60" i="8" s="1"/>
  <c r="C60" i="8"/>
  <c r="AA59" i="8"/>
  <c r="Y59" i="8"/>
  <c r="W59" i="8"/>
  <c r="U59" i="8"/>
  <c r="S59" i="8"/>
  <c r="Q59" i="8"/>
  <c r="N59" i="8"/>
  <c r="O59" i="8" s="1"/>
  <c r="K59" i="8"/>
  <c r="L59" i="8" s="1"/>
  <c r="C59" i="8"/>
  <c r="AA58" i="8"/>
  <c r="Y58" i="8"/>
  <c r="W58" i="8"/>
  <c r="U58" i="8"/>
  <c r="S58" i="8"/>
  <c r="Q58" i="8"/>
  <c r="N58" i="8"/>
  <c r="O58" i="8" s="1"/>
  <c r="K58" i="8"/>
  <c r="L58" i="8" s="1"/>
  <c r="C58" i="8"/>
  <c r="AA57" i="8"/>
  <c r="Y57" i="8"/>
  <c r="W57" i="8"/>
  <c r="U57" i="8"/>
  <c r="S57" i="8"/>
  <c r="Q57" i="8"/>
  <c r="N57" i="8"/>
  <c r="O57" i="8" s="1"/>
  <c r="K57" i="8"/>
  <c r="L57" i="8" s="1"/>
  <c r="C57" i="8"/>
  <c r="AA56" i="8"/>
  <c r="Y56" i="8"/>
  <c r="W56" i="8"/>
  <c r="S56" i="8"/>
  <c r="Q56" i="8"/>
  <c r="N56" i="8"/>
  <c r="O56" i="8" s="1"/>
  <c r="K56" i="8"/>
  <c r="L56" i="8" s="1"/>
  <c r="C56" i="8"/>
  <c r="AA55" i="8"/>
  <c r="Y55" i="8"/>
  <c r="W55" i="8"/>
  <c r="U55" i="8"/>
  <c r="S55" i="8"/>
  <c r="Q55" i="8"/>
  <c r="N55" i="8"/>
  <c r="O55" i="8" s="1"/>
  <c r="K55" i="8"/>
  <c r="L55" i="8" s="1"/>
  <c r="I55" i="8"/>
  <c r="G55" i="8"/>
  <c r="E55" i="8"/>
  <c r="C55" i="8"/>
  <c r="AA54" i="8"/>
  <c r="Y54" i="8"/>
  <c r="W54" i="8"/>
  <c r="U54" i="8"/>
  <c r="S54" i="8"/>
  <c r="Q54" i="8"/>
  <c r="N54" i="8"/>
  <c r="O54" i="8" s="1"/>
  <c r="K54" i="8"/>
  <c r="L54" i="8" s="1"/>
  <c r="C54" i="8"/>
  <c r="AA53" i="8"/>
  <c r="Y53" i="8"/>
  <c r="W53" i="8"/>
  <c r="U53" i="8"/>
  <c r="S53" i="8"/>
  <c r="Q53" i="8"/>
  <c r="N53" i="8"/>
  <c r="O53" i="8" s="1"/>
  <c r="K53" i="8"/>
  <c r="L53" i="8" s="1"/>
  <c r="I53" i="8"/>
  <c r="G53" i="8"/>
  <c r="E53" i="8"/>
  <c r="C53" i="8"/>
  <c r="AA52" i="8"/>
  <c r="Y52" i="8"/>
  <c r="W52" i="8"/>
  <c r="U52" i="8"/>
  <c r="S52" i="8"/>
  <c r="Q52" i="8"/>
  <c r="N52" i="8"/>
  <c r="O52" i="8" s="1"/>
  <c r="K52" i="8"/>
  <c r="L52" i="8" s="1"/>
  <c r="G52" i="8"/>
  <c r="C52" i="8"/>
  <c r="AA51" i="8"/>
  <c r="Y51" i="8"/>
  <c r="W51" i="8"/>
  <c r="U51" i="8"/>
  <c r="S51" i="8"/>
  <c r="Q51" i="8"/>
  <c r="N51" i="8"/>
  <c r="O51" i="8" s="1"/>
  <c r="K51" i="8"/>
  <c r="L51" i="8" s="1"/>
  <c r="G51" i="8"/>
  <c r="C51" i="8"/>
  <c r="AA50" i="8"/>
  <c r="Y50" i="8"/>
  <c r="W50" i="8"/>
  <c r="U50" i="8"/>
  <c r="S50" i="8"/>
  <c r="Q50" i="8"/>
  <c r="N50" i="8"/>
  <c r="O50" i="8" s="1"/>
  <c r="K50" i="8"/>
  <c r="L50" i="8" s="1"/>
  <c r="C50" i="8"/>
  <c r="AA49" i="8"/>
  <c r="Y49" i="8"/>
  <c r="W49" i="8"/>
  <c r="U49" i="8"/>
  <c r="S49" i="8"/>
  <c r="Q49" i="8"/>
  <c r="N49" i="8"/>
  <c r="O49" i="8" s="1"/>
  <c r="K49" i="8"/>
  <c r="L49" i="8" s="1"/>
  <c r="C49" i="8"/>
  <c r="AA48" i="8"/>
  <c r="Y48" i="8"/>
  <c r="W48" i="8"/>
  <c r="U48" i="8"/>
  <c r="S48" i="8"/>
  <c r="Q48" i="8"/>
  <c r="N48" i="8"/>
  <c r="O48" i="8" s="1"/>
  <c r="K48" i="8"/>
  <c r="L48" i="8" s="1"/>
  <c r="G48" i="8"/>
  <c r="C48" i="8"/>
  <c r="AA47" i="8"/>
  <c r="Y47" i="8"/>
  <c r="W47" i="8"/>
  <c r="U47" i="8"/>
  <c r="S47" i="8"/>
  <c r="Q47" i="8"/>
  <c r="N47" i="8"/>
  <c r="O47" i="8" s="1"/>
  <c r="K47" i="8"/>
  <c r="L47" i="8" s="1"/>
  <c r="G47" i="8"/>
  <c r="C47" i="8"/>
  <c r="AA46" i="8"/>
  <c r="Y46" i="8"/>
  <c r="W46" i="8"/>
  <c r="U46" i="8"/>
  <c r="S46" i="8"/>
  <c r="Q46" i="8"/>
  <c r="N46" i="8"/>
  <c r="O46" i="8" s="1"/>
  <c r="K46" i="8"/>
  <c r="L46" i="8" s="1"/>
  <c r="G46" i="8"/>
  <c r="C46" i="8"/>
  <c r="AA45" i="8"/>
  <c r="Y45" i="8"/>
  <c r="W45" i="8"/>
  <c r="U45" i="8"/>
  <c r="S45" i="8"/>
  <c r="Q45" i="8"/>
  <c r="N45" i="8"/>
  <c r="O45" i="8" s="1"/>
  <c r="K45" i="8"/>
  <c r="L45" i="8" s="1"/>
  <c r="C45" i="8"/>
  <c r="AA44" i="8"/>
  <c r="Y44" i="8"/>
  <c r="W44" i="8"/>
  <c r="U44" i="8"/>
  <c r="S44" i="8"/>
  <c r="Q44" i="8"/>
  <c r="N44" i="8"/>
  <c r="O44" i="8" s="1"/>
  <c r="K44" i="8"/>
  <c r="L44" i="8" s="1"/>
  <c r="G44" i="8"/>
  <c r="C44" i="8"/>
  <c r="AA43" i="8"/>
  <c r="Y43" i="8"/>
  <c r="W43" i="8"/>
  <c r="U43" i="8"/>
  <c r="S43" i="8"/>
  <c r="Q43" i="8"/>
  <c r="N43" i="8"/>
  <c r="O43" i="8" s="1"/>
  <c r="K43" i="8"/>
  <c r="L43" i="8" s="1"/>
  <c r="G43" i="8"/>
  <c r="E43" i="8"/>
  <c r="C43" i="8"/>
  <c r="AA42" i="8"/>
  <c r="Y42" i="8"/>
  <c r="W42" i="8"/>
  <c r="U42" i="8"/>
  <c r="S42" i="8"/>
  <c r="Q42" i="8"/>
  <c r="N42" i="8"/>
  <c r="O42" i="8" s="1"/>
  <c r="K42" i="8"/>
  <c r="L42" i="8" s="1"/>
  <c r="G42" i="8"/>
  <c r="C42" i="8"/>
  <c r="AA41" i="8"/>
  <c r="Y41" i="8"/>
  <c r="W41" i="8"/>
  <c r="U41" i="8"/>
  <c r="S41" i="8"/>
  <c r="Q41" i="8"/>
  <c r="N41" i="8"/>
  <c r="O41" i="8" s="1"/>
  <c r="K41" i="8"/>
  <c r="L41" i="8" s="1"/>
  <c r="G41" i="8"/>
  <c r="E41" i="8"/>
  <c r="C41" i="8"/>
  <c r="U42" i="9" l="1"/>
  <c r="U43" i="9"/>
  <c r="U44" i="9"/>
  <c r="U45" i="9"/>
  <c r="U46" i="9"/>
  <c r="U47" i="9"/>
  <c r="U48" i="9"/>
  <c r="U49" i="9"/>
  <c r="U41" i="9"/>
  <c r="I42" i="9"/>
  <c r="I43" i="9"/>
  <c r="I44" i="9"/>
  <c r="I45" i="9"/>
  <c r="I46" i="9"/>
  <c r="I47" i="9"/>
  <c r="I48" i="9"/>
  <c r="I49" i="9"/>
  <c r="I41" i="9"/>
  <c r="E42" i="9"/>
  <c r="E43" i="9"/>
  <c r="E44" i="9"/>
  <c r="E45" i="9"/>
  <c r="E46" i="9"/>
  <c r="E47" i="9"/>
  <c r="E48" i="9"/>
  <c r="E49" i="9"/>
  <c r="E41" i="9"/>
  <c r="S42" i="9"/>
  <c r="S43" i="9"/>
  <c r="S44" i="9"/>
  <c r="S45" i="9"/>
  <c r="S46" i="9"/>
  <c r="S47" i="9"/>
  <c r="S48" i="9"/>
  <c r="S49" i="9"/>
  <c r="S41" i="9"/>
  <c r="S41" i="5"/>
  <c r="S42" i="5"/>
  <c r="S43" i="5"/>
  <c r="S44" i="5"/>
  <c r="S45" i="5"/>
  <c r="S46" i="5"/>
  <c r="S47" i="5"/>
  <c r="S48" i="5"/>
  <c r="S49" i="5"/>
  <c r="S50" i="5"/>
  <c r="S51" i="5"/>
  <c r="S52" i="5"/>
  <c r="S53" i="5"/>
  <c r="S54" i="5"/>
  <c r="S55" i="5"/>
  <c r="S56" i="5"/>
  <c r="S57" i="5"/>
  <c r="S58" i="5"/>
  <c r="S59" i="5"/>
  <c r="S60" i="5"/>
  <c r="S61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S43" i="4"/>
  <c r="S44" i="4"/>
  <c r="S45" i="4"/>
  <c r="S46" i="4"/>
  <c r="S48" i="4"/>
  <c r="S50" i="4"/>
  <c r="S51" i="4"/>
  <c r="S52" i="4"/>
  <c r="S54" i="4"/>
  <c r="S59" i="4"/>
  <c r="S60" i="4"/>
  <c r="S62" i="4"/>
  <c r="S66" i="4"/>
  <c r="S67" i="4"/>
  <c r="S69" i="4"/>
  <c r="S70" i="4"/>
  <c r="S71" i="4"/>
  <c r="S73" i="4"/>
  <c r="S74" i="4"/>
  <c r="S75" i="4"/>
  <c r="S76" i="4"/>
  <c r="S77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6" i="4"/>
  <c r="S111" i="4"/>
  <c r="S112" i="4"/>
  <c r="S113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2" i="4"/>
  <c r="S153" i="4"/>
  <c r="S154" i="4"/>
  <c r="S156" i="4"/>
  <c r="S157" i="4"/>
  <c r="S158" i="4"/>
  <c r="S159" i="4"/>
  <c r="S160" i="4"/>
  <c r="S161" i="4"/>
  <c r="S162" i="4"/>
  <c r="S163" i="4"/>
  <c r="S165" i="4"/>
  <c r="S166" i="4"/>
  <c r="S167" i="4"/>
  <c r="S168" i="4"/>
  <c r="S169" i="4"/>
  <c r="S170" i="4"/>
  <c r="S172" i="4"/>
  <c r="S173" i="4"/>
  <c r="S174" i="4"/>
  <c r="S175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Q116" i="4"/>
  <c r="Q117" i="4"/>
  <c r="Q118" i="4"/>
  <c r="Q119" i="4"/>
  <c r="Q120" i="4"/>
  <c r="Q121" i="4"/>
  <c r="Q122" i="4"/>
  <c r="Q123" i="4"/>
  <c r="Q124" i="4"/>
  <c r="Q125" i="4"/>
  <c r="Q126" i="4"/>
  <c r="Q127" i="4"/>
  <c r="Q128" i="4"/>
  <c r="Q129" i="4"/>
  <c r="Q130" i="4"/>
  <c r="Q131" i="4"/>
  <c r="Q132" i="4"/>
  <c r="Q133" i="4"/>
  <c r="Q134" i="4"/>
  <c r="Q135" i="4"/>
  <c r="Q136" i="4"/>
  <c r="Q137" i="4"/>
  <c r="Q138" i="4"/>
  <c r="Q139" i="4"/>
  <c r="Q140" i="4"/>
  <c r="Q141" i="4"/>
  <c r="Q142" i="4"/>
  <c r="Q143" i="4"/>
  <c r="Q144" i="4"/>
  <c r="Q145" i="4"/>
  <c r="Q146" i="4"/>
  <c r="Q147" i="4"/>
  <c r="Q148" i="4"/>
  <c r="Q149" i="4"/>
  <c r="Q150" i="4"/>
  <c r="Q151" i="4"/>
  <c r="Q152" i="4"/>
  <c r="Q153" i="4"/>
  <c r="Q154" i="4"/>
  <c r="Q155" i="4"/>
  <c r="Q156" i="4"/>
  <c r="Q157" i="4"/>
  <c r="Q158" i="4"/>
  <c r="Q159" i="4"/>
  <c r="Q160" i="4"/>
  <c r="Q161" i="4"/>
  <c r="Q162" i="4"/>
  <c r="Q163" i="4"/>
  <c r="Q164" i="4"/>
  <c r="Q165" i="4"/>
  <c r="Q166" i="4"/>
  <c r="Q167" i="4"/>
  <c r="Q168" i="4"/>
  <c r="Q169" i="4"/>
  <c r="Q170" i="4"/>
  <c r="Q171" i="4"/>
  <c r="Q172" i="4"/>
  <c r="Q173" i="4"/>
  <c r="Q174" i="4"/>
  <c r="Q175" i="4"/>
  <c r="Q176" i="4"/>
  <c r="Q177" i="4"/>
  <c r="Q178" i="4"/>
  <c r="Q179" i="4"/>
  <c r="Q180" i="4"/>
  <c r="Q181" i="4"/>
  <c r="Q182" i="4"/>
  <c r="Q183" i="4"/>
  <c r="Q184" i="4"/>
  <c r="Q185" i="4"/>
  <c r="Q186" i="4"/>
  <c r="Q187" i="4"/>
  <c r="Q188" i="4"/>
  <c r="Q189" i="4"/>
  <c r="Q190" i="4"/>
  <c r="Q191" i="4"/>
  <c r="Q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O186" i="4"/>
  <c r="O187" i="4"/>
  <c r="O188" i="4"/>
  <c r="O189" i="4"/>
  <c r="O190" i="4"/>
  <c r="O191" i="4"/>
  <c r="O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G43" i="4"/>
  <c r="G44" i="4"/>
  <c r="G45" i="4"/>
  <c r="G46" i="4"/>
  <c r="G47" i="4"/>
  <c r="G48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3" i="4"/>
  <c r="G74" i="4"/>
  <c r="G75" i="4"/>
  <c r="G76" i="4"/>
  <c r="G77" i="4"/>
  <c r="G78" i="4"/>
  <c r="G79" i="4"/>
  <c r="G80" i="4"/>
  <c r="G81" i="4"/>
  <c r="G82" i="4"/>
  <c r="G83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E47" i="4"/>
  <c r="E48" i="4"/>
  <c r="E55" i="4"/>
  <c r="E56" i="4"/>
  <c r="E57" i="4"/>
  <c r="E64" i="4"/>
  <c r="E65" i="4"/>
  <c r="E66" i="4"/>
  <c r="E67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3" i="4"/>
  <c r="E184" i="4"/>
  <c r="E185" i="4"/>
  <c r="E186" i="4"/>
  <c r="E187" i="4"/>
  <c r="E188" i="4"/>
  <c r="E189" i="4"/>
  <c r="E191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7" i="4"/>
  <c r="C178" i="4"/>
  <c r="C179" i="4"/>
  <c r="C180" i="4"/>
  <c r="C181" i="4"/>
  <c r="C182" i="4"/>
  <c r="C184" i="4"/>
  <c r="C42" i="4"/>
  <c r="S42" i="3"/>
  <c r="S43" i="3"/>
  <c r="S45" i="3"/>
  <c r="S46" i="3"/>
  <c r="S49" i="3"/>
  <c r="S50" i="3"/>
  <c r="S51" i="3"/>
  <c r="S52" i="3"/>
  <c r="S53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6" i="3"/>
  <c r="S77" i="3"/>
  <c r="S78" i="3"/>
  <c r="S80" i="3"/>
  <c r="S82" i="3"/>
  <c r="S83" i="3"/>
  <c r="S86" i="3"/>
  <c r="S90" i="3"/>
  <c r="S92" i="3"/>
  <c r="S93" i="3"/>
  <c r="S96" i="3"/>
  <c r="S97" i="3"/>
  <c r="S98" i="3"/>
  <c r="S99" i="3"/>
  <c r="S100" i="3"/>
  <c r="S101" i="3"/>
  <c r="S102" i="3"/>
  <c r="S41" i="3"/>
  <c r="Q42" i="3"/>
  <c r="Q43" i="3"/>
  <c r="Q44" i="3"/>
  <c r="Q45" i="3"/>
  <c r="Q46" i="3"/>
  <c r="Q47" i="3"/>
  <c r="Q48" i="3"/>
  <c r="Q49" i="3"/>
  <c r="Q50" i="3"/>
  <c r="Q51" i="3"/>
  <c r="Q53" i="3"/>
  <c r="Q54" i="3"/>
  <c r="Q55" i="3"/>
  <c r="Q56" i="3"/>
  <c r="Q57" i="3"/>
  <c r="Q58" i="3"/>
  <c r="Q59" i="3"/>
  <c r="Q60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Q101" i="3"/>
  <c r="Q102" i="3"/>
  <c r="Q41" i="3"/>
  <c r="O42" i="3"/>
  <c r="O43" i="3"/>
  <c r="O44" i="3"/>
  <c r="O45" i="3"/>
  <c r="O46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41" i="3"/>
  <c r="K42" i="4"/>
  <c r="I42" i="4"/>
  <c r="G42" i="4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9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41" i="3"/>
  <c r="E45" i="3"/>
  <c r="E46" i="3"/>
  <c r="E47" i="3"/>
  <c r="E49" i="3"/>
  <c r="E50" i="3"/>
  <c r="E51" i="3"/>
  <c r="E52" i="3"/>
  <c r="E53" i="3"/>
  <c r="E55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2" i="3"/>
  <c r="E74" i="3"/>
  <c r="E75" i="3"/>
  <c r="E76" i="3"/>
  <c r="E77" i="3"/>
  <c r="E78" i="3"/>
  <c r="E79" i="3"/>
  <c r="E80" i="3"/>
  <c r="E81" i="3"/>
  <c r="E82" i="3"/>
  <c r="E86" i="3"/>
  <c r="E92" i="3"/>
  <c r="E93" i="3"/>
  <c r="E94" i="3"/>
  <c r="E95" i="3"/>
  <c r="E96" i="3"/>
  <c r="E97" i="3"/>
  <c r="E98" i="3"/>
  <c r="E99" i="3"/>
  <c r="E100" i="3"/>
  <c r="E101" i="3"/>
  <c r="E102" i="3"/>
  <c r="C42" i="9"/>
  <c r="C43" i="9"/>
  <c r="C44" i="9"/>
  <c r="C45" i="9"/>
  <c r="C46" i="9"/>
  <c r="C47" i="9"/>
  <c r="C48" i="9"/>
  <c r="C49" i="9"/>
  <c r="C41" i="9"/>
  <c r="Q49" i="9"/>
  <c r="O49" i="9"/>
  <c r="M49" i="9"/>
  <c r="K49" i="9"/>
  <c r="Q48" i="9"/>
  <c r="O48" i="9"/>
  <c r="M48" i="9"/>
  <c r="K48" i="9"/>
  <c r="Q47" i="9"/>
  <c r="O47" i="9"/>
  <c r="M47" i="9"/>
  <c r="K47" i="9"/>
  <c r="Q46" i="9"/>
  <c r="O46" i="9"/>
  <c r="M46" i="9"/>
  <c r="K46" i="9"/>
  <c r="Q45" i="9"/>
  <c r="O45" i="9"/>
  <c r="M45" i="9"/>
  <c r="K45" i="9"/>
  <c r="Q44" i="9"/>
  <c r="O44" i="9"/>
  <c r="M44" i="9"/>
  <c r="K44" i="9"/>
  <c r="Q43" i="9"/>
  <c r="O43" i="9"/>
  <c r="M43" i="9"/>
  <c r="K43" i="9"/>
  <c r="Q42" i="9"/>
  <c r="O42" i="9"/>
  <c r="M42" i="9"/>
  <c r="K42" i="9"/>
  <c r="Q41" i="9"/>
  <c r="O41" i="9"/>
  <c r="M41" i="9"/>
  <c r="K41" i="9"/>
  <c r="E41" i="5" l="1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U9" i="5" l="1"/>
  <c r="U7" i="5" s="1"/>
  <c r="U6" i="5" s="1"/>
  <c r="U5" i="5" s="1"/>
  <c r="U4" i="5" s="1"/>
  <c r="U3" i="5" s="1"/>
  <c r="AB7" i="3" l="1"/>
  <c r="Z7" i="3"/>
  <c r="AB6" i="3"/>
  <c r="Z6" i="3"/>
  <c r="AB5" i="3"/>
  <c r="Z5" i="3"/>
  <c r="AB4" i="3"/>
  <c r="Z4" i="3"/>
  <c r="AB3" i="3"/>
  <c r="Z3" i="3"/>
  <c r="R191" i="4" l="1"/>
  <c r="S191" i="4" s="1"/>
  <c r="B191" i="4"/>
  <c r="C191" i="4" s="1"/>
  <c r="D190" i="4"/>
  <c r="E190" i="4" s="1"/>
  <c r="B190" i="4"/>
  <c r="C190" i="4" s="1"/>
  <c r="B189" i="4"/>
  <c r="C189" i="4" s="1"/>
  <c r="B188" i="4"/>
  <c r="C188" i="4" s="1"/>
  <c r="B187" i="4"/>
  <c r="C187" i="4" s="1"/>
  <c r="B186" i="4"/>
  <c r="C186" i="4" s="1"/>
  <c r="B185" i="4"/>
  <c r="C185" i="4" s="1"/>
  <c r="B183" i="4"/>
  <c r="C183" i="4" s="1"/>
  <c r="D182" i="4"/>
  <c r="E182" i="4" s="1"/>
  <c r="R176" i="4"/>
  <c r="S176" i="4" s="1"/>
  <c r="B176" i="4"/>
  <c r="C176" i="4" s="1"/>
  <c r="B175" i="4"/>
  <c r="C175" i="4" s="1"/>
  <c r="B174" i="4"/>
  <c r="C174" i="4" s="1"/>
  <c r="B173" i="4"/>
  <c r="C173" i="4" s="1"/>
  <c r="B172" i="4"/>
  <c r="C172" i="4" s="1"/>
  <c r="R171" i="4"/>
  <c r="S171" i="4" s="1"/>
  <c r="R164" i="4"/>
  <c r="S164" i="4" s="1"/>
  <c r="R155" i="4"/>
  <c r="S155" i="4" s="1"/>
  <c r="R151" i="4"/>
  <c r="S151" i="4" s="1"/>
  <c r="R150" i="4"/>
  <c r="S150" i="4" s="1"/>
  <c r="B126" i="4"/>
  <c r="C126" i="4" s="1"/>
  <c r="N124" i="4"/>
  <c r="O124" i="4" s="1"/>
  <c r="R114" i="4"/>
  <c r="S114" i="4" s="1"/>
  <c r="R110" i="4"/>
  <c r="S110" i="4" s="1"/>
  <c r="R109" i="4"/>
  <c r="S109" i="4" s="1"/>
  <c r="R108" i="4"/>
  <c r="S108" i="4" s="1"/>
  <c r="R107" i="4"/>
  <c r="S107" i="4" s="1"/>
  <c r="R105" i="4"/>
  <c r="S105" i="4" s="1"/>
  <c r="R104" i="4"/>
  <c r="S104" i="4" s="1"/>
  <c r="F84" i="4"/>
  <c r="G84" i="4" s="1"/>
  <c r="R78" i="4"/>
  <c r="S78" i="4" s="1"/>
  <c r="R72" i="4"/>
  <c r="S72" i="4" s="1"/>
  <c r="F72" i="4"/>
  <c r="G72" i="4" s="1"/>
  <c r="R68" i="4"/>
  <c r="S68" i="4" s="1"/>
  <c r="D68" i="4"/>
  <c r="E68" i="4" s="1"/>
  <c r="R65" i="4"/>
  <c r="S65" i="4" s="1"/>
  <c r="R64" i="4"/>
  <c r="S64" i="4" s="1"/>
  <c r="R63" i="4"/>
  <c r="S63" i="4" s="1"/>
  <c r="D63" i="4"/>
  <c r="E63" i="4" s="1"/>
  <c r="D62" i="4"/>
  <c r="E62" i="4" s="1"/>
  <c r="B62" i="4"/>
  <c r="C62" i="4" s="1"/>
  <c r="R61" i="4"/>
  <c r="S61" i="4" s="1"/>
  <c r="D61" i="4"/>
  <c r="E61" i="4" s="1"/>
  <c r="B61" i="4"/>
  <c r="C61" i="4" s="1"/>
  <c r="D60" i="4"/>
  <c r="E60" i="4" s="1"/>
  <c r="B60" i="4"/>
  <c r="C60" i="4" s="1"/>
  <c r="D59" i="4"/>
  <c r="E59" i="4" s="1"/>
  <c r="B59" i="4"/>
  <c r="C59" i="4" s="1"/>
  <c r="R58" i="4"/>
  <c r="S58" i="4" s="1"/>
  <c r="D58" i="4"/>
  <c r="E58" i="4" s="1"/>
  <c r="B58" i="4"/>
  <c r="C58" i="4" s="1"/>
  <c r="R57" i="4"/>
  <c r="S57" i="4" s="1"/>
  <c r="R56" i="4"/>
  <c r="S56" i="4" s="1"/>
  <c r="R55" i="4"/>
  <c r="S55" i="4" s="1"/>
  <c r="D54" i="4"/>
  <c r="E54" i="4" s="1"/>
  <c r="R53" i="4"/>
  <c r="S53" i="4" s="1"/>
  <c r="D53" i="4"/>
  <c r="E53" i="4" s="1"/>
  <c r="D52" i="4"/>
  <c r="E52" i="4" s="1"/>
  <c r="D51" i="4"/>
  <c r="E51" i="4" s="1"/>
  <c r="F50" i="4"/>
  <c r="G50" i="4" s="1"/>
  <c r="D50" i="4"/>
  <c r="E50" i="4" s="1"/>
  <c r="R49" i="4"/>
  <c r="S49" i="4" s="1"/>
  <c r="F49" i="4"/>
  <c r="G49" i="4" s="1"/>
  <c r="D49" i="4"/>
  <c r="E49" i="4" s="1"/>
  <c r="R47" i="4"/>
  <c r="S47" i="4" s="1"/>
  <c r="D46" i="4"/>
  <c r="E46" i="4" s="1"/>
  <c r="D45" i="4"/>
  <c r="E45" i="4" s="1"/>
  <c r="D44" i="4"/>
  <c r="E44" i="4" s="1"/>
  <c r="D43" i="4"/>
  <c r="E43" i="4" s="1"/>
  <c r="D42" i="4"/>
  <c r="E42" i="4" s="1"/>
  <c r="AB10" i="4"/>
  <c r="U8" i="4" s="1"/>
  <c r="U7" i="4" s="1"/>
  <c r="U6" i="4" s="1"/>
  <c r="U5" i="4" s="1"/>
  <c r="C42" i="3"/>
  <c r="C43" i="3"/>
  <c r="C45" i="3"/>
  <c r="C46" i="3"/>
  <c r="C47" i="3"/>
  <c r="C49" i="3"/>
  <c r="C50" i="3"/>
  <c r="C51" i="3"/>
  <c r="C52" i="3"/>
  <c r="C53" i="3"/>
  <c r="C54" i="3"/>
  <c r="C55" i="3"/>
  <c r="C56" i="3"/>
  <c r="C58" i="3"/>
  <c r="C59" i="3"/>
  <c r="C60" i="3"/>
  <c r="C61" i="3"/>
  <c r="C62" i="3"/>
  <c r="C63" i="3"/>
  <c r="C64" i="3"/>
  <c r="C65" i="3"/>
  <c r="C66" i="3"/>
  <c r="C67" i="3"/>
  <c r="C68" i="3"/>
  <c r="C70" i="3"/>
  <c r="C71" i="3"/>
  <c r="C76" i="3"/>
  <c r="C77" i="3"/>
  <c r="C78" i="3"/>
  <c r="C79" i="3"/>
  <c r="C80" i="3"/>
  <c r="C81" i="3"/>
  <c r="C82" i="3"/>
  <c r="C83" i="3"/>
  <c r="C84" i="3"/>
  <c r="C86" i="3"/>
  <c r="C88" i="3"/>
  <c r="C90" i="3"/>
  <c r="C92" i="3"/>
  <c r="C93" i="3"/>
  <c r="C94" i="3"/>
  <c r="C95" i="3"/>
  <c r="C96" i="3"/>
  <c r="C97" i="3"/>
  <c r="C99" i="3"/>
  <c r="C100" i="3"/>
  <c r="C101" i="3"/>
  <c r="C102" i="3"/>
  <c r="C41" i="3"/>
  <c r="B98" i="3"/>
  <c r="C98" i="3" s="1"/>
  <c r="R95" i="3"/>
  <c r="S95" i="3" s="1"/>
  <c r="R94" i="3"/>
  <c r="S94" i="3" s="1"/>
  <c r="R91" i="3"/>
  <c r="S91" i="3" s="1"/>
  <c r="D91" i="3"/>
  <c r="E91" i="3" s="1"/>
  <c r="B91" i="3"/>
  <c r="C91" i="3" s="1"/>
  <c r="D90" i="3"/>
  <c r="E90" i="3" s="1"/>
  <c r="R89" i="3"/>
  <c r="S89" i="3" s="1"/>
  <c r="D89" i="3"/>
  <c r="E89" i="3" s="1"/>
  <c r="B89" i="3"/>
  <c r="C89" i="3" s="1"/>
  <c r="R88" i="3"/>
  <c r="S88" i="3" s="1"/>
  <c r="D88" i="3"/>
  <c r="E88" i="3" s="1"/>
  <c r="R87" i="3"/>
  <c r="S87" i="3" s="1"/>
  <c r="D87" i="3"/>
  <c r="E87" i="3" s="1"/>
  <c r="B87" i="3"/>
  <c r="C87" i="3" s="1"/>
  <c r="R85" i="3"/>
  <c r="S85" i="3" s="1"/>
  <c r="D85" i="3"/>
  <c r="E85" i="3" s="1"/>
  <c r="B85" i="3"/>
  <c r="C85" i="3" s="1"/>
  <c r="R84" i="3"/>
  <c r="S84" i="3" s="1"/>
  <c r="D84" i="3"/>
  <c r="E84" i="3" s="1"/>
  <c r="D83" i="3"/>
  <c r="E83" i="3" s="1"/>
  <c r="R81" i="3"/>
  <c r="S81" i="3" s="1"/>
  <c r="R79" i="3"/>
  <c r="S79" i="3" s="1"/>
  <c r="R75" i="3"/>
  <c r="S75" i="3" s="1"/>
  <c r="F75" i="3"/>
  <c r="G75" i="3" s="1"/>
  <c r="B75" i="3"/>
  <c r="C75" i="3" s="1"/>
  <c r="B74" i="3"/>
  <c r="C74" i="3" s="1"/>
  <c r="D73" i="3"/>
  <c r="E73" i="3" s="1"/>
  <c r="B73" i="3"/>
  <c r="C73" i="3" s="1"/>
  <c r="B72" i="3"/>
  <c r="C72" i="3" s="1"/>
  <c r="D71" i="3"/>
  <c r="E71" i="3" s="1"/>
  <c r="B69" i="3"/>
  <c r="C69" i="3" s="1"/>
  <c r="N62" i="3"/>
  <c r="O62" i="3" s="1"/>
  <c r="P61" i="3"/>
  <c r="Q61" i="3" s="1"/>
  <c r="N61" i="3"/>
  <c r="O61" i="3" s="1"/>
  <c r="F60" i="3"/>
  <c r="G60" i="3" s="1"/>
  <c r="F58" i="3"/>
  <c r="G58" i="3" s="1"/>
  <c r="B57" i="3"/>
  <c r="C57" i="3" s="1"/>
  <c r="D56" i="3"/>
  <c r="E56" i="3" s="1"/>
  <c r="R54" i="3"/>
  <c r="S54" i="3" s="1"/>
  <c r="D54" i="3"/>
  <c r="E54" i="3" s="1"/>
  <c r="P52" i="3"/>
  <c r="Q52" i="3" s="1"/>
  <c r="R48" i="3"/>
  <c r="S48" i="3" s="1"/>
  <c r="D48" i="3"/>
  <c r="E48" i="3" s="1"/>
  <c r="B48" i="3"/>
  <c r="C48" i="3" s="1"/>
  <c r="R47" i="3"/>
  <c r="S47" i="3" s="1"/>
  <c r="N47" i="3"/>
  <c r="O47" i="3" s="1"/>
  <c r="R44" i="3"/>
  <c r="S44" i="3" s="1"/>
  <c r="D44" i="3"/>
  <c r="E44" i="3" s="1"/>
  <c r="B44" i="3"/>
  <c r="C44" i="3" s="1"/>
  <c r="D43" i="3"/>
  <c r="E43" i="3" s="1"/>
  <c r="D42" i="3"/>
  <c r="E42" i="3" s="1"/>
  <c r="D41" i="3"/>
  <c r="E41" i="3" s="1"/>
  <c r="U7" i="3"/>
  <c r="U6" i="3" s="1"/>
  <c r="U5" i="3" s="1"/>
  <c r="U4" i="3" s="1"/>
  <c r="U3" i="3" s="1"/>
  <c r="U3" i="4" l="1"/>
  <c r="U4" i="4"/>
</calcChain>
</file>

<file path=xl/sharedStrings.xml><?xml version="1.0" encoding="utf-8"?>
<sst xmlns="http://schemas.openxmlformats.org/spreadsheetml/2006/main" count="1619" uniqueCount="456">
  <si>
    <t>Ac3R2</t>
  </si>
  <si>
    <t>Af1I3</t>
  </si>
  <si>
    <t>Af2I5</t>
  </si>
  <si>
    <t>Af3I10</t>
  </si>
  <si>
    <t>Af3R10</t>
  </si>
  <si>
    <t>Ad2I3</t>
  </si>
  <si>
    <t>Ad2R3</t>
  </si>
  <si>
    <t>Ac1I5</t>
  </si>
  <si>
    <t>Ac1R5</t>
  </si>
  <si>
    <t>Ac2I9</t>
  </si>
  <si>
    <t>Af2R11</t>
  </si>
  <si>
    <t>Af2I11</t>
  </si>
  <si>
    <t>Ad3I6</t>
  </si>
  <si>
    <t>Ad2I5</t>
  </si>
  <si>
    <t>Af3I11</t>
  </si>
  <si>
    <t>Af3R11</t>
  </si>
  <si>
    <t>Ad2R5</t>
  </si>
  <si>
    <t>Ad3R6</t>
  </si>
  <si>
    <t>Aa1I2</t>
  </si>
  <si>
    <t>Aa1I5</t>
  </si>
  <si>
    <t>Aa1I6</t>
  </si>
  <si>
    <t>Aa2I3</t>
  </si>
  <si>
    <t>Aa2I7</t>
  </si>
  <si>
    <t>Aa2I8</t>
  </si>
  <si>
    <t>Ac1I2</t>
  </si>
  <si>
    <t>Ac1I7</t>
  </si>
  <si>
    <t>Ac2I2</t>
  </si>
  <si>
    <t>Ac2I8</t>
  </si>
  <si>
    <t>Ad1I1</t>
  </si>
  <si>
    <t>Ad1I3</t>
  </si>
  <si>
    <t>Ad1I5</t>
  </si>
  <si>
    <t>Ad2I2</t>
  </si>
  <si>
    <t>Ad2I8</t>
  </si>
  <si>
    <t>Ad3I10</t>
  </si>
  <si>
    <t>Ad3I11</t>
  </si>
  <si>
    <t>Ad3I5</t>
  </si>
  <si>
    <t>Af1I10</t>
  </si>
  <si>
    <t>Af1I7</t>
  </si>
  <si>
    <t>Af2I3</t>
  </si>
  <si>
    <t>Af2I8</t>
  </si>
  <si>
    <t>Af3I4</t>
  </si>
  <si>
    <t>Af3I9</t>
  </si>
  <si>
    <t>Aa2M3</t>
  </si>
  <si>
    <t>Ac1M7</t>
  </si>
  <si>
    <t>Ac2M2</t>
  </si>
  <si>
    <t>Ac2M8</t>
  </si>
  <si>
    <t>Ad1M1</t>
  </si>
  <si>
    <t>Ad1M3</t>
  </si>
  <si>
    <t>Ad1M5</t>
  </si>
  <si>
    <t>Ad2M2</t>
  </si>
  <si>
    <t>Ad2M3</t>
  </si>
  <si>
    <t>Ad2M8</t>
  </si>
  <si>
    <t>Ad3M10</t>
  </si>
  <si>
    <t>Ad3M11</t>
  </si>
  <si>
    <t>Ad3M5</t>
  </si>
  <si>
    <t>Af1M10</t>
  </si>
  <si>
    <t>Af1M7</t>
  </si>
  <si>
    <t>Af2M8</t>
  </si>
  <si>
    <t>Af3M10</t>
  </si>
  <si>
    <t>Af3M3</t>
  </si>
  <si>
    <t>Af3M9</t>
  </si>
  <si>
    <t>Aa2R3</t>
  </si>
  <si>
    <t>Ac1R7</t>
  </si>
  <si>
    <t>Ac2R2</t>
  </si>
  <si>
    <t>Ac2R8</t>
  </si>
  <si>
    <t>Ac3R5</t>
  </si>
  <si>
    <t>Ac3R9</t>
  </si>
  <si>
    <t>Ad1R1</t>
  </si>
  <si>
    <t>Ad1R3</t>
  </si>
  <si>
    <t>Ad1R5</t>
  </si>
  <si>
    <t>Ad2R2</t>
  </si>
  <si>
    <t>Ad2R8</t>
  </si>
  <si>
    <t>Ad3R10</t>
  </si>
  <si>
    <t>Ad3R11</t>
  </si>
  <si>
    <t>Ad3R5</t>
  </si>
  <si>
    <t>Af1R10</t>
  </si>
  <si>
    <t>Af1R7</t>
  </si>
  <si>
    <t>Af2R8</t>
  </si>
  <si>
    <t>Af3R3</t>
  </si>
  <si>
    <t>Af3R9</t>
  </si>
  <si>
    <t>AaML02</t>
  </si>
  <si>
    <t>AaML03</t>
  </si>
  <si>
    <t>AaML05</t>
  </si>
  <si>
    <t>AaML06</t>
  </si>
  <si>
    <t>AcML02</t>
  </si>
  <si>
    <t>AcML03</t>
  </si>
  <si>
    <t>AcML04</t>
  </si>
  <si>
    <t>AcML05</t>
  </si>
  <si>
    <t>AcML06</t>
  </si>
  <si>
    <t>AdML03</t>
  </si>
  <si>
    <t>AdML05</t>
  </si>
  <si>
    <t>AfML02</t>
  </si>
  <si>
    <t>AfML04</t>
  </si>
  <si>
    <t>AfML05</t>
  </si>
  <si>
    <t>AfML07</t>
  </si>
  <si>
    <t>AfML08</t>
  </si>
  <si>
    <t>AaJH01</t>
  </si>
  <si>
    <t>AaML04</t>
  </si>
  <si>
    <t>AcJH01</t>
  </si>
  <si>
    <t>AcJH02</t>
  </si>
  <si>
    <t>AcJH03</t>
  </si>
  <si>
    <t>AcML07</t>
  </si>
  <si>
    <t>AdJH01</t>
  </si>
  <si>
    <t>AdJH02</t>
  </si>
  <si>
    <t>AdJH03</t>
  </si>
  <si>
    <t>AdML02</t>
  </si>
  <si>
    <t>AdML04</t>
  </si>
  <si>
    <t>AfJH01</t>
  </si>
  <si>
    <t>AfJH02</t>
  </si>
  <si>
    <t>AfJH03</t>
  </si>
  <si>
    <t>AfML06</t>
  </si>
  <si>
    <t>beebread</t>
    <phoneticPr fontId="1" type="noConversion"/>
  </si>
  <si>
    <t>bee</t>
    <phoneticPr fontId="1" type="noConversion"/>
  </si>
  <si>
    <t>Aa1I11</t>
    <phoneticPr fontId="1" type="noConversion"/>
  </si>
  <si>
    <t>Aa1I12</t>
    <phoneticPr fontId="1" type="noConversion"/>
  </si>
  <si>
    <t>Aa1I4</t>
    <phoneticPr fontId="1" type="noConversion"/>
  </si>
  <si>
    <t>Aa1R12</t>
    <phoneticPr fontId="1" type="noConversion"/>
  </si>
  <si>
    <t>Aa1R4</t>
    <phoneticPr fontId="1" type="noConversion"/>
  </si>
  <si>
    <t>Aa1R11</t>
    <phoneticPr fontId="1" type="noConversion"/>
  </si>
  <si>
    <t>Ac3R7</t>
    <phoneticPr fontId="1" type="noConversion"/>
  </si>
  <si>
    <t>Ac3R2</t>
    <phoneticPr fontId="1" type="noConversion"/>
  </si>
  <si>
    <t>Ac3R2</t>
    <phoneticPr fontId="1" type="noConversion"/>
  </si>
  <si>
    <t>Ac3R12</t>
    <phoneticPr fontId="1" type="noConversion"/>
  </si>
  <si>
    <t>Af1I8</t>
    <phoneticPr fontId="1" type="noConversion"/>
  </si>
  <si>
    <t>Af1I3</t>
    <phoneticPr fontId="1" type="noConversion"/>
  </si>
  <si>
    <t>Af1I2</t>
    <phoneticPr fontId="1" type="noConversion"/>
  </si>
  <si>
    <t>Af1R8</t>
    <phoneticPr fontId="1" type="noConversion"/>
  </si>
  <si>
    <t>Af1R2</t>
    <phoneticPr fontId="1" type="noConversion"/>
  </si>
  <si>
    <t>Af1R3</t>
  </si>
  <si>
    <t>Ad1I9</t>
    <phoneticPr fontId="1" type="noConversion"/>
  </si>
  <si>
    <t>Ad1I4</t>
    <phoneticPr fontId="1" type="noConversion"/>
  </si>
  <si>
    <t>Ad1I6</t>
    <phoneticPr fontId="1" type="noConversion"/>
  </si>
  <si>
    <t>Ad1R6</t>
    <phoneticPr fontId="1" type="noConversion"/>
  </si>
  <si>
    <t>Ad1R9</t>
    <phoneticPr fontId="1" type="noConversion"/>
  </si>
  <si>
    <t>Ad1R4</t>
    <phoneticPr fontId="1" type="noConversion"/>
  </si>
  <si>
    <t>Aa2I9</t>
    <phoneticPr fontId="1" type="noConversion"/>
  </si>
  <si>
    <t>Aa2R9</t>
    <phoneticPr fontId="1" type="noConversion"/>
  </si>
  <si>
    <t>Aa2I4</t>
    <phoneticPr fontId="1" type="noConversion"/>
  </si>
  <si>
    <t>Aa2R4</t>
    <phoneticPr fontId="1" type="noConversion"/>
  </si>
  <si>
    <t>Aa2I11</t>
    <phoneticPr fontId="1" type="noConversion"/>
  </si>
  <si>
    <t>Aa2R11</t>
    <phoneticPr fontId="1" type="noConversion"/>
  </si>
  <si>
    <t>Af2I4</t>
    <phoneticPr fontId="1" type="noConversion"/>
  </si>
  <si>
    <t>Af2R4</t>
    <phoneticPr fontId="1" type="noConversion"/>
  </si>
  <si>
    <t>Af2I5</t>
    <phoneticPr fontId="1" type="noConversion"/>
  </si>
  <si>
    <t>Af2R5</t>
    <phoneticPr fontId="1" type="noConversion"/>
  </si>
  <si>
    <t>Af3I7</t>
    <phoneticPr fontId="1" type="noConversion"/>
  </si>
  <si>
    <t>Af3R7</t>
    <phoneticPr fontId="1" type="noConversion"/>
  </si>
  <si>
    <t>Af3I10</t>
    <phoneticPr fontId="1" type="noConversion"/>
  </si>
  <si>
    <t>Af3R10</t>
    <phoneticPr fontId="1" type="noConversion"/>
  </si>
  <si>
    <t>Ad2I7</t>
    <phoneticPr fontId="1" type="noConversion"/>
  </si>
  <si>
    <t>Ad2R7</t>
    <phoneticPr fontId="1" type="noConversion"/>
  </si>
  <si>
    <t>Ad2I3</t>
    <phoneticPr fontId="1" type="noConversion"/>
  </si>
  <si>
    <t>Ad2R3</t>
    <phoneticPr fontId="1" type="noConversion"/>
  </si>
  <si>
    <t>Ad3I9</t>
    <phoneticPr fontId="1" type="noConversion"/>
  </si>
  <si>
    <t>Ad3R9</t>
    <phoneticPr fontId="1" type="noConversion"/>
  </si>
  <si>
    <t>Ad3I2</t>
    <phoneticPr fontId="1" type="noConversion"/>
  </si>
  <si>
    <t>Ad3R2</t>
    <phoneticPr fontId="1" type="noConversion"/>
  </si>
  <si>
    <t>Ac1I5</t>
    <phoneticPr fontId="1" type="noConversion"/>
  </si>
  <si>
    <t>Ac1R5</t>
    <phoneticPr fontId="1" type="noConversion"/>
  </si>
  <si>
    <t>Ac1R5</t>
    <phoneticPr fontId="1" type="noConversion"/>
  </si>
  <si>
    <t>Ac1I3</t>
    <phoneticPr fontId="1" type="noConversion"/>
  </si>
  <si>
    <t>Ac1R3</t>
    <phoneticPr fontId="1" type="noConversion"/>
  </si>
  <si>
    <t>Ac1I4</t>
    <phoneticPr fontId="1" type="noConversion"/>
  </si>
  <si>
    <t>Ac1R4</t>
    <phoneticPr fontId="1" type="noConversion"/>
  </si>
  <si>
    <t>Ac2I5</t>
    <phoneticPr fontId="1" type="noConversion"/>
  </si>
  <si>
    <t>Ac2R5</t>
    <phoneticPr fontId="1" type="noConversion"/>
  </si>
  <si>
    <t>Ac2I9</t>
    <phoneticPr fontId="1" type="noConversion"/>
  </si>
  <si>
    <t>Ac2R9</t>
    <phoneticPr fontId="1" type="noConversion"/>
  </si>
  <si>
    <t>Ac2I1</t>
    <phoneticPr fontId="1" type="noConversion"/>
  </si>
  <si>
    <t>Ac2R1</t>
    <phoneticPr fontId="1" type="noConversion"/>
  </si>
  <si>
    <t>sample</t>
    <phoneticPr fontId="1" type="noConversion"/>
  </si>
  <si>
    <t>trehalose</t>
    <phoneticPr fontId="1" type="noConversion"/>
  </si>
  <si>
    <t>fucose</t>
    <phoneticPr fontId="1" type="noConversion"/>
  </si>
  <si>
    <t>rhamnose</t>
    <phoneticPr fontId="1" type="noConversion"/>
  </si>
  <si>
    <t>arabinose</t>
    <phoneticPr fontId="1" type="noConversion"/>
  </si>
  <si>
    <t>galactose</t>
    <phoneticPr fontId="1" type="noConversion"/>
  </si>
  <si>
    <t>glucose</t>
    <phoneticPr fontId="1" type="noConversion"/>
  </si>
  <si>
    <t>fructose</t>
    <phoneticPr fontId="1" type="noConversion"/>
  </si>
  <si>
    <t>sucrose</t>
    <phoneticPr fontId="1" type="noConversion"/>
  </si>
  <si>
    <t>maltose</t>
    <phoneticPr fontId="1" type="noConversion"/>
  </si>
  <si>
    <t>Aa1m4*2</t>
    <phoneticPr fontId="1" type="noConversion"/>
  </si>
  <si>
    <t>Aa1m11*2</t>
    <phoneticPr fontId="1" type="noConversion"/>
  </si>
  <si>
    <t>Aa1m12*2</t>
    <phoneticPr fontId="1" type="noConversion"/>
  </si>
  <si>
    <t>Aa2m4*2</t>
    <phoneticPr fontId="1" type="noConversion"/>
  </si>
  <si>
    <t>Aa2m9*2</t>
    <phoneticPr fontId="1" type="noConversion"/>
  </si>
  <si>
    <t>Aa2m11*2</t>
    <phoneticPr fontId="1" type="noConversion"/>
  </si>
  <si>
    <t>Ac1M3*2</t>
    <phoneticPr fontId="1" type="noConversion"/>
  </si>
  <si>
    <t>Ac1M4*2</t>
    <phoneticPr fontId="1" type="noConversion"/>
  </si>
  <si>
    <t>Ac1M5*2</t>
    <phoneticPr fontId="1" type="noConversion"/>
  </si>
  <si>
    <t>Ac2M1*2</t>
    <phoneticPr fontId="1" type="noConversion"/>
  </si>
  <si>
    <t>Ac2M9*2</t>
    <phoneticPr fontId="1" type="noConversion"/>
  </si>
  <si>
    <t>Ac2M5*2</t>
    <phoneticPr fontId="1" type="noConversion"/>
  </si>
  <si>
    <t>Ac3M2*2</t>
    <phoneticPr fontId="1" type="noConversion"/>
  </si>
  <si>
    <t>Ac3M7*2</t>
    <phoneticPr fontId="1" type="noConversion"/>
  </si>
  <si>
    <t>Ac3M12*2</t>
    <phoneticPr fontId="1" type="noConversion"/>
  </si>
  <si>
    <t>Af1M2*2</t>
    <phoneticPr fontId="1" type="noConversion"/>
  </si>
  <si>
    <t>Af1M3*2</t>
    <phoneticPr fontId="1" type="noConversion"/>
  </si>
  <si>
    <t>Af1M8*2</t>
    <phoneticPr fontId="1" type="noConversion"/>
  </si>
  <si>
    <t>Af2M4*2</t>
    <phoneticPr fontId="1" type="noConversion"/>
  </si>
  <si>
    <t>Af2M5*2</t>
    <phoneticPr fontId="1" type="noConversion"/>
  </si>
  <si>
    <t>Af3M7*2</t>
    <phoneticPr fontId="1" type="noConversion"/>
  </si>
  <si>
    <t>Af3M10*2</t>
    <phoneticPr fontId="1" type="noConversion"/>
  </si>
  <si>
    <t>AdJH01</t>
    <phoneticPr fontId="1" type="noConversion"/>
  </si>
  <si>
    <t>AfJH01</t>
    <phoneticPr fontId="1" type="noConversion"/>
  </si>
  <si>
    <t>Ad1M4*40</t>
    <phoneticPr fontId="1" type="noConversion"/>
  </si>
  <si>
    <t>Ad2M3*10</t>
    <phoneticPr fontId="1" type="noConversion"/>
  </si>
  <si>
    <t>Ad1M6*40</t>
    <phoneticPr fontId="1" type="noConversion"/>
  </si>
  <si>
    <t>Ad1M9*40</t>
    <phoneticPr fontId="1" type="noConversion"/>
  </si>
  <si>
    <t>Ad2M5*20</t>
    <phoneticPr fontId="1" type="noConversion"/>
  </si>
  <si>
    <t>Ad2M7*20</t>
    <phoneticPr fontId="1" type="noConversion"/>
  </si>
  <si>
    <t>Ad3M6*20</t>
    <phoneticPr fontId="1" type="noConversion"/>
  </si>
  <si>
    <t>AaJH01</t>
    <phoneticPr fontId="1" type="noConversion"/>
  </si>
  <si>
    <t>AcJH01</t>
    <phoneticPr fontId="1" type="noConversion"/>
  </si>
  <si>
    <t>AdML05</t>
    <phoneticPr fontId="1" type="noConversion"/>
  </si>
  <si>
    <t>AfML08</t>
    <phoneticPr fontId="1" type="noConversion"/>
  </si>
  <si>
    <t>AdML02</t>
    <phoneticPr fontId="1" type="noConversion"/>
  </si>
  <si>
    <t>Aa2M3</t>
    <phoneticPr fontId="1" type="noConversion"/>
  </si>
  <si>
    <t>Aa2I3</t>
    <phoneticPr fontId="1" type="noConversion"/>
  </si>
  <si>
    <t>AcML05</t>
    <phoneticPr fontId="1" type="noConversion"/>
  </si>
  <si>
    <t>AcJH02*3</t>
    <phoneticPr fontId="1" type="noConversion"/>
  </si>
  <si>
    <t>AdML04</t>
    <phoneticPr fontId="1" type="noConversion"/>
  </si>
  <si>
    <t>AfML02</t>
    <phoneticPr fontId="1" type="noConversion"/>
  </si>
  <si>
    <t>AfML04</t>
    <phoneticPr fontId="1" type="noConversion"/>
  </si>
  <si>
    <t>AaML05</t>
    <phoneticPr fontId="1" type="noConversion"/>
  </si>
  <si>
    <t>AaML04</t>
    <phoneticPr fontId="1" type="noConversion"/>
  </si>
  <si>
    <t>AaML02</t>
    <phoneticPr fontId="1" type="noConversion"/>
  </si>
  <si>
    <t>AaML06</t>
    <phoneticPr fontId="1" type="noConversion"/>
  </si>
  <si>
    <t>AaML03</t>
    <phoneticPr fontId="1" type="noConversion"/>
  </si>
  <si>
    <t>Aa1M4*6</t>
    <phoneticPr fontId="1" type="noConversion"/>
  </si>
  <si>
    <t>Ac2M5*6</t>
    <phoneticPr fontId="1" type="noConversion"/>
  </si>
  <si>
    <t>Ac3M7*6</t>
    <phoneticPr fontId="1" type="noConversion"/>
  </si>
  <si>
    <t>Af1M2*6</t>
    <phoneticPr fontId="1" type="noConversion"/>
  </si>
  <si>
    <t>AcML04</t>
    <phoneticPr fontId="1" type="noConversion"/>
  </si>
  <si>
    <t>AcML06</t>
    <phoneticPr fontId="1" type="noConversion"/>
  </si>
  <si>
    <t>AcML02</t>
    <phoneticPr fontId="1" type="noConversion"/>
  </si>
  <si>
    <t>AcML07</t>
    <phoneticPr fontId="1" type="noConversion"/>
  </si>
  <si>
    <t>AcML03</t>
    <phoneticPr fontId="1" type="noConversion"/>
  </si>
  <si>
    <t>Ac1I2</t>
    <phoneticPr fontId="1" type="noConversion"/>
  </si>
  <si>
    <t>Ac1I5</t>
    <phoneticPr fontId="1" type="noConversion"/>
  </si>
  <si>
    <t>Ac1I7</t>
    <phoneticPr fontId="1" type="noConversion"/>
  </si>
  <si>
    <t>Ac2I2</t>
    <phoneticPr fontId="1" type="noConversion"/>
  </si>
  <si>
    <t>Ac2I8</t>
    <phoneticPr fontId="1" type="noConversion"/>
  </si>
  <si>
    <t>Ac2I9</t>
    <phoneticPr fontId="1" type="noConversion"/>
  </si>
  <si>
    <t>Af1I3</t>
    <phoneticPr fontId="1" type="noConversion"/>
  </si>
  <si>
    <t>Af1I7</t>
    <phoneticPr fontId="1" type="noConversion"/>
  </si>
  <si>
    <t>Af1I10</t>
    <phoneticPr fontId="1" type="noConversion"/>
  </si>
  <si>
    <t>Af2I3</t>
    <phoneticPr fontId="1" type="noConversion"/>
  </si>
  <si>
    <t>Af2I5</t>
    <phoneticPr fontId="1" type="noConversion"/>
  </si>
  <si>
    <t>Af2I8</t>
    <phoneticPr fontId="1" type="noConversion"/>
  </si>
  <si>
    <t>Af3I4</t>
    <phoneticPr fontId="1" type="noConversion"/>
  </si>
  <si>
    <t>Af3I9</t>
    <phoneticPr fontId="1" type="noConversion"/>
  </si>
  <si>
    <t>Aa2I7</t>
    <phoneticPr fontId="1" type="noConversion"/>
  </si>
  <si>
    <t>Aa1I2</t>
    <phoneticPr fontId="1" type="noConversion"/>
  </si>
  <si>
    <t>Aa1I5</t>
    <phoneticPr fontId="1" type="noConversion"/>
  </si>
  <si>
    <t>Af1M7</t>
    <phoneticPr fontId="1" type="noConversion"/>
  </si>
  <si>
    <t>Af1M10</t>
    <phoneticPr fontId="1" type="noConversion"/>
  </si>
  <si>
    <t>Af2M8</t>
    <phoneticPr fontId="1" type="noConversion"/>
  </si>
  <si>
    <t>Af3M3</t>
    <phoneticPr fontId="1" type="noConversion"/>
  </si>
  <si>
    <t>Af3M9</t>
    <phoneticPr fontId="1" type="noConversion"/>
  </si>
  <si>
    <t>Af1R7</t>
    <phoneticPr fontId="1" type="noConversion"/>
  </si>
  <si>
    <t>Af1R10</t>
    <phoneticPr fontId="1" type="noConversion"/>
  </si>
  <si>
    <t>Af2R8</t>
    <phoneticPr fontId="1" type="noConversion"/>
  </si>
  <si>
    <t>Af3R3</t>
    <phoneticPr fontId="1" type="noConversion"/>
  </si>
  <si>
    <t>Af3R9</t>
    <phoneticPr fontId="1" type="noConversion"/>
  </si>
  <si>
    <t>Ac1R7</t>
    <phoneticPr fontId="1" type="noConversion"/>
  </si>
  <si>
    <t>Ac2R2</t>
    <phoneticPr fontId="1" type="noConversion"/>
  </si>
  <si>
    <t>Ac2R8</t>
    <phoneticPr fontId="1" type="noConversion"/>
  </si>
  <si>
    <t>Ac3R5</t>
    <phoneticPr fontId="1" type="noConversion"/>
  </si>
  <si>
    <t>Ac3R9</t>
    <phoneticPr fontId="1" type="noConversion"/>
  </si>
  <si>
    <t>Ac1M5</t>
    <phoneticPr fontId="1" type="noConversion"/>
  </si>
  <si>
    <t>Ac1M7</t>
    <phoneticPr fontId="1" type="noConversion"/>
  </si>
  <si>
    <t>Ac2M2</t>
    <phoneticPr fontId="1" type="noConversion"/>
  </si>
  <si>
    <t>Ac2M8</t>
    <phoneticPr fontId="1" type="noConversion"/>
  </si>
  <si>
    <t>Ac2M8*5</t>
    <phoneticPr fontId="1" type="noConversion"/>
  </si>
  <si>
    <t>Ac1M7*5</t>
    <phoneticPr fontId="1" type="noConversion"/>
  </si>
  <si>
    <t>Ac3M5*5</t>
    <phoneticPr fontId="1" type="noConversion"/>
  </si>
  <si>
    <t>Ac3M2*5</t>
    <phoneticPr fontId="1" type="noConversion"/>
  </si>
  <si>
    <t>Ac3M9*5</t>
    <phoneticPr fontId="1" type="noConversion"/>
  </si>
  <si>
    <t>Ad1I1</t>
    <phoneticPr fontId="1" type="noConversion"/>
  </si>
  <si>
    <t>Ad1I3</t>
    <phoneticPr fontId="1" type="noConversion"/>
  </si>
  <si>
    <t>Ad1I5</t>
    <phoneticPr fontId="1" type="noConversion"/>
  </si>
  <si>
    <t>Ad2I2</t>
    <phoneticPr fontId="1" type="noConversion"/>
  </si>
  <si>
    <t>Ad2I8</t>
    <phoneticPr fontId="1" type="noConversion"/>
  </si>
  <si>
    <t>Ad3I5</t>
    <phoneticPr fontId="1" type="noConversion"/>
  </si>
  <si>
    <t>Ad3I10</t>
    <phoneticPr fontId="1" type="noConversion"/>
  </si>
  <si>
    <t>Ad1M1</t>
    <phoneticPr fontId="1" type="noConversion"/>
  </si>
  <si>
    <t>Ad1M1</t>
    <phoneticPr fontId="1" type="noConversion"/>
  </si>
  <si>
    <t>Ad1M3</t>
    <phoneticPr fontId="1" type="noConversion"/>
  </si>
  <si>
    <t>Ad1M5</t>
    <phoneticPr fontId="1" type="noConversion"/>
  </si>
  <si>
    <t>Ad2M2</t>
    <phoneticPr fontId="1" type="noConversion"/>
  </si>
  <si>
    <t>Ad2M8</t>
    <phoneticPr fontId="1" type="noConversion"/>
  </si>
  <si>
    <t>Ad3M5</t>
    <phoneticPr fontId="1" type="noConversion"/>
  </si>
  <si>
    <t>Ad3M10</t>
    <phoneticPr fontId="1" type="noConversion"/>
  </si>
  <si>
    <t>Ad1R1</t>
    <phoneticPr fontId="1" type="noConversion"/>
  </si>
  <si>
    <t>Ad1M3</t>
    <phoneticPr fontId="1" type="noConversion"/>
  </si>
  <si>
    <t>Ad1R3</t>
    <phoneticPr fontId="1" type="noConversion"/>
  </si>
  <si>
    <t>Aa2R3</t>
    <phoneticPr fontId="1" type="noConversion"/>
  </si>
  <si>
    <t>Ad1M3*20</t>
    <phoneticPr fontId="1" type="noConversion"/>
  </si>
  <si>
    <t>Ad3M11*10</t>
    <phoneticPr fontId="1" type="noConversion"/>
  </si>
  <si>
    <t>Ad1R5</t>
    <phoneticPr fontId="1" type="noConversion"/>
  </si>
  <si>
    <t>Ad2R2</t>
    <phoneticPr fontId="1" type="noConversion"/>
  </si>
  <si>
    <t>Ad2R8</t>
    <phoneticPr fontId="1" type="noConversion"/>
  </si>
  <si>
    <t>Ad3R5</t>
    <phoneticPr fontId="1" type="noConversion"/>
  </si>
  <si>
    <t>Ad3R10</t>
    <phoneticPr fontId="1" type="noConversion"/>
  </si>
  <si>
    <t>Aa1m4*2</t>
  </si>
  <si>
    <t>Aa1m11*2</t>
  </si>
  <si>
    <t>Aa1m12*2</t>
  </si>
  <si>
    <t>Aa2m4*2</t>
  </si>
  <si>
    <t>Aa2m9*2</t>
  </si>
  <si>
    <t>Aa2m11*2</t>
  </si>
  <si>
    <t>Ac1M3*2</t>
  </si>
  <si>
    <t>Ac1M4*2</t>
  </si>
  <si>
    <t>Ac1M5*2</t>
  </si>
  <si>
    <t>Ac2M1*2</t>
  </si>
  <si>
    <t>Ac2M9*2</t>
  </si>
  <si>
    <t>Ac2M5*2</t>
  </si>
  <si>
    <t>Ac3M2*2</t>
  </si>
  <si>
    <t>Ac3M7*2</t>
  </si>
  <si>
    <t>Ac3M12*2</t>
  </si>
  <si>
    <t>Af1M2*2</t>
  </si>
  <si>
    <t>Af1M3*2</t>
  </si>
  <si>
    <t>Af1M8*2</t>
  </si>
  <si>
    <t>Af2M4*2</t>
  </si>
  <si>
    <t>Af2M5*2</t>
  </si>
  <si>
    <t>Af3M7*2</t>
  </si>
  <si>
    <t>Af3M10*2</t>
  </si>
  <si>
    <t>Ad1M4*40</t>
  </si>
  <si>
    <t>Ad2M3*10</t>
  </si>
  <si>
    <t>Ad1M6*40</t>
  </si>
  <si>
    <t>Ad1M9*40</t>
  </si>
  <si>
    <t>Ad2M5*20</t>
  </si>
  <si>
    <t>Ad2M7*20</t>
  </si>
  <si>
    <t>Ad3M6*20</t>
  </si>
  <si>
    <t>AcJH02*3</t>
  </si>
  <si>
    <t>Aa1M4*6</t>
  </si>
  <si>
    <t>Ac2M5*6</t>
  </si>
  <si>
    <t>Ac3M7*6</t>
  </si>
  <si>
    <t>Af1M2*6</t>
  </si>
  <si>
    <t>Ac1M5</t>
  </si>
  <si>
    <t>Ac2M8*5</t>
  </si>
  <si>
    <t>Ac1M7*5</t>
  </si>
  <si>
    <t>Ac3M5*5</t>
  </si>
  <si>
    <t>Ac3M2*5</t>
  </si>
  <si>
    <t>Ac3M9*5</t>
  </si>
  <si>
    <t>Ad1M3*20</t>
  </si>
  <si>
    <t>Ad3M11*10</t>
  </si>
  <si>
    <t>part</t>
    <phoneticPr fontId="1" type="noConversion"/>
  </si>
  <si>
    <t>Aand</t>
    <phoneticPr fontId="1" type="noConversion"/>
  </si>
  <si>
    <t>Ador</t>
    <phoneticPr fontId="1" type="noConversion"/>
  </si>
  <si>
    <t>Af ML01*100</t>
    <phoneticPr fontId="1" type="noConversion"/>
  </si>
  <si>
    <t>AfML02*100</t>
    <phoneticPr fontId="1" type="noConversion"/>
  </si>
  <si>
    <t>AfML03*100</t>
    <phoneticPr fontId="1" type="noConversion"/>
  </si>
  <si>
    <t>AfML04*100</t>
    <phoneticPr fontId="1" type="noConversion"/>
  </si>
  <si>
    <t>AfML05*100</t>
    <phoneticPr fontId="1" type="noConversion"/>
  </si>
  <si>
    <t>AfML07*100</t>
    <phoneticPr fontId="1" type="noConversion"/>
  </si>
  <si>
    <t>AfML08*100</t>
    <phoneticPr fontId="1" type="noConversion"/>
  </si>
  <si>
    <t>AaML02*100</t>
    <phoneticPr fontId="1" type="noConversion"/>
  </si>
  <si>
    <t>AaML03*100</t>
    <phoneticPr fontId="1" type="noConversion"/>
  </si>
  <si>
    <t>AaML05*100</t>
    <phoneticPr fontId="1" type="noConversion"/>
  </si>
  <si>
    <t>AaML06*100</t>
    <phoneticPr fontId="1" type="noConversion"/>
  </si>
  <si>
    <t>AdML05*100</t>
    <phoneticPr fontId="1" type="noConversion"/>
  </si>
  <si>
    <t>AdML03*100</t>
    <phoneticPr fontId="1" type="noConversion"/>
  </si>
  <si>
    <t>AdML01*100</t>
    <phoneticPr fontId="1" type="noConversion"/>
  </si>
  <si>
    <t>AdML07*100</t>
    <phoneticPr fontId="1" type="noConversion"/>
  </si>
  <si>
    <t>AcML06*100</t>
    <phoneticPr fontId="1" type="noConversion"/>
  </si>
  <si>
    <t>AcML05*100</t>
    <phoneticPr fontId="1" type="noConversion"/>
  </si>
  <si>
    <t>AcML04*100</t>
    <phoneticPr fontId="1" type="noConversion"/>
  </si>
  <si>
    <t>AcML02*100</t>
    <phoneticPr fontId="1" type="noConversion"/>
  </si>
  <si>
    <t>AcML01*100</t>
    <phoneticPr fontId="1" type="noConversion"/>
  </si>
  <si>
    <t>AcML03*100</t>
    <phoneticPr fontId="1" type="noConversion"/>
  </si>
  <si>
    <t>Af ML01*100</t>
  </si>
  <si>
    <t>AfML02*100</t>
  </si>
  <si>
    <t>AfML03*100</t>
  </si>
  <si>
    <t>AfML04*100</t>
  </si>
  <si>
    <t>AfML05*100</t>
  </si>
  <si>
    <t>AfML07*100</t>
  </si>
  <si>
    <t>AfML08*100</t>
  </si>
  <si>
    <t>AaML02*100</t>
  </si>
  <si>
    <t>AaML03*100</t>
  </si>
  <si>
    <t>AaML05*100</t>
  </si>
  <si>
    <t>AaML06*100</t>
  </si>
  <si>
    <t>AdML05*100</t>
  </si>
  <si>
    <t>AdML03*100</t>
  </si>
  <si>
    <t>AdML01*100</t>
  </si>
  <si>
    <t>AdML07*100</t>
  </si>
  <si>
    <t>AcML06*100</t>
  </si>
  <si>
    <t>AcML05*100</t>
  </si>
  <si>
    <t>AcML04*100</t>
  </si>
  <si>
    <t>AcML02*100</t>
  </si>
  <si>
    <t>AcML01*100</t>
  </si>
  <si>
    <t>AcML03*100</t>
  </si>
  <si>
    <t>Aflo</t>
    <phoneticPr fontId="1" type="noConversion"/>
  </si>
  <si>
    <t>Acer</t>
    <phoneticPr fontId="1" type="noConversion"/>
  </si>
  <si>
    <t>ADJH01</t>
  </si>
  <si>
    <t>ADJH02</t>
  </si>
  <si>
    <t>ADJH03</t>
  </si>
  <si>
    <t>ACJH01</t>
  </si>
  <si>
    <t>ACJH02</t>
  </si>
  <si>
    <t>ACJH03</t>
  </si>
  <si>
    <t>AFJH01</t>
  </si>
  <si>
    <t>AFJH02</t>
  </si>
  <si>
    <t>AFJH03</t>
  </si>
  <si>
    <t/>
  </si>
  <si>
    <t>Ac2I5_1st</t>
    <phoneticPr fontId="1" type="noConversion"/>
  </si>
  <si>
    <t>lactose</t>
    <phoneticPr fontId="1" type="noConversion"/>
  </si>
  <si>
    <t>D-cellobiose</t>
    <phoneticPr fontId="1" type="noConversion"/>
  </si>
  <si>
    <t>trehalose</t>
  </si>
  <si>
    <t>fucose</t>
  </si>
  <si>
    <t>rhamnose</t>
  </si>
  <si>
    <t>arabinose</t>
  </si>
  <si>
    <t>galactose</t>
  </si>
  <si>
    <t>glucose</t>
  </si>
  <si>
    <t>fructose</t>
  </si>
  <si>
    <t>sucrose</t>
  </si>
  <si>
    <t>maltose</t>
  </si>
  <si>
    <t>lactose</t>
  </si>
  <si>
    <t>D-cellobiose</t>
  </si>
  <si>
    <t>GC1H1</t>
  </si>
  <si>
    <t>GC1H7</t>
  </si>
  <si>
    <t>GC1H8</t>
  </si>
  <si>
    <t>GC1H9</t>
  </si>
  <si>
    <t>GC1H10</t>
  </si>
  <si>
    <t>GC1H11</t>
  </si>
  <si>
    <t>GC1H12</t>
  </si>
  <si>
    <t>GC2H2</t>
  </si>
  <si>
    <t>GC2H5</t>
  </si>
  <si>
    <t>GC3H3</t>
  </si>
  <si>
    <t>GC3H4</t>
  </si>
  <si>
    <t>GC3H5</t>
  </si>
  <si>
    <t>GFH1</t>
  </si>
  <si>
    <t>GFH2</t>
  </si>
  <si>
    <t>GFH3</t>
  </si>
  <si>
    <t>GFH4</t>
  </si>
  <si>
    <t>GF1H1</t>
  </si>
  <si>
    <t>GF1H2</t>
  </si>
  <si>
    <t>GF1H4</t>
  </si>
  <si>
    <t>GF1H5</t>
  </si>
  <si>
    <t>GF1H6</t>
  </si>
  <si>
    <t>GF1H7</t>
  </si>
  <si>
    <t>GF1H8</t>
  </si>
  <si>
    <t>GF1H9</t>
  </si>
  <si>
    <t>GF4H1</t>
  </si>
  <si>
    <t>GF4H2</t>
  </si>
  <si>
    <t>GF2H3</t>
  </si>
  <si>
    <t>GF4H4</t>
  </si>
  <si>
    <t>GF4H6</t>
  </si>
  <si>
    <t>peak area</t>
  </si>
  <si>
    <t>concentration（ppm）</t>
  </si>
  <si>
    <t>melibiose</t>
  </si>
  <si>
    <t>mannose</t>
  </si>
  <si>
    <t>Xylose</t>
  </si>
  <si>
    <t>galactose</t>
    <phoneticPr fontId="1" type="noConversion"/>
  </si>
  <si>
    <t>galactose</t>
    <phoneticPr fontId="1" type="noConversion"/>
  </si>
  <si>
    <t>rhamnose</t>
    <phoneticPr fontId="1" type="noConversion"/>
  </si>
  <si>
    <t>half peak area</t>
  </si>
  <si>
    <t>galactose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</si>
</sst>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_ "/>
    <numFmt numFmtId="165" formatCode="0.0000_ "/>
    <numFmt numFmtId="166" formatCode="0.0000_);[Red]\(0.0000\)"/>
    <numFmt numFmtId="167" formatCode="0_);[Red]\(0\)"/>
  </numFmts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5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0" fillId="0" borderId="0" xfId="0" applyNumberFormat="1" applyFill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 wrapText="1"/>
    </xf>
    <xf numFmtId="165" fontId="0" fillId="0" borderId="0" xfId="0" applyNumberFormat="1" applyFill="1" applyAlignment="1">
      <alignment vertical="center" wrapText="1"/>
    </xf>
    <xf numFmtId="165" fontId="2" fillId="2" borderId="0" xfId="0" applyNumberFormat="1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 wrapText="1"/>
    </xf>
    <xf numFmtId="167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3" borderId="0" xfId="0" applyNumberForma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65" fontId="0" fillId="3" borderId="0" xfId="0" applyNumberForma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165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65" fontId="0" fillId="0" borderId="0" xfId="0" applyNumberForma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fucose</a:t>
            </a:r>
            <a:endParaRPr lang="zh-CN" altLang="en-US"/>
          </a:p>
        </c:rich>
      </c:tx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5.5924321959755122E-2"/>
                  <c:y val="0.18471055701370664"/>
                </c:manualLayout>
              </c:layout>
              <c:numFmt formatCode="General" sourceLinked="0"/>
            </c:trendlineLbl>
          </c:trendline>
          <c:xVal>
            <c:numRef>
              <c:f>[1]标准曲线!$C$3:$C$6</c:f>
              <c:numCache>
                <c:formatCode>General</c:formatCode>
                <c:ptCount val="4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</c:numCache>
            </c:numRef>
          </c:xVal>
          <c:yVal>
            <c:numRef>
              <c:f>[1]标准曲线!$D$3:$D$6</c:f>
              <c:numCache>
                <c:formatCode>General</c:formatCode>
                <c:ptCount val="4"/>
                <c:pt idx="0">
                  <c:v>0.2359</c:v>
                </c:pt>
                <c:pt idx="1">
                  <c:v>1.7107000000000001</c:v>
                </c:pt>
                <c:pt idx="2">
                  <c:v>8.1118000000000006</c:v>
                </c:pt>
                <c:pt idx="3">
                  <c:v>26.438300000000002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F89-4C76-A09B-DA5FCDD0B4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072320"/>
        <c:axId val="197211264"/>
      </c:scatterChart>
      <c:valAx>
        <c:axId val="17207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7211264"/>
        <c:crosses val="autoZero"/>
        <c:crossBetween val="midCat"/>
      </c:valAx>
      <c:valAx>
        <c:axId val="1972112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207232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rhamnose</a:t>
            </a:r>
            <a:endParaRPr lang="zh-CN" altLang="en-US"/>
          </a:p>
        </c:rich>
      </c:tx>
      <c:layout>
        <c:manualLayout>
          <c:xMode val="edge"/>
          <c:yMode val="edge"/>
          <c:x val="0.43774866503755994"/>
          <c:y val="0.60811882605583389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[1]标准曲线!$E$3:$E$6</c:f>
              <c:numCache>
                <c:formatCode>General</c:formatCode>
                <c:ptCount val="4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</c:numCache>
            </c:numRef>
          </c:xVal>
          <c:yVal>
            <c:numRef>
              <c:f>[1]标准曲线!$F$3:$F$6</c:f>
              <c:numCache>
                <c:formatCode>General</c:formatCode>
                <c:ptCount val="4"/>
                <c:pt idx="0">
                  <c:v>0.26950000000000002</c:v>
                </c:pt>
                <c:pt idx="1">
                  <c:v>1.6075999999999999</c:v>
                </c:pt>
                <c:pt idx="2">
                  <c:v>7.6879999999999997</c:v>
                </c:pt>
                <c:pt idx="3">
                  <c:v>27.1785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C35-45ED-BE8A-EF69E1438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236224"/>
        <c:axId val="197237760"/>
      </c:scatterChart>
      <c:valAx>
        <c:axId val="19723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7237760"/>
        <c:crosses val="autoZero"/>
        <c:crossBetween val="midCat"/>
      </c:valAx>
      <c:valAx>
        <c:axId val="1972377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723622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arabinose</a:t>
            </a:r>
            <a:endParaRPr lang="zh-CN" altLang="en-US"/>
          </a:p>
        </c:rich>
      </c:tx>
      <c:layout>
        <c:manualLayout>
          <c:xMode val="edge"/>
          <c:yMode val="edge"/>
          <c:x val="0.56538425570912898"/>
          <c:y val="0.5683672665916760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[1]标准曲线!$G$3:$G$5</c:f>
              <c:numCache>
                <c:formatCode>General</c:formatCode>
                <c:ptCount val="3"/>
                <c:pt idx="0">
                  <c:v>0.2</c:v>
                </c:pt>
                <c:pt idx="1">
                  <c:v>1</c:v>
                </c:pt>
                <c:pt idx="2">
                  <c:v>5</c:v>
                </c:pt>
              </c:numCache>
            </c:numRef>
          </c:xVal>
          <c:yVal>
            <c:numRef>
              <c:f>[1]标准曲线!$H$3:$H$5</c:f>
              <c:numCache>
                <c:formatCode>General</c:formatCode>
                <c:ptCount val="3"/>
                <c:pt idx="0">
                  <c:v>0.21920000000000001</c:v>
                </c:pt>
                <c:pt idx="1">
                  <c:v>1.9255</c:v>
                </c:pt>
                <c:pt idx="2">
                  <c:v>10.179399999999999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4F0-4A62-9317-F88672E4C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266816"/>
        <c:axId val="197272704"/>
      </c:scatterChart>
      <c:valAx>
        <c:axId val="19726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7272704"/>
        <c:crosses val="autoZero"/>
        <c:crossBetween val="midCat"/>
      </c:valAx>
      <c:valAx>
        <c:axId val="1972727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726681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galactose</a:t>
            </a:r>
            <a:endParaRPr lang="zh-CN" altLang="en-US"/>
          </a:p>
        </c:rich>
      </c:tx>
      <c:layout>
        <c:manualLayout>
          <c:xMode val="edge"/>
          <c:yMode val="edge"/>
          <c:x val="0.43442272418650363"/>
          <c:y val="0.51680039995000626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[1]标准曲线!$I$3:$I$6</c:f>
              <c:numCache>
                <c:formatCode>General</c:formatCode>
                <c:ptCount val="4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</c:numCache>
            </c:numRef>
          </c:xVal>
          <c:yVal>
            <c:numRef>
              <c:f>[1]标准曲线!$J$3:$J$6</c:f>
              <c:numCache>
                <c:formatCode>General</c:formatCode>
                <c:ptCount val="4"/>
                <c:pt idx="0">
                  <c:v>0.26719999999999999</c:v>
                </c:pt>
                <c:pt idx="1">
                  <c:v>2.1122999999999998</c:v>
                </c:pt>
                <c:pt idx="2">
                  <c:v>11.037100000000001</c:v>
                </c:pt>
                <c:pt idx="3">
                  <c:v>39.651400000000002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781-4656-A729-2F631F800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285376"/>
        <c:axId val="197286912"/>
      </c:scatterChart>
      <c:valAx>
        <c:axId val="197285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7286912"/>
        <c:crosses val="autoZero"/>
        <c:crossBetween val="midCat"/>
      </c:valAx>
      <c:valAx>
        <c:axId val="1972869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728537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glucose</a:t>
            </a:r>
            <a:endParaRPr lang="zh-CN" altLang="en-US"/>
          </a:p>
        </c:rich>
      </c:tx>
      <c:layout>
        <c:manualLayout>
          <c:xMode val="edge"/>
          <c:yMode val="edge"/>
          <c:x val="0.52618188976377955"/>
          <c:y val="0.5068205697742616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4.4751373291453324E-2"/>
                  <c:y val="-2.6945942102064867E-2"/>
                </c:manualLayout>
              </c:layout>
              <c:numFmt formatCode="General" sourceLinked="0"/>
            </c:trendlineLbl>
          </c:trendline>
          <c:xVal>
            <c:numRef>
              <c:f>[1]标准曲线!$K$3:$K$7</c:f>
              <c:numCache>
                <c:formatCode>General</c:formatCode>
                <c:ptCount val="5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  <c:pt idx="4">
                  <c:v>40</c:v>
                </c:pt>
              </c:numCache>
            </c:numRef>
          </c:xVal>
          <c:yVal>
            <c:numRef>
              <c:f>[1]标准曲线!$L$3:$L$7</c:f>
              <c:numCache>
                <c:formatCode>General</c:formatCode>
                <c:ptCount val="5"/>
                <c:pt idx="0">
                  <c:v>6.9000000000000006E-2</c:v>
                </c:pt>
                <c:pt idx="1">
                  <c:v>0.88780000000000003</c:v>
                </c:pt>
                <c:pt idx="2">
                  <c:v>7.6731999999999996</c:v>
                </c:pt>
                <c:pt idx="3">
                  <c:v>35.329300000000003</c:v>
                </c:pt>
                <c:pt idx="4">
                  <c:v>74.905100000000004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5B5-4E55-A2AD-489B007CB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389696"/>
        <c:axId val="197395584"/>
      </c:scatterChart>
      <c:valAx>
        <c:axId val="19738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7395584"/>
        <c:crosses val="autoZero"/>
        <c:crossBetween val="midCat"/>
      </c:valAx>
      <c:valAx>
        <c:axId val="1973955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738969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fructose</a:t>
            </a:r>
            <a:endParaRPr lang="zh-CN" altLang="en-US"/>
          </a:p>
        </c:rich>
      </c:tx>
      <c:layout>
        <c:manualLayout>
          <c:xMode val="edge"/>
          <c:yMode val="edge"/>
          <c:x val="0.16576805257833382"/>
          <c:y val="8.8467614533965219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1.2129906826355239E-2"/>
                  <c:y val="-2.0998429994041824E-2"/>
                </c:manualLayout>
              </c:layout>
              <c:numFmt formatCode="General" sourceLinked="0"/>
            </c:trendlineLbl>
          </c:trendline>
          <c:xVal>
            <c:numRef>
              <c:f>[1]标准曲线!$T$3:$T$7</c:f>
              <c:numCache>
                <c:formatCode>General</c:formatCode>
                <c:ptCount val="5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  <c:pt idx="4">
                  <c:v>40</c:v>
                </c:pt>
              </c:numCache>
            </c:numRef>
          </c:xVal>
          <c:yVal>
            <c:numRef>
              <c:f>[1]标准曲线!$U$3:$U$7</c:f>
              <c:numCache>
                <c:formatCode>General</c:formatCode>
                <c:ptCount val="5"/>
                <c:pt idx="0">
                  <c:v>0.1799</c:v>
                </c:pt>
                <c:pt idx="1">
                  <c:v>0.39839999999999998</c:v>
                </c:pt>
                <c:pt idx="2">
                  <c:v>3.3746999999999998</c:v>
                </c:pt>
                <c:pt idx="3">
                  <c:v>16.7593</c:v>
                </c:pt>
                <c:pt idx="4">
                  <c:v>35.581600000000002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CC8-476E-A58D-46A036F12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735936"/>
        <c:axId val="197737472"/>
      </c:scatterChart>
      <c:valAx>
        <c:axId val="19773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7737472"/>
        <c:crosses val="autoZero"/>
        <c:crossBetween val="midCat"/>
      </c:valAx>
      <c:valAx>
        <c:axId val="1977374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773593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sucrose</a:t>
            </a:r>
            <a:endParaRPr lang="zh-CN" altLang="en-US"/>
          </a:p>
        </c:rich>
      </c:tx>
      <c:layout>
        <c:manualLayout>
          <c:xMode val="edge"/>
          <c:yMode val="edge"/>
          <c:x val="0.2116198833924392"/>
          <c:y val="5.0552922590837324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[1]标准曲线!$V$3:$V$7</c:f>
              <c:numCache>
                <c:formatCode>General</c:formatCode>
                <c:ptCount val="5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  <c:pt idx="4">
                  <c:v>40</c:v>
                </c:pt>
              </c:numCache>
            </c:numRef>
          </c:xVal>
          <c:yVal>
            <c:numRef>
              <c:f>[1]标准曲线!$W$3:$W$7</c:f>
              <c:numCache>
                <c:formatCode>General</c:formatCode>
                <c:ptCount val="5"/>
                <c:pt idx="0">
                  <c:v>0.14979999999999999</c:v>
                </c:pt>
                <c:pt idx="1">
                  <c:v>0.50860000000000005</c:v>
                </c:pt>
                <c:pt idx="2">
                  <c:v>2.9596</c:v>
                </c:pt>
                <c:pt idx="3">
                  <c:v>13.928599999999999</c:v>
                </c:pt>
                <c:pt idx="4">
                  <c:v>26.514299999999999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A94-4B54-9480-5DA8CA7F4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800320"/>
        <c:axId val="197801856"/>
      </c:scatterChart>
      <c:valAx>
        <c:axId val="19780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7801856"/>
        <c:crosses val="autoZero"/>
        <c:crossBetween val="midCat"/>
      </c:valAx>
      <c:valAx>
        <c:axId val="1978018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780032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altLang="zh-CN" sz="1200"/>
              <a:t>trehalose</a:t>
            </a:r>
            <a:endParaRPr lang="zh-CN" altLang="en-US" sz="1200"/>
          </a:p>
        </c:rich>
      </c:tx>
      <c:layout>
        <c:manualLayout>
          <c:xMode val="edge"/>
          <c:yMode val="edge"/>
          <c:x val="0.48572596207194257"/>
          <c:y val="0.48359912482869244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22406980843812441"/>
                  <c:y val="-5.4608677271045923E-2"/>
                </c:manualLayout>
              </c:layout>
              <c:numFmt formatCode="General" sourceLinked="0"/>
            </c:trendlineLbl>
          </c:trendline>
          <c:xVal>
            <c:numRef>
              <c:f>[1]标准曲线!$A$3:$A$6</c:f>
              <c:numCache>
                <c:formatCode>General</c:formatCode>
                <c:ptCount val="4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</c:numCache>
            </c:numRef>
          </c:xVal>
          <c:yVal>
            <c:numRef>
              <c:f>[1]标准曲线!$B$3:$B$6</c:f>
              <c:numCache>
                <c:formatCode>General</c:formatCode>
                <c:ptCount val="4"/>
                <c:pt idx="0">
                  <c:v>8.4099999999999994E-2</c:v>
                </c:pt>
                <c:pt idx="1">
                  <c:v>0.68600000000000005</c:v>
                </c:pt>
                <c:pt idx="2">
                  <c:v>5.1619000000000002</c:v>
                </c:pt>
                <c:pt idx="3">
                  <c:v>17.9434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A48-4C8E-9798-6F55515B8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851392"/>
        <c:axId val="197926912"/>
      </c:scatterChart>
      <c:valAx>
        <c:axId val="19785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7926912"/>
        <c:crosses val="autoZero"/>
        <c:crossBetween val="midCat"/>
      </c:valAx>
      <c:valAx>
        <c:axId val="1979269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785139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melibiose</a:t>
            </a:r>
            <a:endParaRPr lang="zh-CN" altLang="en-US"/>
          </a:p>
        </c:rich>
      </c:tx>
      <c:layout>
        <c:manualLayout>
          <c:xMode val="edge"/>
          <c:yMode val="edge"/>
          <c:x val="0.15688637051209769"/>
          <c:y val="0.11897025825139745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4.4052102182879317E-3"/>
                  <c:y val="-4.2159030639304797E-2"/>
                </c:manualLayout>
              </c:layout>
              <c:numFmt formatCode="General" sourceLinked="0"/>
            </c:trendlineLbl>
          </c:trendline>
          <c:xVal>
            <c:numRef>
              <c:f>[1]标准曲线!$Z$3:$Z$7</c:f>
              <c:numCache>
                <c:formatCode>General</c:formatCode>
                <c:ptCount val="5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</c:numCache>
            </c:numRef>
          </c:xVal>
          <c:yVal>
            <c:numRef>
              <c:f>[1]标准曲线!$AA$3:$AA$7</c:f>
              <c:numCache>
                <c:formatCode>General</c:formatCode>
                <c:ptCount val="5"/>
                <c:pt idx="0">
                  <c:v>0.34510000000000002</c:v>
                </c:pt>
                <c:pt idx="1">
                  <c:v>1.9574</c:v>
                </c:pt>
                <c:pt idx="2">
                  <c:v>9.6100999999999992</c:v>
                </c:pt>
                <c:pt idx="3">
                  <c:v>35.017299999999999</c:v>
                </c:pt>
                <c:pt idx="4">
                  <c:v>66.341999999999999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ACC-4B85-8AF3-4E8465AA2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947776"/>
        <c:axId val="197949312"/>
      </c:scatterChart>
      <c:valAx>
        <c:axId val="19794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7949312"/>
        <c:crosses val="autoZero"/>
        <c:crossBetween val="midCat"/>
      </c:valAx>
      <c:valAx>
        <c:axId val="1979493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794777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lactose</a:t>
            </a:r>
            <a:endParaRPr lang="zh-CN" altLang="en-US"/>
          </a:p>
        </c:rich>
      </c:tx>
      <c:layout>
        <c:manualLayout>
          <c:xMode val="edge"/>
          <c:yMode val="edge"/>
          <c:x val="0.22839506172839516"/>
          <c:y val="8.9347030685915679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[1]标准曲线!$AB$3:$AB$6</c:f>
              <c:numCache>
                <c:formatCode>General</c:formatCode>
                <c:ptCount val="4"/>
                <c:pt idx="0">
                  <c:v>0.34769230769230763</c:v>
                </c:pt>
                <c:pt idx="1">
                  <c:v>1.7384615384615383</c:v>
                </c:pt>
                <c:pt idx="2">
                  <c:v>8.6923076923076916</c:v>
                </c:pt>
                <c:pt idx="3">
                  <c:v>34.769230769230766</c:v>
                </c:pt>
              </c:numCache>
            </c:numRef>
          </c:xVal>
          <c:yVal>
            <c:numRef>
              <c:f>[1]标准曲线!$AC$3:$AC$6</c:f>
              <c:numCache>
                <c:formatCode>General</c:formatCode>
                <c:ptCount val="4"/>
                <c:pt idx="0">
                  <c:v>0.36120000000000002</c:v>
                </c:pt>
                <c:pt idx="1">
                  <c:v>1.8301000000000001</c:v>
                </c:pt>
                <c:pt idx="2">
                  <c:v>8.3611000000000004</c:v>
                </c:pt>
                <c:pt idx="3">
                  <c:v>27.257000000000001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D65-457F-B313-EE215EC9F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966464"/>
        <c:axId val="198058368"/>
      </c:scatterChart>
      <c:valAx>
        <c:axId val="19796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8058368"/>
        <c:crosses val="autoZero"/>
        <c:crossBetween val="midCat"/>
      </c:valAx>
      <c:valAx>
        <c:axId val="198058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796646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D-cellobiose</a:t>
            </a:r>
            <a:endParaRPr lang="zh-CN" altLang="en-US"/>
          </a:p>
        </c:rich>
      </c:tx>
      <c:layout>
        <c:manualLayout>
          <c:xMode val="edge"/>
          <c:yMode val="edge"/>
          <c:x val="0.36517741058132169"/>
          <c:y val="0.61166281984737869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8.7379561425789509E-2"/>
                  <c:y val="-2.9708993799355866E-2"/>
                </c:manualLayout>
              </c:layout>
              <c:numFmt formatCode="General" sourceLinked="0"/>
            </c:trendlineLbl>
          </c:trendline>
          <c:xVal>
            <c:numRef>
              <c:f>[1]标准曲线!$AD$3:$AD$7</c:f>
              <c:numCache>
                <c:formatCode>General</c:formatCode>
                <c:ptCount val="5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</c:numCache>
            </c:numRef>
          </c:xVal>
          <c:yVal>
            <c:numRef>
              <c:f>[1]标准曲线!$AE$3:$AE$7</c:f>
              <c:numCache>
                <c:formatCode>General</c:formatCode>
                <c:ptCount val="5"/>
                <c:pt idx="0">
                  <c:v>0.1077</c:v>
                </c:pt>
                <c:pt idx="1">
                  <c:v>1.1392</c:v>
                </c:pt>
                <c:pt idx="2">
                  <c:v>8.7446000000000002</c:v>
                </c:pt>
                <c:pt idx="3">
                  <c:v>37.333199999999998</c:v>
                </c:pt>
                <c:pt idx="4">
                  <c:v>71.625600000000006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BA2-4A32-BC38-BD75B391D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087424"/>
        <c:axId val="198088960"/>
      </c:scatterChart>
      <c:valAx>
        <c:axId val="19808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8088960"/>
        <c:crosses val="autoZero"/>
        <c:crossBetween val="midCat"/>
      </c:valAx>
      <c:valAx>
        <c:axId val="1980889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808742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maltose</a:t>
            </a:r>
            <a:endParaRPr lang="zh-CN" altLang="en-US"/>
          </a:p>
        </c:rich>
      </c:tx>
      <c:layout>
        <c:manualLayout>
          <c:xMode val="edge"/>
          <c:yMode val="edge"/>
          <c:x val="0.55717131683706578"/>
          <c:y val="0.53837644401376161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[1]标准曲线!$X$3:$X$7</c:f>
              <c:numCache>
                <c:formatCode>General</c:formatCode>
                <c:ptCount val="5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  <c:pt idx="4">
                  <c:v>40</c:v>
                </c:pt>
              </c:numCache>
            </c:numRef>
          </c:xVal>
          <c:yVal>
            <c:numRef>
              <c:f>[1]标准曲线!$Y$3:$Y$7</c:f>
              <c:numCache>
                <c:formatCode>General</c:formatCode>
                <c:ptCount val="5"/>
                <c:pt idx="1">
                  <c:v>0.16159999999999999</c:v>
                </c:pt>
                <c:pt idx="2">
                  <c:v>2.0017999999999998</c:v>
                </c:pt>
                <c:pt idx="3">
                  <c:v>12.4754</c:v>
                </c:pt>
                <c:pt idx="4">
                  <c:v>27.341899999999999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A36-45AF-AF00-382F8A6B0E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30304"/>
        <c:axId val="198144384"/>
      </c:scatterChart>
      <c:valAx>
        <c:axId val="19813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8144384"/>
        <c:crosses val="autoZero"/>
        <c:crossBetween val="midCat"/>
      </c:valAx>
      <c:valAx>
        <c:axId val="1981443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813030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xylose</a:t>
            </a:r>
            <a:endParaRPr lang="zh-CN" altLang="en-US"/>
          </a:p>
        </c:rich>
      </c:tx>
      <c:layout>
        <c:manualLayout>
          <c:xMode val="edge"/>
          <c:yMode val="edge"/>
          <c:x val="0.22854284233333574"/>
          <c:y val="8.5561449289683164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[1]标准曲线!$O$3:$O$7</c:f>
              <c:numCache>
                <c:formatCode>General</c:formatCode>
                <c:ptCount val="5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  <c:pt idx="4">
                  <c:v>40</c:v>
                </c:pt>
              </c:numCache>
            </c:numRef>
          </c:xVal>
          <c:yVal>
            <c:numRef>
              <c:f>[1]标准曲线!$P$3:$P$7</c:f>
              <c:numCache>
                <c:formatCode>General</c:formatCode>
                <c:ptCount val="5"/>
                <c:pt idx="0">
                  <c:v>0.1648</c:v>
                </c:pt>
                <c:pt idx="1">
                  <c:v>2.0802</c:v>
                </c:pt>
                <c:pt idx="2">
                  <c:v>12.007199999999999</c:v>
                </c:pt>
                <c:pt idx="3">
                  <c:v>47.395800000000001</c:v>
                </c:pt>
                <c:pt idx="4">
                  <c:v>96.370999999999995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B9D-454B-887C-703CD85A9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438848"/>
        <c:axId val="197448832"/>
      </c:scatterChart>
      <c:valAx>
        <c:axId val="197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7448832"/>
        <c:crosses val="autoZero"/>
        <c:crossBetween val="midCat"/>
      </c:valAx>
      <c:valAx>
        <c:axId val="1974488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743884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mannose</a:t>
            </a:r>
            <a:endParaRPr lang="zh-CN" altLang="en-US"/>
          </a:p>
        </c:rich>
      </c:tx>
      <c:layout>
        <c:manualLayout>
          <c:xMode val="edge"/>
          <c:yMode val="edge"/>
          <c:x val="0.25466652668416451"/>
          <c:y val="5.0847457627118779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[1]标准曲线!$M$3:$M$7</c:f>
              <c:numCache>
                <c:formatCode>General</c:formatCode>
                <c:ptCount val="5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  <c:pt idx="4">
                  <c:v>40</c:v>
                </c:pt>
              </c:numCache>
            </c:numRef>
          </c:xVal>
          <c:yVal>
            <c:numRef>
              <c:f>[1]标准曲线!$N$3:$N$7</c:f>
              <c:numCache>
                <c:formatCode>General</c:formatCode>
                <c:ptCount val="5"/>
                <c:pt idx="0">
                  <c:v>5.1200000000000002E-2</c:v>
                </c:pt>
                <c:pt idx="1">
                  <c:v>0.83099999999999996</c:v>
                </c:pt>
                <c:pt idx="2">
                  <c:v>9.0188000000000006</c:v>
                </c:pt>
                <c:pt idx="3">
                  <c:v>38.657800000000002</c:v>
                </c:pt>
                <c:pt idx="4">
                  <c:v>78.257999999999996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78F-4992-8B56-0914BB534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416448"/>
        <c:axId val="197417984"/>
      </c:scatterChart>
      <c:valAx>
        <c:axId val="19741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7417984"/>
        <c:crosses val="autoZero"/>
        <c:crossBetween val="midCat"/>
      </c:valAx>
      <c:valAx>
        <c:axId val="1974179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741644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fucose</a:t>
            </a:r>
            <a:endParaRPr lang="zh-CN" altLang="en-US"/>
          </a:p>
        </c:rich>
      </c:tx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5.5924321959755122E-2"/>
                  <c:y val="0.18471055701370664"/>
                </c:manualLayout>
              </c:layout>
              <c:numFmt formatCode="General" sourceLinked="0"/>
            </c:trendlineLbl>
          </c:trendline>
          <c:xVal>
            <c:numRef>
              <c:f>[2]标准曲线!$C$3:$C$6</c:f>
              <c:numCache>
                <c:formatCode>General</c:formatCode>
                <c:ptCount val="4"/>
                <c:pt idx="0">
                  <c:v>0.2</c:v>
                </c:pt>
                <c:pt idx="1">
                  <c:v>0.5</c:v>
                </c:pt>
                <c:pt idx="2">
                  <c:v>1</c:v>
                </c:pt>
                <c:pt idx="3">
                  <c:v>5</c:v>
                </c:pt>
              </c:numCache>
            </c:numRef>
          </c:xVal>
          <c:yVal>
            <c:numRef>
              <c:f>[2]标准曲线!$D$3:$D$6</c:f>
              <c:numCache>
                <c:formatCode>General</c:formatCode>
                <c:ptCount val="4"/>
                <c:pt idx="0">
                  <c:v>0.17549999999999999</c:v>
                </c:pt>
                <c:pt idx="1">
                  <c:v>0.66200000000000003</c:v>
                </c:pt>
                <c:pt idx="2">
                  <c:v>1.5619000000000001</c:v>
                </c:pt>
                <c:pt idx="3">
                  <c:v>8.2494999999999994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BC6-4D42-80E8-41A75ABF8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514240"/>
        <c:axId val="121516032"/>
      </c:scatterChart>
      <c:valAx>
        <c:axId val="12151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1516032"/>
        <c:crosses val="autoZero"/>
        <c:crossBetween val="midCat"/>
      </c:valAx>
      <c:valAx>
        <c:axId val="1215160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151424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rhamnose</a:t>
            </a:r>
            <a:endParaRPr lang="zh-CN" altLang="en-US"/>
          </a:p>
        </c:rich>
      </c:tx>
      <c:layout>
        <c:manualLayout>
          <c:xMode val="edge"/>
          <c:yMode val="edge"/>
          <c:x val="0.60447010260817191"/>
          <c:y val="0.6296479950967858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[2]标准曲线!$E$3:$E$6</c:f>
              <c:numCache>
                <c:formatCode>General</c:formatCode>
                <c:ptCount val="4"/>
                <c:pt idx="0">
                  <c:v>0.2</c:v>
                </c:pt>
                <c:pt idx="1">
                  <c:v>0.5</c:v>
                </c:pt>
                <c:pt idx="2">
                  <c:v>1</c:v>
                </c:pt>
                <c:pt idx="3">
                  <c:v>5</c:v>
                </c:pt>
              </c:numCache>
            </c:numRef>
          </c:xVal>
          <c:yVal>
            <c:numRef>
              <c:f>[2]标准曲线!$F$3:$F$6</c:f>
              <c:numCache>
                <c:formatCode>General</c:formatCode>
                <c:ptCount val="4"/>
                <c:pt idx="0">
                  <c:v>0.18479999999999999</c:v>
                </c:pt>
                <c:pt idx="1">
                  <c:v>0.61729999999999996</c:v>
                </c:pt>
                <c:pt idx="2">
                  <c:v>1.4248000000000001</c:v>
                </c:pt>
                <c:pt idx="3">
                  <c:v>7.7462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6A3-4E40-8F97-C54146DFE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528320"/>
        <c:axId val="121529856"/>
      </c:scatterChart>
      <c:valAx>
        <c:axId val="12152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1529856"/>
        <c:crosses val="autoZero"/>
        <c:crossBetween val="midCat"/>
      </c:valAx>
      <c:valAx>
        <c:axId val="1215298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152832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arabinose</a:t>
            </a:r>
            <a:endParaRPr lang="zh-CN" altLang="en-US"/>
          </a:p>
        </c:rich>
      </c:tx>
      <c:layout>
        <c:manualLayout>
          <c:xMode val="edge"/>
          <c:yMode val="edge"/>
          <c:x val="0.13185993292092302"/>
          <c:y val="0.11162437092129947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[2]标准曲线!$G$3:$G$6</c:f>
              <c:numCache>
                <c:formatCode>General</c:formatCode>
                <c:ptCount val="4"/>
                <c:pt idx="0">
                  <c:v>0.2</c:v>
                </c:pt>
                <c:pt idx="1">
                  <c:v>0.5</c:v>
                </c:pt>
                <c:pt idx="2">
                  <c:v>1</c:v>
                </c:pt>
                <c:pt idx="3">
                  <c:v>5</c:v>
                </c:pt>
              </c:numCache>
            </c:numRef>
          </c:xVal>
          <c:yVal>
            <c:numRef>
              <c:f>[2]标准曲线!$H$3:$H$6</c:f>
              <c:numCache>
                <c:formatCode>General</c:formatCode>
                <c:ptCount val="4"/>
                <c:pt idx="0">
                  <c:v>0.1729</c:v>
                </c:pt>
                <c:pt idx="1">
                  <c:v>0.70389999999999997</c:v>
                </c:pt>
                <c:pt idx="2">
                  <c:v>1.7362</c:v>
                </c:pt>
                <c:pt idx="3">
                  <c:v>10.090400000000001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E11-4BA5-89F0-75EFFB17F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550336"/>
        <c:axId val="121551872"/>
      </c:scatterChart>
      <c:valAx>
        <c:axId val="12155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1551872"/>
        <c:crosses val="autoZero"/>
        <c:crossBetween val="midCat"/>
      </c:valAx>
      <c:valAx>
        <c:axId val="121551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155033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galactose</a:t>
            </a:r>
            <a:endParaRPr lang="zh-CN" altLang="en-US"/>
          </a:p>
        </c:rich>
      </c:tx>
      <c:layout>
        <c:manualLayout>
          <c:xMode val="edge"/>
          <c:yMode val="edge"/>
          <c:x val="0.14910901134932203"/>
          <c:y val="0.20047828965314168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[2]标准曲线!$I$3:$I$6</c:f>
              <c:numCache>
                <c:formatCode>General</c:formatCode>
                <c:ptCount val="4"/>
                <c:pt idx="0">
                  <c:v>0.2</c:v>
                </c:pt>
                <c:pt idx="1">
                  <c:v>0.5</c:v>
                </c:pt>
                <c:pt idx="2">
                  <c:v>1</c:v>
                </c:pt>
                <c:pt idx="3">
                  <c:v>5</c:v>
                </c:pt>
              </c:numCache>
            </c:numRef>
          </c:xVal>
          <c:yVal>
            <c:numRef>
              <c:f>[2]标准曲线!$J$3:$J$6</c:f>
              <c:numCache>
                <c:formatCode>General</c:formatCode>
                <c:ptCount val="4"/>
                <c:pt idx="0">
                  <c:v>0.26219999999999999</c:v>
                </c:pt>
                <c:pt idx="1">
                  <c:v>0.83379999999999999</c:v>
                </c:pt>
                <c:pt idx="2">
                  <c:v>1.9285000000000001</c:v>
                </c:pt>
                <c:pt idx="3">
                  <c:v>11.0113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7B0-492B-9C8E-26ECDBF88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310208"/>
        <c:axId val="121332480"/>
      </c:scatterChart>
      <c:valAx>
        <c:axId val="12131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1332480"/>
        <c:crosses val="autoZero"/>
        <c:crossBetween val="midCat"/>
      </c:valAx>
      <c:valAx>
        <c:axId val="1213324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13102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glucose</a:t>
            </a:r>
            <a:endParaRPr lang="zh-CN" altLang="en-US"/>
          </a:p>
        </c:rich>
      </c:tx>
      <c:layout>
        <c:manualLayout>
          <c:xMode val="edge"/>
          <c:yMode val="edge"/>
          <c:x val="0.14618189119802646"/>
          <c:y val="5.6741527998655332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4.4751373291453324E-2"/>
                  <c:y val="-2.6945942102064923E-2"/>
                </c:manualLayout>
              </c:layout>
              <c:numFmt formatCode="General" sourceLinked="0"/>
            </c:trendlineLbl>
          </c:trendline>
          <c:xVal>
            <c:numRef>
              <c:f>[2]标准曲线!$K$3:$K$8</c:f>
              <c:numCache>
                <c:formatCode>General</c:formatCode>
                <c:ptCount val="6"/>
                <c:pt idx="0">
                  <c:v>0.2</c:v>
                </c:pt>
                <c:pt idx="1">
                  <c:v>0.5</c:v>
                </c:pt>
                <c:pt idx="2">
                  <c:v>1</c:v>
                </c:pt>
                <c:pt idx="3">
                  <c:v>5</c:v>
                </c:pt>
                <c:pt idx="4">
                  <c:v>25</c:v>
                </c:pt>
                <c:pt idx="5">
                  <c:v>50</c:v>
                </c:pt>
              </c:numCache>
            </c:numRef>
          </c:xVal>
          <c:yVal>
            <c:numRef>
              <c:f>[2]标准曲线!$L$3:$L$8</c:f>
              <c:numCache>
                <c:formatCode>General</c:formatCode>
                <c:ptCount val="6"/>
                <c:pt idx="0">
                  <c:v>1.66E-2</c:v>
                </c:pt>
                <c:pt idx="1">
                  <c:v>0.14610000000000001</c:v>
                </c:pt>
                <c:pt idx="2">
                  <c:v>0.52390000000000003</c:v>
                </c:pt>
                <c:pt idx="3">
                  <c:v>6.5721999999999996</c:v>
                </c:pt>
                <c:pt idx="4">
                  <c:v>40.689700000000002</c:v>
                </c:pt>
                <c:pt idx="5">
                  <c:v>72.403899999999993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184-4255-9CAF-550D2A1421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365248"/>
        <c:axId val="121366784"/>
      </c:scatterChart>
      <c:valAx>
        <c:axId val="12136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1366784"/>
        <c:crosses val="autoZero"/>
        <c:crossBetween val="midCat"/>
      </c:valAx>
      <c:valAx>
        <c:axId val="1213667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136524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fructose</a:t>
            </a:r>
            <a:endParaRPr lang="zh-CN" altLang="en-US"/>
          </a:p>
        </c:rich>
      </c:tx>
      <c:layout>
        <c:manualLayout>
          <c:xMode val="edge"/>
          <c:yMode val="edge"/>
          <c:x val="0.16576805257833407"/>
          <c:y val="8.8467614533965219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0.11394111277096801"/>
                  <c:y val="-6.9387228699666341E-4"/>
                </c:manualLayout>
              </c:layout>
              <c:numFmt formatCode="General" sourceLinked="0"/>
            </c:trendlineLbl>
          </c:trendline>
          <c:xVal>
            <c:numRef>
              <c:f>[2]标准曲线!$T$3:$T$8</c:f>
              <c:numCache>
                <c:formatCode>General</c:formatCode>
                <c:ptCount val="6"/>
                <c:pt idx="0">
                  <c:v>0.2</c:v>
                </c:pt>
                <c:pt idx="1">
                  <c:v>0.5</c:v>
                </c:pt>
                <c:pt idx="2">
                  <c:v>1</c:v>
                </c:pt>
                <c:pt idx="3">
                  <c:v>5</c:v>
                </c:pt>
                <c:pt idx="4">
                  <c:v>25</c:v>
                </c:pt>
                <c:pt idx="5">
                  <c:v>50</c:v>
                </c:pt>
              </c:numCache>
            </c:numRef>
          </c:xVal>
          <c:yVal>
            <c:numRef>
              <c:f>[2]标准曲线!$U$3:$U$8</c:f>
              <c:numCache>
                <c:formatCode>General</c:formatCode>
                <c:ptCount val="6"/>
                <c:pt idx="1">
                  <c:v>8.1500000000000003E-2</c:v>
                </c:pt>
                <c:pt idx="2">
                  <c:v>0.24379999999999999</c:v>
                </c:pt>
                <c:pt idx="3">
                  <c:v>2.7614999999999998</c:v>
                </c:pt>
                <c:pt idx="4">
                  <c:v>19.896999999999998</c:v>
                </c:pt>
                <c:pt idx="5">
                  <c:v>34.729500000000002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26B-4D95-B5F7-5D4046083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815424"/>
        <c:axId val="123816960"/>
      </c:scatterChart>
      <c:valAx>
        <c:axId val="12381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3816960"/>
        <c:crosses val="autoZero"/>
        <c:crossBetween val="midCat"/>
      </c:valAx>
      <c:valAx>
        <c:axId val="1238169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381542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sucrose</a:t>
            </a:r>
            <a:endParaRPr lang="zh-CN" altLang="en-US"/>
          </a:p>
        </c:rich>
      </c:tx>
      <c:layout>
        <c:manualLayout>
          <c:xMode val="edge"/>
          <c:yMode val="edge"/>
          <c:x val="0.21161988339243956"/>
          <c:y val="5.0552922590837324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[2]标准曲线!$V$3:$V$7</c:f>
              <c:numCache>
                <c:formatCode>General</c:formatCode>
                <c:ptCount val="5"/>
                <c:pt idx="0">
                  <c:v>0.2</c:v>
                </c:pt>
                <c:pt idx="1">
                  <c:v>0.5</c:v>
                </c:pt>
                <c:pt idx="2">
                  <c:v>1</c:v>
                </c:pt>
                <c:pt idx="3">
                  <c:v>5</c:v>
                </c:pt>
                <c:pt idx="4">
                  <c:v>25</c:v>
                </c:pt>
              </c:numCache>
            </c:numRef>
          </c:xVal>
          <c:yVal>
            <c:numRef>
              <c:f>[2]标准曲线!$W$3:$W$7</c:f>
              <c:numCache>
                <c:formatCode>General</c:formatCode>
                <c:ptCount val="5"/>
                <c:pt idx="1">
                  <c:v>5.67E-2</c:v>
                </c:pt>
                <c:pt idx="2">
                  <c:v>0.14249999999999999</c:v>
                </c:pt>
                <c:pt idx="3">
                  <c:v>2.2673000000000001</c:v>
                </c:pt>
                <c:pt idx="4">
                  <c:v>15.538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D10-4B29-827A-9269AFBAB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871232"/>
        <c:axId val="123872768"/>
      </c:scatterChart>
      <c:valAx>
        <c:axId val="123871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3872768"/>
        <c:crosses val="autoZero"/>
        <c:crossBetween val="midCat"/>
      </c:valAx>
      <c:valAx>
        <c:axId val="1238727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387123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altLang="zh-CN" sz="1200"/>
              <a:t>trehalose</a:t>
            </a:r>
            <a:endParaRPr lang="zh-CN" altLang="en-US" sz="1200"/>
          </a:p>
        </c:rich>
      </c:tx>
      <c:layout>
        <c:manualLayout>
          <c:xMode val="edge"/>
          <c:yMode val="edge"/>
          <c:x val="0.56270279472833851"/>
          <c:y val="0.5017140036942712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4801747384316713"/>
          <c:y val="8.2700332849455271E-2"/>
          <c:w val="0.78774745622550779"/>
          <c:h val="0.81951934779102242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22406980843812441"/>
                  <c:y val="-5.4608677271045923E-2"/>
                </c:manualLayout>
              </c:layout>
              <c:numFmt formatCode="General" sourceLinked="0"/>
            </c:trendlineLbl>
          </c:trendline>
          <c:xVal>
            <c:numRef>
              <c:f>[2]标准曲线!$A$3:$A$7</c:f>
              <c:numCache>
                <c:formatCode>General</c:formatCode>
                <c:ptCount val="5"/>
                <c:pt idx="0">
                  <c:v>0.1</c:v>
                </c:pt>
                <c:pt idx="1">
                  <c:v>0.25</c:v>
                </c:pt>
                <c:pt idx="2">
                  <c:v>0.5</c:v>
                </c:pt>
                <c:pt idx="3">
                  <c:v>2.5</c:v>
                </c:pt>
                <c:pt idx="4">
                  <c:v>12.5</c:v>
                </c:pt>
              </c:numCache>
            </c:numRef>
          </c:xVal>
          <c:yVal>
            <c:numRef>
              <c:f>[2]标准曲线!$B$3:$B$7</c:f>
              <c:numCache>
                <c:formatCode>General</c:formatCode>
                <c:ptCount val="5"/>
                <c:pt idx="0">
                  <c:v>5.0000000000000001E-3</c:v>
                </c:pt>
                <c:pt idx="1">
                  <c:v>2.1399999999999999E-2</c:v>
                </c:pt>
                <c:pt idx="2">
                  <c:v>8.3699999999999997E-2</c:v>
                </c:pt>
                <c:pt idx="3">
                  <c:v>1.3250999999999999</c:v>
                </c:pt>
                <c:pt idx="4">
                  <c:v>8.9600000000000009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C87-4B22-8FE9-F0BFE9D33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901440"/>
        <c:axId val="123902976"/>
      </c:scatterChart>
      <c:valAx>
        <c:axId val="12390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3902976"/>
        <c:crosses val="autoZero"/>
        <c:crossBetween val="midCat"/>
      </c:valAx>
      <c:valAx>
        <c:axId val="1239029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390144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melibiose</a:t>
            </a:r>
            <a:endParaRPr lang="zh-CN" altLang="en-US"/>
          </a:p>
        </c:rich>
      </c:tx>
      <c:layout>
        <c:manualLayout>
          <c:xMode val="edge"/>
          <c:yMode val="edge"/>
          <c:x val="0.15688637051209803"/>
          <c:y val="0.1189702582513975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4.4052102182879317E-3"/>
                  <c:y val="-4.2159030639304797E-2"/>
                </c:manualLayout>
              </c:layout>
              <c:numFmt formatCode="General" sourceLinked="0"/>
            </c:trendlineLbl>
          </c:trendline>
          <c:xVal>
            <c:numRef>
              <c:f>[2]标准曲线!$Z$3:$Z$7</c:f>
              <c:numCache>
                <c:formatCode>General</c:formatCode>
                <c:ptCount val="5"/>
                <c:pt idx="0">
                  <c:v>0.2</c:v>
                </c:pt>
                <c:pt idx="1">
                  <c:v>0.5</c:v>
                </c:pt>
                <c:pt idx="2">
                  <c:v>1</c:v>
                </c:pt>
                <c:pt idx="3">
                  <c:v>5</c:v>
                </c:pt>
                <c:pt idx="4">
                  <c:v>25</c:v>
                </c:pt>
              </c:numCache>
            </c:numRef>
          </c:xVal>
          <c:yVal>
            <c:numRef>
              <c:f>[2]标准曲线!$AA$3:$AA$7</c:f>
              <c:numCache>
                <c:formatCode>General</c:formatCode>
                <c:ptCount val="5"/>
                <c:pt idx="0">
                  <c:v>9.8799999999999999E-2</c:v>
                </c:pt>
                <c:pt idx="1">
                  <c:v>0.32800000000000001</c:v>
                </c:pt>
                <c:pt idx="2">
                  <c:v>0.82589999999999997</c:v>
                </c:pt>
                <c:pt idx="3">
                  <c:v>4.9333</c:v>
                </c:pt>
                <c:pt idx="4">
                  <c:v>23.340900000000001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1A1-4B55-A40B-9DAE73B4C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931648"/>
        <c:axId val="123941632"/>
      </c:scatterChart>
      <c:valAx>
        <c:axId val="12393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3941632"/>
        <c:crosses val="autoZero"/>
        <c:crossBetween val="midCat"/>
      </c:valAx>
      <c:valAx>
        <c:axId val="1239416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393164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lactose</a:t>
            </a:r>
            <a:endParaRPr lang="zh-CN" altLang="en-US"/>
          </a:p>
        </c:rich>
      </c:tx>
      <c:layout>
        <c:manualLayout>
          <c:xMode val="edge"/>
          <c:yMode val="edge"/>
          <c:x val="0.22839506172839524"/>
          <c:y val="8.9347030685915679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[2]标准曲线!$AB$3:$AB$7</c:f>
              <c:numCache>
                <c:formatCode>General</c:formatCode>
                <c:ptCount val="5"/>
                <c:pt idx="0">
                  <c:v>0.17384615384615382</c:v>
                </c:pt>
                <c:pt idx="1">
                  <c:v>0.43461538461538457</c:v>
                </c:pt>
                <c:pt idx="2">
                  <c:v>0.86923076923076914</c:v>
                </c:pt>
                <c:pt idx="3">
                  <c:v>4.3461538461538458</c:v>
                </c:pt>
                <c:pt idx="4">
                  <c:v>21.73076923076923</c:v>
                </c:pt>
              </c:numCache>
            </c:numRef>
          </c:xVal>
          <c:yVal>
            <c:numRef>
              <c:f>[2]标准曲线!$AC$3:$AC$7</c:f>
              <c:numCache>
                <c:formatCode>General</c:formatCode>
                <c:ptCount val="5"/>
                <c:pt idx="0">
                  <c:v>0.1273</c:v>
                </c:pt>
                <c:pt idx="1">
                  <c:v>0.36130000000000001</c:v>
                </c:pt>
                <c:pt idx="2">
                  <c:v>0.87860000000000005</c:v>
                </c:pt>
                <c:pt idx="3">
                  <c:v>4.4424999999999999</c:v>
                </c:pt>
                <c:pt idx="4">
                  <c:v>18.956099999999999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CBB-4F85-8248-061A8CFF9C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962112"/>
        <c:axId val="123963648"/>
      </c:scatterChart>
      <c:valAx>
        <c:axId val="123962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3963648"/>
        <c:crosses val="autoZero"/>
        <c:crossBetween val="midCat"/>
      </c:valAx>
      <c:valAx>
        <c:axId val="1239636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396211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D-cellobiose</a:t>
            </a:r>
            <a:endParaRPr lang="zh-CN" altLang="en-US"/>
          </a:p>
        </c:rich>
      </c:tx>
      <c:layout>
        <c:manualLayout>
          <c:xMode val="edge"/>
          <c:yMode val="edge"/>
          <c:x val="0.10696672593345243"/>
          <c:y val="7.8703480842187673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8.7379561425789509E-2"/>
                  <c:y val="-2.9708993799355866E-2"/>
                </c:manualLayout>
              </c:layout>
              <c:numFmt formatCode="General" sourceLinked="0"/>
            </c:trendlineLbl>
          </c:trendline>
          <c:xVal>
            <c:numRef>
              <c:f>[2]标准曲线!$AD$3:$AD$7</c:f>
              <c:numCache>
                <c:formatCode>General</c:formatCode>
                <c:ptCount val="5"/>
                <c:pt idx="0">
                  <c:v>0.2</c:v>
                </c:pt>
                <c:pt idx="1">
                  <c:v>0.5</c:v>
                </c:pt>
                <c:pt idx="2">
                  <c:v>1</c:v>
                </c:pt>
                <c:pt idx="3">
                  <c:v>5</c:v>
                </c:pt>
                <c:pt idx="4">
                  <c:v>25</c:v>
                </c:pt>
              </c:numCache>
            </c:numRef>
          </c:xVal>
          <c:yVal>
            <c:numRef>
              <c:f>[2]标准曲线!$AE$3:$AE$7</c:f>
              <c:numCache>
                <c:formatCode>General</c:formatCode>
                <c:ptCount val="5"/>
                <c:pt idx="1">
                  <c:v>9.5600000000000004E-2</c:v>
                </c:pt>
                <c:pt idx="2">
                  <c:v>0.33029999999999998</c:v>
                </c:pt>
                <c:pt idx="3">
                  <c:v>4.2948000000000004</c:v>
                </c:pt>
                <c:pt idx="4">
                  <c:v>24.6204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995-4986-9301-2E8AF388F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000512"/>
        <c:axId val="124006400"/>
      </c:scatterChart>
      <c:valAx>
        <c:axId val="12400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4006400"/>
        <c:crosses val="autoZero"/>
        <c:crossBetween val="midCat"/>
      </c:valAx>
      <c:valAx>
        <c:axId val="1240064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400051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maltose</a:t>
            </a:r>
            <a:endParaRPr lang="zh-CN" altLang="en-US"/>
          </a:p>
        </c:rich>
      </c:tx>
      <c:layout>
        <c:manualLayout>
          <c:xMode val="edge"/>
          <c:yMode val="edge"/>
          <c:x val="0.18300653594771241"/>
          <c:y val="8.4388185654008435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[2]标准曲线!$X$3:$X$8</c:f>
              <c:numCache>
                <c:formatCode>General</c:formatCode>
                <c:ptCount val="6"/>
                <c:pt idx="0">
                  <c:v>0.2</c:v>
                </c:pt>
                <c:pt idx="1">
                  <c:v>0.5</c:v>
                </c:pt>
                <c:pt idx="2">
                  <c:v>1</c:v>
                </c:pt>
                <c:pt idx="3">
                  <c:v>5</c:v>
                </c:pt>
                <c:pt idx="4">
                  <c:v>25</c:v>
                </c:pt>
                <c:pt idx="5">
                  <c:v>50</c:v>
                </c:pt>
              </c:numCache>
            </c:numRef>
          </c:xVal>
          <c:yVal>
            <c:numRef>
              <c:f>[2]标准曲线!$Y$3:$Y$8</c:f>
              <c:numCache>
                <c:formatCode>General</c:formatCode>
                <c:ptCount val="6"/>
                <c:pt idx="2">
                  <c:v>7.1499999999999994E-2</c:v>
                </c:pt>
                <c:pt idx="3">
                  <c:v>1.3922000000000001</c:v>
                </c:pt>
                <c:pt idx="4">
                  <c:v>14.038</c:v>
                </c:pt>
                <c:pt idx="5">
                  <c:v>26.646599999999999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C9-490D-B31B-F1891572E3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043264"/>
        <c:axId val="124044800"/>
      </c:scatterChart>
      <c:valAx>
        <c:axId val="12404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4044800"/>
        <c:crosses val="autoZero"/>
        <c:crossBetween val="midCat"/>
      </c:valAx>
      <c:valAx>
        <c:axId val="1240448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404326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fucose</a:t>
            </a:r>
            <a:endParaRPr lang="zh-CN" altLang="en-US"/>
          </a:p>
        </c:rich>
      </c:tx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5.5924321959755122E-2"/>
                  <c:y val="0.18471055701370664"/>
                </c:manualLayout>
              </c:layout>
              <c:numFmt formatCode="General" sourceLinked="0"/>
            </c:trendlineLbl>
          </c:trendline>
          <c:xVal>
            <c:numRef>
              <c:f>[3]标准曲线!$C$3:$C$6</c:f>
              <c:numCache>
                <c:formatCode>General</c:formatCode>
                <c:ptCount val="4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</c:numCache>
            </c:numRef>
          </c:xVal>
          <c:yVal>
            <c:numRef>
              <c:f>[3]标准曲线!$D$3:$D$6</c:f>
              <c:numCache>
                <c:formatCode>General</c:formatCode>
                <c:ptCount val="4"/>
                <c:pt idx="0">
                  <c:v>0.2707</c:v>
                </c:pt>
                <c:pt idx="1">
                  <c:v>1.173</c:v>
                </c:pt>
                <c:pt idx="2">
                  <c:v>6.9089</c:v>
                </c:pt>
                <c:pt idx="3">
                  <c:v>25.3414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DCE-451B-9DB4-9AD3FC794E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85856"/>
        <c:axId val="53453184"/>
      </c:scatterChart>
      <c:valAx>
        <c:axId val="53385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3453184"/>
        <c:crosses val="autoZero"/>
        <c:crossBetween val="midCat"/>
      </c:valAx>
      <c:valAx>
        <c:axId val="534531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338585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rhamnose</a:t>
            </a:r>
            <a:endParaRPr lang="zh-CN" altLang="en-US"/>
          </a:p>
        </c:rich>
      </c:tx>
      <c:layout>
        <c:manualLayout>
          <c:xMode val="edge"/>
          <c:yMode val="edge"/>
          <c:x val="0.12816375967920832"/>
          <c:y val="0.2379592611932235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[3]标准曲线!$E$3:$E$7</c:f>
              <c:numCache>
                <c:formatCode>General</c:formatCode>
                <c:ptCount val="5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  <c:pt idx="4">
                  <c:v>40</c:v>
                </c:pt>
              </c:numCache>
            </c:numRef>
          </c:xVal>
          <c:yVal>
            <c:numRef>
              <c:f>[3]标准曲线!$F$3:$F$7</c:f>
              <c:numCache>
                <c:formatCode>General</c:formatCode>
                <c:ptCount val="5"/>
                <c:pt idx="0">
                  <c:v>0.1898</c:v>
                </c:pt>
                <c:pt idx="1">
                  <c:v>0.96289999999999998</c:v>
                </c:pt>
                <c:pt idx="2">
                  <c:v>5.7736999999999998</c:v>
                </c:pt>
                <c:pt idx="3">
                  <c:v>22.983599999999999</c:v>
                </c:pt>
                <c:pt idx="4">
                  <c:v>42.2928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1D0-457F-BBF0-C2E1210C3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674304"/>
        <c:axId val="88676224"/>
      </c:scatterChart>
      <c:valAx>
        <c:axId val="8867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8676224"/>
        <c:crosses val="autoZero"/>
        <c:crossBetween val="midCat"/>
      </c:valAx>
      <c:valAx>
        <c:axId val="88676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867430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arabinose</a:t>
            </a:r>
            <a:endParaRPr lang="zh-CN" altLang="en-US"/>
          </a:p>
        </c:rich>
      </c:tx>
      <c:layout>
        <c:manualLayout>
          <c:xMode val="edge"/>
          <c:yMode val="edge"/>
          <c:x val="0.12512134103737335"/>
          <c:y val="0.21084952447634048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[3]标准曲线!$G$3:$G$6</c:f>
              <c:numCache>
                <c:formatCode>General</c:formatCode>
                <c:ptCount val="4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</c:numCache>
            </c:numRef>
          </c:xVal>
          <c:yVal>
            <c:numRef>
              <c:f>[3]标准曲线!$H$3:$H$6</c:f>
              <c:numCache>
                <c:formatCode>General</c:formatCode>
                <c:ptCount val="4"/>
                <c:pt idx="0">
                  <c:v>0.2581</c:v>
                </c:pt>
                <c:pt idx="1">
                  <c:v>1.3209</c:v>
                </c:pt>
                <c:pt idx="2">
                  <c:v>8.0782000000000007</c:v>
                </c:pt>
                <c:pt idx="3">
                  <c:v>32.187800000000003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3AC-4A91-8C0A-48BD7E12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283328"/>
        <c:axId val="101284864"/>
      </c:scatterChart>
      <c:valAx>
        <c:axId val="10128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1284864"/>
        <c:crosses val="autoZero"/>
        <c:crossBetween val="midCat"/>
      </c:valAx>
      <c:valAx>
        <c:axId val="1012848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128332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galactose</a:t>
            </a:r>
            <a:endParaRPr lang="zh-CN" altLang="en-US"/>
          </a:p>
        </c:rich>
      </c:tx>
      <c:layout>
        <c:manualLayout>
          <c:xMode val="edge"/>
          <c:yMode val="edge"/>
          <c:x val="0.11511491985456636"/>
          <c:y val="0.19898464148081593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[3]标准曲线!$I$3:$I$6</c:f>
              <c:numCache>
                <c:formatCode>General</c:formatCode>
                <c:ptCount val="4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</c:numCache>
            </c:numRef>
          </c:xVal>
          <c:yVal>
            <c:numRef>
              <c:f>[3]标准曲线!$J$3:$J$6</c:f>
              <c:numCache>
                <c:formatCode>General</c:formatCode>
                <c:ptCount val="4"/>
                <c:pt idx="0">
                  <c:v>0.24840000000000001</c:v>
                </c:pt>
                <c:pt idx="1">
                  <c:v>1.0449999999999999</c:v>
                </c:pt>
                <c:pt idx="2">
                  <c:v>8.9882000000000009</c:v>
                </c:pt>
                <c:pt idx="3">
                  <c:v>34.1736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A8-4B80-9CB0-F988BD934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429312"/>
        <c:axId val="108430848"/>
      </c:scatterChart>
      <c:valAx>
        <c:axId val="10842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8430848"/>
        <c:crosses val="autoZero"/>
        <c:crossBetween val="midCat"/>
      </c:valAx>
      <c:valAx>
        <c:axId val="1084308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842931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glucose</a:t>
            </a:r>
            <a:endParaRPr lang="zh-CN" altLang="en-US"/>
          </a:p>
        </c:rich>
      </c:tx>
      <c:layout>
        <c:manualLayout>
          <c:xMode val="edge"/>
          <c:yMode val="edge"/>
          <c:x val="0.57106320093720742"/>
          <c:y val="0.55931215987689453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4.4751373291453324E-2"/>
                  <c:y val="-2.6945942102064937E-2"/>
                </c:manualLayout>
              </c:layout>
              <c:numFmt formatCode="General" sourceLinked="0"/>
            </c:trendlineLbl>
          </c:trendline>
          <c:xVal>
            <c:numRef>
              <c:f>[3]标准曲线!$K$3:$K$8</c:f>
              <c:numCache>
                <c:formatCode>General</c:formatCode>
                <c:ptCount val="6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  <c:pt idx="5">
                  <c:v>160</c:v>
                </c:pt>
              </c:numCache>
            </c:numRef>
          </c:xVal>
          <c:yVal>
            <c:numRef>
              <c:f>[3]标准曲线!$L$3:$L$8</c:f>
              <c:numCache>
                <c:formatCode>General</c:formatCode>
                <c:ptCount val="6"/>
                <c:pt idx="0">
                  <c:v>0.2964</c:v>
                </c:pt>
                <c:pt idx="1">
                  <c:v>1.661</c:v>
                </c:pt>
                <c:pt idx="2">
                  <c:v>14.335599999999999</c:v>
                </c:pt>
                <c:pt idx="3">
                  <c:v>58.110199999999999</c:v>
                </c:pt>
                <c:pt idx="4">
                  <c:v>108.8306</c:v>
                </c:pt>
                <c:pt idx="5">
                  <c:v>211.18170000000001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C8E-4D90-B287-82C6B10770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482560"/>
        <c:axId val="66484096"/>
      </c:scatterChart>
      <c:valAx>
        <c:axId val="6648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6484096"/>
        <c:crosses val="autoZero"/>
        <c:crossBetween val="midCat"/>
      </c:valAx>
      <c:valAx>
        <c:axId val="66484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648256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fructose</a:t>
            </a:r>
            <a:endParaRPr lang="zh-CN" altLang="en-US"/>
          </a:p>
        </c:rich>
      </c:tx>
      <c:layout>
        <c:manualLayout>
          <c:xMode val="edge"/>
          <c:yMode val="edge"/>
          <c:x val="0.16576805257833413"/>
          <c:y val="8.8467614533965219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1.2129906826355239E-2"/>
                  <c:y val="-2.0998429994041765E-2"/>
                </c:manualLayout>
              </c:layout>
              <c:numFmt formatCode="General" sourceLinked="0"/>
            </c:trendlineLbl>
          </c:trendline>
          <c:xVal>
            <c:numRef>
              <c:f>[3]标准曲线!$W$3:$W$7</c:f>
              <c:numCache>
                <c:formatCode>General</c:formatCode>
                <c:ptCount val="5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</c:numCache>
            </c:numRef>
          </c:xVal>
          <c:yVal>
            <c:numRef>
              <c:f>[3]标准曲线!$X$3:$X$7</c:f>
              <c:numCache>
                <c:formatCode>General</c:formatCode>
                <c:ptCount val="5"/>
                <c:pt idx="0">
                  <c:v>0.19409999999999999</c:v>
                </c:pt>
                <c:pt idx="1">
                  <c:v>1.0125999999999999</c:v>
                </c:pt>
                <c:pt idx="2">
                  <c:v>6.8010999999999999</c:v>
                </c:pt>
                <c:pt idx="3">
                  <c:v>28.180299999999999</c:v>
                </c:pt>
                <c:pt idx="4">
                  <c:v>54.551000000000002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0B-4B18-B8A8-27C09DD85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557056"/>
        <c:axId val="66558592"/>
      </c:scatterChart>
      <c:valAx>
        <c:axId val="6655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6558592"/>
        <c:crosses val="autoZero"/>
        <c:crossBetween val="midCat"/>
      </c:valAx>
      <c:valAx>
        <c:axId val="665585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655705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sucrose</a:t>
            </a:r>
            <a:endParaRPr lang="zh-CN" altLang="en-US"/>
          </a:p>
        </c:rich>
      </c:tx>
      <c:layout>
        <c:manualLayout>
          <c:xMode val="edge"/>
          <c:yMode val="edge"/>
          <c:x val="0.21161988339243962"/>
          <c:y val="5.0552922590837324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[3]标准曲线!$Y$3:$Y$7</c:f>
              <c:numCache>
                <c:formatCode>General</c:formatCode>
                <c:ptCount val="5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</c:numCache>
            </c:numRef>
          </c:xVal>
          <c:yVal>
            <c:numRef>
              <c:f>[3]标准曲线!$Z$3:$Z$7</c:f>
              <c:numCache>
                <c:formatCode>General</c:formatCode>
                <c:ptCount val="5"/>
                <c:pt idx="0">
                  <c:v>0.1082</c:v>
                </c:pt>
                <c:pt idx="1">
                  <c:v>0.93259999999999998</c:v>
                </c:pt>
                <c:pt idx="2">
                  <c:v>7.2339000000000002</c:v>
                </c:pt>
                <c:pt idx="3">
                  <c:v>29.6919</c:v>
                </c:pt>
                <c:pt idx="4">
                  <c:v>54.855499999999999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298-45AD-ABA1-B827D2ECA2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567552"/>
        <c:axId val="66569344"/>
      </c:scatterChart>
      <c:valAx>
        <c:axId val="6656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6569344"/>
        <c:crosses val="autoZero"/>
        <c:crossBetween val="midCat"/>
      </c:valAx>
      <c:valAx>
        <c:axId val="665693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656755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altLang="zh-CN" sz="1200"/>
              <a:t>trehalose</a:t>
            </a:r>
            <a:endParaRPr lang="zh-CN" altLang="en-US" sz="1200"/>
          </a:p>
        </c:rich>
      </c:tx>
      <c:layout>
        <c:manualLayout>
          <c:xMode val="edge"/>
          <c:yMode val="edge"/>
          <c:x val="0.25887217456027056"/>
          <c:y val="0.10554915534886999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22406980843812441"/>
                  <c:y val="-5.4608677271045923E-2"/>
                </c:manualLayout>
              </c:layout>
              <c:numFmt formatCode="General" sourceLinked="0"/>
            </c:trendlineLbl>
          </c:trendline>
          <c:xVal>
            <c:numRef>
              <c:f>[3]标准曲线!$A$3:$A$7</c:f>
              <c:numCache>
                <c:formatCode>General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2.5</c:v>
                </c:pt>
                <c:pt idx="3">
                  <c:v>10</c:v>
                </c:pt>
                <c:pt idx="4">
                  <c:v>20</c:v>
                </c:pt>
              </c:numCache>
            </c:numRef>
          </c:xVal>
          <c:yVal>
            <c:numRef>
              <c:f>[3]标准曲线!$B$3:$B$7</c:f>
              <c:numCache>
                <c:formatCode>General</c:formatCode>
                <c:ptCount val="5"/>
                <c:pt idx="0">
                  <c:v>0.06</c:v>
                </c:pt>
                <c:pt idx="1">
                  <c:v>0.379</c:v>
                </c:pt>
                <c:pt idx="2">
                  <c:v>2.8028</c:v>
                </c:pt>
                <c:pt idx="3">
                  <c:v>11.288</c:v>
                </c:pt>
                <c:pt idx="4">
                  <c:v>20.636500000000002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EE9-40AF-B4C5-F87D00FD50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589824"/>
        <c:axId val="66591360"/>
      </c:scatterChart>
      <c:valAx>
        <c:axId val="66589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6591360"/>
        <c:crosses val="autoZero"/>
        <c:crossBetween val="midCat"/>
      </c:valAx>
      <c:valAx>
        <c:axId val="665913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658982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melibiose</a:t>
            </a:r>
            <a:endParaRPr lang="zh-CN" altLang="en-US"/>
          </a:p>
        </c:rich>
      </c:tx>
      <c:layout>
        <c:manualLayout>
          <c:xMode val="edge"/>
          <c:yMode val="edge"/>
          <c:x val="0.15688637051209808"/>
          <c:y val="0.1189702582513975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4.4052102182879317E-3"/>
                  <c:y val="-4.2159030639304797E-2"/>
                </c:manualLayout>
              </c:layout>
              <c:numFmt formatCode="General" sourceLinked="0"/>
            </c:trendlineLbl>
          </c:trendline>
          <c:xVal>
            <c:numRef>
              <c:f>[3]标准曲线!$AC$3:$AC$7</c:f>
              <c:numCache>
                <c:formatCode>General</c:formatCode>
                <c:ptCount val="5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  <c:pt idx="4">
                  <c:v>40</c:v>
                </c:pt>
              </c:numCache>
            </c:numRef>
          </c:xVal>
          <c:yVal>
            <c:numRef>
              <c:f>[3]标准曲线!$AD$3:$AD$7</c:f>
              <c:numCache>
                <c:formatCode>General</c:formatCode>
                <c:ptCount val="5"/>
                <c:pt idx="0">
                  <c:v>0.13339999999999999</c:v>
                </c:pt>
                <c:pt idx="1">
                  <c:v>0.57599999999999996</c:v>
                </c:pt>
                <c:pt idx="2">
                  <c:v>4.1292999999999997</c:v>
                </c:pt>
                <c:pt idx="3">
                  <c:v>17.080400000000001</c:v>
                </c:pt>
                <c:pt idx="4">
                  <c:v>33.904899999999998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07F-431A-ACA6-7B126CFAD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603648"/>
        <c:axId val="66630016"/>
      </c:scatterChart>
      <c:valAx>
        <c:axId val="6660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6630016"/>
        <c:crosses val="autoZero"/>
        <c:crossBetween val="midCat"/>
      </c:valAx>
      <c:valAx>
        <c:axId val="666300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660364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lactose</a:t>
            </a:r>
            <a:endParaRPr lang="zh-CN" altLang="en-US"/>
          </a:p>
        </c:rich>
      </c:tx>
      <c:layout>
        <c:manualLayout>
          <c:xMode val="edge"/>
          <c:yMode val="edge"/>
          <c:x val="0.22839506172839524"/>
          <c:y val="8.9347030685915679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[3]标准曲线!$AE$3:$AE$7</c:f>
              <c:numCache>
                <c:formatCode>General</c:formatCode>
                <c:ptCount val="5"/>
                <c:pt idx="0">
                  <c:v>0.17384615384615382</c:v>
                </c:pt>
                <c:pt idx="1">
                  <c:v>0.86923076923076914</c:v>
                </c:pt>
                <c:pt idx="2">
                  <c:v>4.3461538461538458</c:v>
                </c:pt>
                <c:pt idx="3">
                  <c:v>17.384615384615383</c:v>
                </c:pt>
                <c:pt idx="4">
                  <c:v>34.769230769230766</c:v>
                </c:pt>
              </c:numCache>
            </c:numRef>
          </c:xVal>
          <c:yVal>
            <c:numRef>
              <c:f>[3]标准曲线!$AF$3:$AF$7</c:f>
              <c:numCache>
                <c:formatCode>General</c:formatCode>
                <c:ptCount val="5"/>
                <c:pt idx="0">
                  <c:v>0.13120000000000001</c:v>
                </c:pt>
                <c:pt idx="1">
                  <c:v>0.59409999999999996</c:v>
                </c:pt>
                <c:pt idx="2">
                  <c:v>4.0458999999999996</c:v>
                </c:pt>
                <c:pt idx="3">
                  <c:v>15.882999999999999</c:v>
                </c:pt>
                <c:pt idx="4">
                  <c:v>31.022300000000001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A48-45D5-A021-345FBFDC73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642304"/>
        <c:axId val="66643840"/>
      </c:scatterChart>
      <c:valAx>
        <c:axId val="6664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6643840"/>
        <c:crosses val="autoZero"/>
        <c:crossBetween val="midCat"/>
      </c:valAx>
      <c:valAx>
        <c:axId val="666438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664230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D-cellobiose</a:t>
            </a:r>
            <a:endParaRPr lang="zh-CN" altLang="en-US"/>
          </a:p>
        </c:rich>
      </c:tx>
      <c:layout>
        <c:manualLayout>
          <c:xMode val="edge"/>
          <c:yMode val="edge"/>
          <c:x val="0.10696672593345247"/>
          <c:y val="7.8703480842187701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8.7379561425789509E-2"/>
                  <c:y val="-2.9708993799355866E-2"/>
                </c:manualLayout>
              </c:layout>
              <c:numFmt formatCode="General" sourceLinked="0"/>
            </c:trendlineLbl>
          </c:trendline>
          <c:xVal>
            <c:numRef>
              <c:f>[3]标准曲线!$AG$3:$AG$7</c:f>
              <c:numCache>
                <c:formatCode>General</c:formatCode>
                <c:ptCount val="5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  <c:pt idx="4">
                  <c:v>40</c:v>
                </c:pt>
              </c:numCache>
            </c:numRef>
          </c:xVal>
          <c:yVal>
            <c:numRef>
              <c:f>[3]标准曲线!$AH$3:$AH$7</c:f>
              <c:numCache>
                <c:formatCode>General</c:formatCode>
                <c:ptCount val="5"/>
                <c:pt idx="0">
                  <c:v>0.10829999999999999</c:v>
                </c:pt>
                <c:pt idx="1">
                  <c:v>0.64149999999999996</c:v>
                </c:pt>
                <c:pt idx="2">
                  <c:v>4.4493999999999998</c:v>
                </c:pt>
                <c:pt idx="3">
                  <c:v>18.4438</c:v>
                </c:pt>
                <c:pt idx="4">
                  <c:v>35.634700000000002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4BA-482D-A375-CA629E9D3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128960"/>
        <c:axId val="71130496"/>
      </c:scatterChart>
      <c:valAx>
        <c:axId val="71128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1130496"/>
        <c:crosses val="autoZero"/>
        <c:crossBetween val="midCat"/>
      </c:valAx>
      <c:valAx>
        <c:axId val="711304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112896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maltose</a:t>
            </a:r>
            <a:endParaRPr lang="zh-CN" altLang="en-US"/>
          </a:p>
        </c:rich>
      </c:tx>
      <c:layout>
        <c:manualLayout>
          <c:xMode val="edge"/>
          <c:yMode val="edge"/>
          <c:x val="0.18300653594771241"/>
          <c:y val="8.4388185654008435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625209692825091"/>
          <c:y val="8.3190684355139974E-2"/>
          <c:w val="0.8104656184032043"/>
          <c:h val="0.83214081453899735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[3]标准曲线!$AA$3:$AA$7</c:f>
              <c:numCache>
                <c:formatCode>General</c:formatCode>
                <c:ptCount val="5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  <c:pt idx="4">
                  <c:v>40</c:v>
                </c:pt>
              </c:numCache>
            </c:numRef>
          </c:xVal>
          <c:yVal>
            <c:numRef>
              <c:f>[3]标准曲线!$AB$3:$AB$7</c:f>
              <c:numCache>
                <c:formatCode>General</c:formatCode>
                <c:ptCount val="5"/>
                <c:pt idx="0">
                  <c:v>3.61E-2</c:v>
                </c:pt>
                <c:pt idx="1">
                  <c:v>0.33879999999999999</c:v>
                </c:pt>
                <c:pt idx="2">
                  <c:v>3.5527000000000002</c:v>
                </c:pt>
                <c:pt idx="3">
                  <c:v>15.178100000000001</c:v>
                </c:pt>
                <c:pt idx="4">
                  <c:v>29.585100000000001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C33-4B4D-8C82-63BA99098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163264"/>
        <c:axId val="71173248"/>
      </c:scatterChart>
      <c:valAx>
        <c:axId val="7116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1173248"/>
        <c:crosses val="autoZero"/>
        <c:crossBetween val="midCat"/>
      </c:valAx>
      <c:valAx>
        <c:axId val="711732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116326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glucose_low concentration</a:t>
            </a:r>
            <a:endParaRPr lang="zh-CN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beebread!$K$3:$K$6</c:f>
              <c:numCache>
                <c:formatCode>General</c:formatCode>
                <c:ptCount val="4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</c:numCache>
            </c:numRef>
          </c:xVal>
          <c:yVal>
            <c:numRef>
              <c:f>beebread!$L$3:$L$6</c:f>
              <c:numCache>
                <c:formatCode>General</c:formatCode>
                <c:ptCount val="4"/>
                <c:pt idx="0">
                  <c:v>0.2964</c:v>
                </c:pt>
                <c:pt idx="1">
                  <c:v>1.661</c:v>
                </c:pt>
                <c:pt idx="2">
                  <c:v>14.335599999999999</c:v>
                </c:pt>
                <c:pt idx="3">
                  <c:v>58.110199999999999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43C-48F7-B412-042909886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2046127"/>
        <c:axId val="1112055695"/>
      </c:scatterChart>
      <c:valAx>
        <c:axId val="11120461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2055695"/>
        <c:crosses val="autoZero"/>
        <c:crossBetween val="midCat"/>
      </c:valAx>
      <c:valAx>
        <c:axId val="11120556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20461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fructose_low concentration</a:t>
            </a:r>
            <a:endParaRPr lang="zh-CN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beebread!$M$3:$M$6</c:f>
              <c:numCache>
                <c:formatCode>General</c:formatCode>
                <c:ptCount val="4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</c:numCache>
            </c:numRef>
          </c:xVal>
          <c:yVal>
            <c:numRef>
              <c:f>beebread!$N$3:$N$6</c:f>
              <c:numCache>
                <c:formatCode>General</c:formatCode>
                <c:ptCount val="4"/>
                <c:pt idx="0">
                  <c:v>0.19409999999999999</c:v>
                </c:pt>
                <c:pt idx="1">
                  <c:v>1.0125999999999999</c:v>
                </c:pt>
                <c:pt idx="2">
                  <c:v>6.8010999999999999</c:v>
                </c:pt>
                <c:pt idx="3">
                  <c:v>28.180299999999999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C4-4F68-B017-135EA6C298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8556207"/>
        <c:axId val="1258545391"/>
      </c:scatterChart>
      <c:valAx>
        <c:axId val="12585562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8545391"/>
        <c:crosses val="autoZero"/>
        <c:crossBetween val="midCat"/>
      </c:valAx>
      <c:valAx>
        <c:axId val="12585453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855620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sucrose_low concentration</a:t>
            </a:r>
            <a:endParaRPr lang="zh-CN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beebread!$O$3:$O$5</c:f>
              <c:numCache>
                <c:formatCode>General</c:formatCode>
                <c:ptCount val="3"/>
                <c:pt idx="0">
                  <c:v>0.4</c:v>
                </c:pt>
                <c:pt idx="1">
                  <c:v>2</c:v>
                </c:pt>
                <c:pt idx="2">
                  <c:v>10</c:v>
                </c:pt>
              </c:numCache>
            </c:numRef>
          </c:xVal>
          <c:yVal>
            <c:numRef>
              <c:f>beebread!$P$3:$P$5</c:f>
              <c:numCache>
                <c:formatCode>General</c:formatCode>
                <c:ptCount val="3"/>
                <c:pt idx="0">
                  <c:v>0.1082</c:v>
                </c:pt>
                <c:pt idx="1">
                  <c:v>0.93259999999999998</c:v>
                </c:pt>
                <c:pt idx="2">
                  <c:v>7.2339000000000002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585-4ABB-A709-D803BC026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6401151"/>
        <c:axId val="476398655"/>
      </c:scatterChart>
      <c:valAx>
        <c:axId val="47640115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398655"/>
        <c:crosses val="autoZero"/>
        <c:crossBetween val="midCat"/>
      </c:valAx>
      <c:valAx>
        <c:axId val="476398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4011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fucose</a:t>
            </a:r>
            <a:endParaRPr lang="zh-CN" altLang="en-US"/>
          </a:p>
        </c:rich>
      </c:tx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5.5924321959755122E-2"/>
                  <c:y val="0.18471055701370664"/>
                </c:manualLayout>
              </c:layout>
              <c:numFmt formatCode="General" sourceLinked="0"/>
            </c:trendlineLbl>
          </c:trendline>
          <c:xVal>
            <c:numRef>
              <c:f>[4]标准曲线!$A$3:$A$8</c:f>
              <c:numCache>
                <c:formatCode>General</c:formatCode>
                <c:ptCount val="6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  <c:pt idx="4">
                  <c:v>40</c:v>
                </c:pt>
                <c:pt idx="5">
                  <c:v>50</c:v>
                </c:pt>
              </c:numCache>
            </c:numRef>
          </c:xVal>
          <c:yVal>
            <c:numRef>
              <c:f>[4]标准曲线!$B$3:$B$8</c:f>
              <c:numCache>
                <c:formatCode>General</c:formatCode>
                <c:ptCount val="6"/>
                <c:pt idx="0">
                  <c:v>0.15229999999999999</c:v>
                </c:pt>
                <c:pt idx="1">
                  <c:v>1.2149000000000001</c:v>
                </c:pt>
                <c:pt idx="2">
                  <c:v>6.2723000000000004</c:v>
                </c:pt>
                <c:pt idx="3">
                  <c:v>21.978400000000001</c:v>
                </c:pt>
                <c:pt idx="4">
                  <c:v>41.525700000000001</c:v>
                </c:pt>
                <c:pt idx="5">
                  <c:v>53.063099999999999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F1F-424A-BD8A-BC6574F0C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847552"/>
        <c:axId val="95849088"/>
      </c:scatterChart>
      <c:valAx>
        <c:axId val="9584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5849088"/>
        <c:crosses val="autoZero"/>
        <c:crossBetween val="midCat"/>
      </c:valAx>
      <c:valAx>
        <c:axId val="958490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584755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466" l="0.70000000000000062" r="0.70000000000000062" t="0.75000000000000466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rhamnose</a:t>
            </a:r>
            <a:endParaRPr lang="zh-CN" altLang="en-US"/>
          </a:p>
        </c:rich>
      </c:tx>
      <c:layout>
        <c:manualLayout>
          <c:xMode val="edge"/>
          <c:yMode val="edge"/>
          <c:x val="0.13889943932676976"/>
          <c:y val="0.2761022808724821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[4]标准曲线!$C$3:$C$8</c:f>
              <c:numCache>
                <c:formatCode>General</c:formatCode>
                <c:ptCount val="6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  <c:pt idx="4">
                  <c:v>40</c:v>
                </c:pt>
                <c:pt idx="5">
                  <c:v>50</c:v>
                </c:pt>
              </c:numCache>
            </c:numRef>
          </c:xVal>
          <c:yVal>
            <c:numRef>
              <c:f>[4]标准曲线!$D$3:$D$8</c:f>
              <c:numCache>
                <c:formatCode>General</c:formatCode>
                <c:ptCount val="6"/>
                <c:pt idx="0">
                  <c:v>8.43E-2</c:v>
                </c:pt>
                <c:pt idx="1">
                  <c:v>0.78869999999999996</c:v>
                </c:pt>
                <c:pt idx="2">
                  <c:v>4.7575000000000003</c:v>
                </c:pt>
                <c:pt idx="3">
                  <c:v>18.7866</c:v>
                </c:pt>
                <c:pt idx="4">
                  <c:v>33.052900000000001</c:v>
                </c:pt>
                <c:pt idx="5">
                  <c:v>44.1738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58C-4F83-9891-200B37BF2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873664"/>
        <c:axId val="95891840"/>
      </c:scatterChart>
      <c:valAx>
        <c:axId val="9587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5891840"/>
        <c:crosses val="autoZero"/>
        <c:crossBetween val="midCat"/>
      </c:valAx>
      <c:valAx>
        <c:axId val="958918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587366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466" l="0.70000000000000062" r="0.70000000000000062" t="0.75000000000000466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arabinose</a:t>
            </a:r>
            <a:endParaRPr lang="zh-CN" altLang="en-US"/>
          </a:p>
        </c:rich>
      </c:tx>
      <c:layout>
        <c:manualLayout>
          <c:xMode val="edge"/>
          <c:yMode val="edge"/>
          <c:x val="0.48953775908220254"/>
          <c:y val="0.59194105811397757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[4]标准曲线!$E$3:$E$8</c:f>
              <c:numCache>
                <c:formatCode>General</c:formatCode>
                <c:ptCount val="6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  <c:pt idx="4">
                  <c:v>40</c:v>
                </c:pt>
                <c:pt idx="5">
                  <c:v>50</c:v>
                </c:pt>
              </c:numCache>
            </c:numRef>
          </c:xVal>
          <c:yVal>
            <c:numRef>
              <c:f>[4]标准曲线!$F$3:$F$8</c:f>
              <c:numCache>
                <c:formatCode>General</c:formatCode>
                <c:ptCount val="6"/>
                <c:pt idx="0">
                  <c:v>0.20680000000000001</c:v>
                </c:pt>
                <c:pt idx="1">
                  <c:v>1.0747</c:v>
                </c:pt>
                <c:pt idx="2">
                  <c:v>6.3217999999999996</c:v>
                </c:pt>
                <c:pt idx="3">
                  <c:v>25.221599999999999</c:v>
                </c:pt>
                <c:pt idx="4">
                  <c:v>43.900700000000001</c:v>
                </c:pt>
                <c:pt idx="5">
                  <c:v>55.5182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5EA-4FC7-9D86-C7848A8A0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908224"/>
        <c:axId val="95909760"/>
      </c:scatterChart>
      <c:valAx>
        <c:axId val="9590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5909760"/>
        <c:crosses val="autoZero"/>
        <c:crossBetween val="midCat"/>
      </c:valAx>
      <c:valAx>
        <c:axId val="959097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590822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466" l="0.70000000000000062" r="0.70000000000000062" t="0.75000000000000466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galactose</a:t>
            </a:r>
            <a:endParaRPr lang="zh-CN" altLang="en-US"/>
          </a:p>
        </c:rich>
      </c:tx>
      <c:layout>
        <c:manualLayout>
          <c:xMode val="edge"/>
          <c:yMode val="edge"/>
          <c:x val="0.12661601567772671"/>
          <c:y val="0.28809815386906057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#,##0.0000_);[Red]\(#,##0.0000\)" sourceLinked="0"/>
            </c:trendlineLbl>
          </c:trendline>
          <c:xVal>
            <c:numRef>
              <c:f>[4]标准曲线!$G$4:$G$8</c:f>
              <c:numCache>
                <c:formatCode>General</c:formatCode>
                <c:ptCount val="5"/>
                <c:pt idx="0">
                  <c:v>1</c:v>
                </c:pt>
                <c:pt idx="1">
                  <c:v>5</c:v>
                </c:pt>
                <c:pt idx="2">
                  <c:v>20</c:v>
                </c:pt>
                <c:pt idx="3">
                  <c:v>40</c:v>
                </c:pt>
                <c:pt idx="4">
                  <c:v>50</c:v>
                </c:pt>
              </c:numCache>
            </c:numRef>
          </c:xVal>
          <c:yVal>
            <c:numRef>
              <c:f>[4]标准曲线!$H$4:$H$8</c:f>
              <c:numCache>
                <c:formatCode>General</c:formatCode>
                <c:ptCount val="5"/>
                <c:pt idx="0">
                  <c:v>1.1904999999999999</c:v>
                </c:pt>
                <c:pt idx="1">
                  <c:v>7.5297999999999998</c:v>
                </c:pt>
                <c:pt idx="2">
                  <c:v>30.2135</c:v>
                </c:pt>
                <c:pt idx="3">
                  <c:v>54.171799999999998</c:v>
                </c:pt>
                <c:pt idx="4">
                  <c:v>72.8142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284-453B-8096-249FD31FA6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942528"/>
        <c:axId val="95944064"/>
      </c:scatterChart>
      <c:valAx>
        <c:axId val="9594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5944064"/>
        <c:crosses val="autoZero"/>
        <c:crossBetween val="midCat"/>
      </c:valAx>
      <c:valAx>
        <c:axId val="959440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594252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466" l="0.70000000000000062" r="0.70000000000000062" t="0.75000000000000466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glucose</a:t>
            </a:r>
            <a:endParaRPr lang="zh-CN" altLang="en-US"/>
          </a:p>
        </c:rich>
      </c:tx>
      <c:layout>
        <c:manualLayout>
          <c:xMode val="edge"/>
          <c:yMode val="edge"/>
          <c:x val="0.14618189119802646"/>
          <c:y val="5.6741527998655332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4.4751373291453324E-2"/>
                  <c:y val="-2.6945942102065103E-2"/>
                </c:manualLayout>
              </c:layout>
              <c:numFmt formatCode="#,##0.0000_);[Red]\(#,##0.0000\)" sourceLinked="0"/>
            </c:trendlineLbl>
          </c:trendline>
          <c:xVal>
            <c:numRef>
              <c:f>[4]标准曲线!$I$3:$I$8</c:f>
              <c:numCache>
                <c:formatCode>General</c:formatCode>
                <c:ptCount val="6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[4]标准曲线!$J$3:$J$8</c:f>
              <c:numCache>
                <c:formatCode>General</c:formatCode>
                <c:ptCount val="6"/>
                <c:pt idx="0">
                  <c:v>0.2162</c:v>
                </c:pt>
                <c:pt idx="1">
                  <c:v>0.69869999999999999</c:v>
                </c:pt>
                <c:pt idx="2">
                  <c:v>7.8217999999999996</c:v>
                </c:pt>
                <c:pt idx="3">
                  <c:v>38.971899999999998</c:v>
                </c:pt>
                <c:pt idx="4">
                  <c:v>81.151799999999994</c:v>
                </c:pt>
                <c:pt idx="5">
                  <c:v>105.045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918-4C52-B760-6D7FCF312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405760"/>
        <c:axId val="98415744"/>
      </c:scatterChart>
      <c:valAx>
        <c:axId val="9840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8415744"/>
        <c:crosses val="autoZero"/>
        <c:crossBetween val="midCat"/>
      </c:valAx>
      <c:valAx>
        <c:axId val="984157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40576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466" l="0.70000000000000062" r="0.70000000000000062" t="0.75000000000000466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fructose</a:t>
            </a:r>
            <a:endParaRPr lang="zh-CN" altLang="en-US"/>
          </a:p>
        </c:rich>
      </c:tx>
      <c:layout>
        <c:manualLayout>
          <c:xMode val="edge"/>
          <c:yMode val="edge"/>
          <c:x val="0.16576805257833493"/>
          <c:y val="8.8467614533965219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1.2129906826355239E-2"/>
                  <c:y val="-2.0998429994041615E-2"/>
                </c:manualLayout>
              </c:layout>
              <c:numFmt formatCode="#,##0.0000_);[Red]\(#,##0.0000\)" sourceLinked="0"/>
            </c:trendlineLbl>
          </c:trendline>
          <c:xVal>
            <c:numRef>
              <c:f>[4]标准曲线!$R$3:$R$8</c:f>
              <c:numCache>
                <c:formatCode>General</c:formatCode>
                <c:ptCount val="6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[4]标准曲线!$S$3:$S$8</c:f>
              <c:numCache>
                <c:formatCode>General</c:formatCode>
                <c:ptCount val="6"/>
                <c:pt idx="0">
                  <c:v>2.5700000000000001E-2</c:v>
                </c:pt>
                <c:pt idx="1">
                  <c:v>0.44280000000000003</c:v>
                </c:pt>
                <c:pt idx="2">
                  <c:v>4.1483999999999996</c:v>
                </c:pt>
                <c:pt idx="3">
                  <c:v>21.884</c:v>
                </c:pt>
                <c:pt idx="4">
                  <c:v>43.664900000000003</c:v>
                </c:pt>
                <c:pt idx="5">
                  <c:v>53.283000000000001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1C8-48F2-A35A-6B1102F81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86176"/>
        <c:axId val="97187712"/>
      </c:scatterChart>
      <c:valAx>
        <c:axId val="9718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7187712"/>
        <c:crosses val="autoZero"/>
        <c:crossBetween val="midCat"/>
      </c:valAx>
      <c:valAx>
        <c:axId val="971877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18617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466" l="0.70000000000000062" r="0.70000000000000062" t="0.75000000000000466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sucrose</a:t>
            </a:r>
            <a:endParaRPr lang="zh-CN" altLang="en-US"/>
          </a:p>
        </c:rich>
      </c:tx>
      <c:layout>
        <c:manualLayout>
          <c:xMode val="edge"/>
          <c:yMode val="edge"/>
          <c:x val="0.13580243655792726"/>
          <c:y val="0.23408974614246594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1"/>
            <c:trendlineLbl>
              <c:layout>
                <c:manualLayout>
                  <c:x val="4.3511571578966693E-3"/>
                  <c:y val="-3.5807175470189717E-2"/>
                </c:manualLayout>
              </c:layout>
              <c:numFmt formatCode="#,##0.0000_);[Red]\(#,##0.0000\)" sourceLinked="0"/>
            </c:trendlineLbl>
          </c:trendline>
          <c:xVal>
            <c:numRef>
              <c:f>[4]标准曲线!$T$4:$T$8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40</c:v>
                </c:pt>
                <c:pt idx="3">
                  <c:v>80</c:v>
                </c:pt>
                <c:pt idx="4">
                  <c:v>100</c:v>
                </c:pt>
              </c:numCache>
            </c:numRef>
          </c:xVal>
          <c:yVal>
            <c:numRef>
              <c:f>[4]标准曲线!$U$4:$U$8</c:f>
              <c:numCache>
                <c:formatCode>General</c:formatCode>
                <c:ptCount val="5"/>
                <c:pt idx="0">
                  <c:v>0.248</c:v>
                </c:pt>
                <c:pt idx="1">
                  <c:v>3.742</c:v>
                </c:pt>
                <c:pt idx="2">
                  <c:v>21.853000000000002</c:v>
                </c:pt>
                <c:pt idx="3">
                  <c:v>39.005200000000002</c:v>
                </c:pt>
                <c:pt idx="4">
                  <c:v>52.611400000000003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2FA-4497-8088-B8FF9B1C3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559488"/>
        <c:axId val="100573568"/>
      </c:scatterChart>
      <c:valAx>
        <c:axId val="10055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573568"/>
        <c:crosses val="autoZero"/>
        <c:crossBetween val="midCat"/>
      </c:valAx>
      <c:valAx>
        <c:axId val="1005735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55948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466" l="0.70000000000000062" r="0.70000000000000062" t="0.75000000000000466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maltose</a:t>
            </a:r>
            <a:endParaRPr lang="zh-CN" altLang="en-US"/>
          </a:p>
        </c:rich>
      </c:tx>
      <c:layout>
        <c:manualLayout>
          <c:xMode val="edge"/>
          <c:yMode val="edge"/>
          <c:x val="0.56640367495025645"/>
          <c:y val="0.51084923098689405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587401574803137"/>
          <c:y val="0.1022383224480167"/>
          <c:w val="0.81046561840320464"/>
          <c:h val="0.83214081453900157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[4]标准曲线!$V$3:$V$7</c:f>
              <c:numCache>
                <c:formatCode>General</c:formatCode>
                <c:ptCount val="5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</c:numCache>
            </c:numRef>
          </c:xVal>
          <c:yVal>
            <c:numRef>
              <c:f>[4]标准曲线!$W$3:$W$7</c:f>
              <c:numCache>
                <c:formatCode>General</c:formatCode>
                <c:ptCount val="5"/>
                <c:pt idx="0">
                  <c:v>6.6E-3</c:v>
                </c:pt>
                <c:pt idx="1">
                  <c:v>0.13769999999999999</c:v>
                </c:pt>
                <c:pt idx="2">
                  <c:v>1.7322</c:v>
                </c:pt>
                <c:pt idx="3">
                  <c:v>12.3362</c:v>
                </c:pt>
                <c:pt idx="4">
                  <c:v>24.8215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AE4-4499-907D-73E52DC39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838656"/>
        <c:axId val="102840192"/>
      </c:scatterChart>
      <c:valAx>
        <c:axId val="10283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2840192"/>
        <c:crosses val="autoZero"/>
        <c:crossBetween val="midCat"/>
      </c:valAx>
      <c:valAx>
        <c:axId val="1028401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283865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74424030329581"/>
          <c:y val="0.23899656181253784"/>
          <c:w val="0.7247900679081809"/>
          <c:h val="0.63729975761478652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[4]标准曲线!$X$4:$X$8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40</c:v>
                </c:pt>
                <c:pt idx="3">
                  <c:v>80</c:v>
                </c:pt>
                <c:pt idx="4">
                  <c:v>100</c:v>
                </c:pt>
              </c:numCache>
            </c:numRef>
          </c:xVal>
          <c:yVal>
            <c:numRef>
              <c:f>[4]标准曲线!$Y$4:$Y$8</c:f>
              <c:numCache>
                <c:formatCode>General</c:formatCode>
                <c:ptCount val="5"/>
                <c:pt idx="0">
                  <c:v>0.70820000000000005</c:v>
                </c:pt>
                <c:pt idx="1">
                  <c:v>3.4786999999999999</c:v>
                </c:pt>
                <c:pt idx="2">
                  <c:v>13.4854</c:v>
                </c:pt>
                <c:pt idx="3">
                  <c:v>25.014800000000001</c:v>
                </c:pt>
                <c:pt idx="4">
                  <c:v>33.655900000000003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C4F-4137-979B-E597FB8AAF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772096"/>
        <c:axId val="102782080"/>
      </c:scatterChart>
      <c:valAx>
        <c:axId val="10277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2782080"/>
        <c:crosses val="autoZero"/>
        <c:crossBetween val="midCat"/>
      </c:valAx>
      <c:valAx>
        <c:axId val="1027820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277209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26618547681577"/>
          <c:y val="0.10232648002333058"/>
          <c:w val="0.66831014873140859"/>
          <c:h val="0.83450058326042553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[4]标准曲线!$Z$3:$Z$7</c:f>
              <c:numCache>
                <c:formatCode>General</c:formatCode>
                <c:ptCount val="5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</c:numCache>
            </c:numRef>
          </c:xVal>
          <c:yVal>
            <c:numRef>
              <c:f>[4]标准曲线!$AA$3:$AA$7</c:f>
              <c:numCache>
                <c:formatCode>General</c:formatCode>
                <c:ptCount val="5"/>
                <c:pt idx="0">
                  <c:v>0.44679999999999997</c:v>
                </c:pt>
                <c:pt idx="1">
                  <c:v>2.6855000000000002</c:v>
                </c:pt>
                <c:pt idx="2">
                  <c:v>14.2033</c:v>
                </c:pt>
                <c:pt idx="3">
                  <c:v>53.267699999999998</c:v>
                </c:pt>
                <c:pt idx="4">
                  <c:v>92.516000000000005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983-491F-8BF4-571D9063E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970880"/>
        <c:axId val="102972416"/>
      </c:scatterChart>
      <c:valAx>
        <c:axId val="10297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2972416"/>
        <c:crosses val="autoZero"/>
        <c:crossBetween val="midCat"/>
      </c:valAx>
      <c:valAx>
        <c:axId val="1029724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297088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10938540939247"/>
          <c:y val="0.16924922846182744"/>
          <c:w val="0.75751948437637961"/>
          <c:h val="0.71369847999769265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[4]标准曲线!$AB$3:$AB$7</c:f>
              <c:numCache>
                <c:formatCode>General</c:formatCode>
                <c:ptCount val="5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</c:numCache>
            </c:numRef>
          </c:xVal>
          <c:yVal>
            <c:numRef>
              <c:f>[4]标准曲线!$AC$3:$AC$7</c:f>
              <c:numCache>
                <c:formatCode>General</c:formatCode>
                <c:ptCount val="5"/>
                <c:pt idx="0">
                  <c:v>0.124</c:v>
                </c:pt>
                <c:pt idx="1">
                  <c:v>1.7618</c:v>
                </c:pt>
                <c:pt idx="2">
                  <c:v>10.9199</c:v>
                </c:pt>
                <c:pt idx="3">
                  <c:v>44.930300000000003</c:v>
                </c:pt>
                <c:pt idx="4">
                  <c:v>80.373999999999995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DCA-414B-889F-E61411782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988800"/>
        <c:axId val="102814464"/>
      </c:scatterChart>
      <c:valAx>
        <c:axId val="10298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2814464"/>
        <c:crosses val="autoZero"/>
        <c:crossBetween val="midCat"/>
      </c:valAx>
      <c:valAx>
        <c:axId val="1028144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298880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[4]标准曲线!$AD$3:$AD$8</c:f>
              <c:numCache>
                <c:formatCode>General</c:formatCode>
                <c:ptCount val="6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[4]标准曲线!$AE$3:$AE$8</c:f>
              <c:numCache>
                <c:formatCode>General</c:formatCode>
                <c:ptCount val="6"/>
                <c:pt idx="0">
                  <c:v>1.5100000000000001E-2</c:v>
                </c:pt>
                <c:pt idx="1">
                  <c:v>0.38059999999999999</c:v>
                </c:pt>
                <c:pt idx="2">
                  <c:v>6.0345000000000004</c:v>
                </c:pt>
                <c:pt idx="3">
                  <c:v>35.714399999999998</c:v>
                </c:pt>
                <c:pt idx="4">
                  <c:v>60.642800000000001</c:v>
                </c:pt>
                <c:pt idx="5">
                  <c:v>71.762299999999996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107-42C4-9568-698B5EFF96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19648"/>
        <c:axId val="103021184"/>
      </c:scatterChart>
      <c:valAx>
        <c:axId val="103019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3021184"/>
        <c:crosses val="autoZero"/>
        <c:crossBetween val="midCat"/>
      </c:valAx>
      <c:valAx>
        <c:axId val="1030211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301964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fucose</a:t>
            </a:r>
            <a:endParaRPr lang="zh-CN" altLang="en-US"/>
          </a:p>
        </c:rich>
      </c:tx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5.5924321959755122E-2"/>
                  <c:y val="0.18471055701370664"/>
                </c:manualLayout>
              </c:layout>
              <c:numFmt formatCode="#,##0.0000_);[Red]\(#,##0.0000\)" sourceLinked="0"/>
            </c:trendlineLbl>
          </c:trendline>
          <c:xVal>
            <c:numRef>
              <c:f>[5]标准曲线!$A$3:$A$8</c:f>
              <c:numCache>
                <c:formatCode>General</c:formatCode>
                <c:ptCount val="6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  <c:pt idx="4">
                  <c:v>40</c:v>
                </c:pt>
                <c:pt idx="5">
                  <c:v>50</c:v>
                </c:pt>
              </c:numCache>
            </c:numRef>
          </c:xVal>
          <c:yVal>
            <c:numRef>
              <c:f>[5]标准曲线!$B$3:$B$8</c:f>
              <c:numCache>
                <c:formatCode>General</c:formatCode>
                <c:ptCount val="6"/>
                <c:pt idx="0">
                  <c:v>0.15229999999999999</c:v>
                </c:pt>
                <c:pt idx="1">
                  <c:v>1.2149000000000001</c:v>
                </c:pt>
                <c:pt idx="2">
                  <c:v>6.2723000000000004</c:v>
                </c:pt>
                <c:pt idx="3">
                  <c:v>21.978400000000001</c:v>
                </c:pt>
                <c:pt idx="4">
                  <c:v>41.525700000000001</c:v>
                </c:pt>
                <c:pt idx="5">
                  <c:v>53.063099999999999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3C3-4E63-ABAE-8A71E4B78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915776"/>
        <c:axId val="111917312"/>
      </c:scatterChart>
      <c:valAx>
        <c:axId val="11191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1917312"/>
        <c:crosses val="autoZero"/>
        <c:crossBetween val="midCat"/>
      </c:valAx>
      <c:valAx>
        <c:axId val="1119173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191577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rhamnose</a:t>
            </a:r>
            <a:endParaRPr lang="zh-CN" altLang="en-US"/>
          </a:p>
        </c:rich>
      </c:tx>
      <c:layout>
        <c:manualLayout>
          <c:xMode val="edge"/>
          <c:yMode val="edge"/>
          <c:x val="0.54525107891603652"/>
          <c:y val="0.53751981610467858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#,##0.0000_);[Red]\(#,##0.0000\)" sourceLinked="0"/>
            </c:trendlineLbl>
          </c:trendline>
          <c:xVal>
            <c:numRef>
              <c:f>[5]标准曲线!$C$3:$C$8</c:f>
              <c:numCache>
                <c:formatCode>General</c:formatCode>
                <c:ptCount val="6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  <c:pt idx="4">
                  <c:v>40</c:v>
                </c:pt>
                <c:pt idx="5">
                  <c:v>50</c:v>
                </c:pt>
              </c:numCache>
            </c:numRef>
          </c:xVal>
          <c:yVal>
            <c:numRef>
              <c:f>[5]标准曲线!$D$3:$D$8</c:f>
              <c:numCache>
                <c:formatCode>General</c:formatCode>
                <c:ptCount val="6"/>
                <c:pt idx="0">
                  <c:v>8.43E-2</c:v>
                </c:pt>
                <c:pt idx="1">
                  <c:v>0.78869999999999996</c:v>
                </c:pt>
                <c:pt idx="2">
                  <c:v>4.7575000000000003</c:v>
                </c:pt>
                <c:pt idx="3">
                  <c:v>18.7866</c:v>
                </c:pt>
                <c:pt idx="4">
                  <c:v>33.052900000000001</c:v>
                </c:pt>
                <c:pt idx="5">
                  <c:v>44.1738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E44-4665-AA5C-EDF640CDE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244992"/>
        <c:axId val="48250880"/>
      </c:scatterChart>
      <c:valAx>
        <c:axId val="48244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8250880"/>
        <c:crosses val="autoZero"/>
        <c:crossBetween val="midCat"/>
      </c:valAx>
      <c:valAx>
        <c:axId val="482508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24499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arabinose</a:t>
            </a:r>
            <a:endParaRPr lang="zh-CN" altLang="en-US"/>
          </a:p>
        </c:rich>
      </c:tx>
      <c:layout>
        <c:manualLayout>
          <c:xMode val="edge"/>
          <c:yMode val="edge"/>
          <c:x val="0.14330387183776494"/>
          <c:y val="0.25621779123061816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#,##0.0000_);[Red]\(#,##0.0000\)" sourceLinked="0"/>
            </c:trendlineLbl>
          </c:trendline>
          <c:xVal>
            <c:numRef>
              <c:f>[5]标准曲线!$E$3:$E$8</c:f>
              <c:numCache>
                <c:formatCode>General</c:formatCode>
                <c:ptCount val="6"/>
                <c:pt idx="0">
                  <c:v>0.2</c:v>
                </c:pt>
                <c:pt idx="1">
                  <c:v>1</c:v>
                </c:pt>
                <c:pt idx="2">
                  <c:v>5</c:v>
                </c:pt>
                <c:pt idx="3">
                  <c:v>20</c:v>
                </c:pt>
                <c:pt idx="4">
                  <c:v>40</c:v>
                </c:pt>
                <c:pt idx="5">
                  <c:v>50</c:v>
                </c:pt>
              </c:numCache>
            </c:numRef>
          </c:xVal>
          <c:yVal>
            <c:numRef>
              <c:f>[5]标准曲线!$F$3:$F$8</c:f>
              <c:numCache>
                <c:formatCode>General</c:formatCode>
                <c:ptCount val="6"/>
                <c:pt idx="0">
                  <c:v>0.20680000000000001</c:v>
                </c:pt>
                <c:pt idx="1">
                  <c:v>1.0747</c:v>
                </c:pt>
                <c:pt idx="2">
                  <c:v>6.3217999999999996</c:v>
                </c:pt>
                <c:pt idx="3">
                  <c:v>25.221599999999999</c:v>
                </c:pt>
                <c:pt idx="4">
                  <c:v>43.900700000000001</c:v>
                </c:pt>
                <c:pt idx="5">
                  <c:v>55.5182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18E-44A1-8B51-E2BA6C0314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291840"/>
        <c:axId val="48293376"/>
      </c:scatterChart>
      <c:valAx>
        <c:axId val="482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8293376"/>
        <c:crosses val="autoZero"/>
        <c:crossBetween val="midCat"/>
      </c:valAx>
      <c:valAx>
        <c:axId val="482933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29184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galactose</a:t>
            </a:r>
            <a:endParaRPr lang="zh-CN" altLang="en-US"/>
          </a:p>
        </c:rich>
      </c:tx>
      <c:layout>
        <c:manualLayout>
          <c:xMode val="edge"/>
          <c:yMode val="edge"/>
          <c:x val="0.12264918208986934"/>
          <c:y val="0.22562062286248896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#,##0.0000_);[Red]\(#,##0.0000\)" sourceLinked="0"/>
            </c:trendlineLbl>
          </c:trendline>
          <c:xVal>
            <c:numRef>
              <c:f>[5]标准曲线!$G$4:$G$8</c:f>
              <c:numCache>
                <c:formatCode>General</c:formatCode>
                <c:ptCount val="5"/>
                <c:pt idx="0">
                  <c:v>1</c:v>
                </c:pt>
                <c:pt idx="1">
                  <c:v>5</c:v>
                </c:pt>
                <c:pt idx="2">
                  <c:v>20</c:v>
                </c:pt>
                <c:pt idx="3">
                  <c:v>40</c:v>
                </c:pt>
                <c:pt idx="4">
                  <c:v>50</c:v>
                </c:pt>
              </c:numCache>
            </c:numRef>
          </c:xVal>
          <c:yVal>
            <c:numRef>
              <c:f>[5]标准曲线!$H$4:$H$8</c:f>
              <c:numCache>
                <c:formatCode>General</c:formatCode>
                <c:ptCount val="5"/>
                <c:pt idx="0">
                  <c:v>1.1904999999999999</c:v>
                </c:pt>
                <c:pt idx="1">
                  <c:v>7.5297999999999998</c:v>
                </c:pt>
                <c:pt idx="2">
                  <c:v>30.2135</c:v>
                </c:pt>
                <c:pt idx="3">
                  <c:v>54.171799999999998</c:v>
                </c:pt>
                <c:pt idx="4">
                  <c:v>72.8142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BEB-4ACB-B6DC-0F47578C4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95488"/>
        <c:axId val="48897024"/>
      </c:scatterChart>
      <c:valAx>
        <c:axId val="4889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8897024"/>
        <c:crosses val="autoZero"/>
        <c:crossBetween val="midCat"/>
      </c:valAx>
      <c:valAx>
        <c:axId val="488970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89548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glucose</a:t>
            </a:r>
            <a:endParaRPr lang="zh-CN" altLang="en-US"/>
          </a:p>
        </c:rich>
      </c:tx>
      <c:layout>
        <c:manualLayout>
          <c:xMode val="edge"/>
          <c:yMode val="edge"/>
          <c:x val="0.14618189119802646"/>
          <c:y val="5.6741527998655332E-2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4.4751373291453324E-2"/>
                  <c:y val="-2.6945942102065183E-2"/>
                </c:manualLayout>
              </c:layout>
              <c:numFmt formatCode="#,##0.0000_);[Red]\(#,##0.0000\)" sourceLinked="0"/>
            </c:trendlineLbl>
          </c:trendline>
          <c:xVal>
            <c:numRef>
              <c:f>[5]标准曲线!$I$3:$I$8</c:f>
              <c:numCache>
                <c:formatCode>General</c:formatCode>
                <c:ptCount val="6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[5]标准曲线!$J$3:$J$8</c:f>
              <c:numCache>
                <c:formatCode>General</c:formatCode>
                <c:ptCount val="6"/>
                <c:pt idx="0">
                  <c:v>0.2162</c:v>
                </c:pt>
                <c:pt idx="1">
                  <c:v>0.69869999999999999</c:v>
                </c:pt>
                <c:pt idx="2">
                  <c:v>7.8217999999999996</c:v>
                </c:pt>
                <c:pt idx="3">
                  <c:v>38.971899999999998</c:v>
                </c:pt>
                <c:pt idx="4">
                  <c:v>81.151799999999994</c:v>
                </c:pt>
                <c:pt idx="5">
                  <c:v>105.045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714-4D76-A047-96ADFFAC5D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25696"/>
        <c:axId val="48943872"/>
      </c:scatterChart>
      <c:valAx>
        <c:axId val="4892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8943872"/>
        <c:crosses val="autoZero"/>
        <c:crossBetween val="midCat"/>
      </c:valAx>
      <c:valAx>
        <c:axId val="48943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92569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fructose</a:t>
            </a:r>
            <a:endParaRPr lang="zh-CN" altLang="en-US"/>
          </a:p>
        </c:rich>
      </c:tx>
      <c:layout>
        <c:manualLayout>
          <c:xMode val="edge"/>
          <c:yMode val="edge"/>
          <c:x val="0.49315514433322222"/>
          <c:y val="0.4594945752898919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1.2129906826355239E-2"/>
                  <c:y val="-2.099842999404156E-2"/>
                </c:manualLayout>
              </c:layout>
              <c:numFmt formatCode="#,##0.0000_);[Red]\(#,##0.0000\)" sourceLinked="0"/>
            </c:trendlineLbl>
          </c:trendline>
          <c:xVal>
            <c:numRef>
              <c:f>[5]标准曲线!$R$3:$R$8</c:f>
              <c:numCache>
                <c:formatCode>General</c:formatCode>
                <c:ptCount val="6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[5]标准曲线!$S$3:$S$8</c:f>
              <c:numCache>
                <c:formatCode>General</c:formatCode>
                <c:ptCount val="6"/>
                <c:pt idx="0">
                  <c:v>2.5700000000000001E-2</c:v>
                </c:pt>
                <c:pt idx="1">
                  <c:v>0.44280000000000003</c:v>
                </c:pt>
                <c:pt idx="2">
                  <c:v>4.1483999999999996</c:v>
                </c:pt>
                <c:pt idx="3">
                  <c:v>21.884</c:v>
                </c:pt>
                <c:pt idx="4">
                  <c:v>43.664900000000003</c:v>
                </c:pt>
                <c:pt idx="5">
                  <c:v>53.283000000000001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E3-4A4D-BC04-9DA02577F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295360"/>
        <c:axId val="49296896"/>
      </c:scatterChart>
      <c:valAx>
        <c:axId val="4929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9296896"/>
        <c:crosses val="autoZero"/>
        <c:crossBetween val="midCat"/>
      </c:valAx>
      <c:valAx>
        <c:axId val="492968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29536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sucrose</a:t>
            </a:r>
            <a:endParaRPr lang="zh-CN" altLang="en-US"/>
          </a:p>
        </c:rich>
      </c:tx>
      <c:layout>
        <c:manualLayout>
          <c:xMode val="edge"/>
          <c:yMode val="edge"/>
          <c:x val="0.59065956936117447"/>
          <c:y val="0.5022130379023827"/>
        </c:manualLayout>
      </c:layout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1"/>
            <c:trendlineLbl>
              <c:layout>
                <c:manualLayout>
                  <c:x val="4.3511571578966693E-3"/>
                  <c:y val="-3.5807175470189814E-2"/>
                </c:manualLayout>
              </c:layout>
              <c:numFmt formatCode="#,##0.0000_);[Red]\(#,##0.0000\)" sourceLinked="0"/>
            </c:trendlineLbl>
          </c:trendline>
          <c:xVal>
            <c:numRef>
              <c:f>[5]标准曲线!$T$4:$T$8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40</c:v>
                </c:pt>
                <c:pt idx="3">
                  <c:v>80</c:v>
                </c:pt>
                <c:pt idx="4">
                  <c:v>100</c:v>
                </c:pt>
              </c:numCache>
            </c:numRef>
          </c:xVal>
          <c:yVal>
            <c:numRef>
              <c:f>[5]标准曲线!$U$4:$U$8</c:f>
              <c:numCache>
                <c:formatCode>General</c:formatCode>
                <c:ptCount val="5"/>
                <c:pt idx="0">
                  <c:v>0.248</c:v>
                </c:pt>
                <c:pt idx="1">
                  <c:v>3.742</c:v>
                </c:pt>
                <c:pt idx="2">
                  <c:v>21.853000000000002</c:v>
                </c:pt>
                <c:pt idx="3">
                  <c:v>39.005200000000002</c:v>
                </c:pt>
                <c:pt idx="4">
                  <c:v>52.611400000000003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02D-4DBB-AA19-4EE5BA4A9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314048"/>
        <c:axId val="49328128"/>
      </c:scatterChart>
      <c:valAx>
        <c:axId val="4931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9328128"/>
        <c:crosses val="autoZero"/>
        <c:crossBetween val="midCat"/>
      </c:valAx>
      <c:valAx>
        <c:axId val="493281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31404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CN"/>
              <a:t>maltose</a:t>
            </a:r>
            <a:endParaRPr lang="zh-CN" altLang="en-US"/>
          </a:p>
        </c:rich>
      </c:tx>
      <c:layout>
        <c:manualLayout>
          <c:xMode val="edge"/>
          <c:yMode val="edge"/>
          <c:x val="0.49981025700784115"/>
          <c:y val="0.52442345274107294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587401574803137"/>
          <c:y val="0.1022383224480168"/>
          <c:w val="0.81046561840320464"/>
          <c:h val="0.83214081453900335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#,##0.0000_);[Red]\(#,##0.0000\)" sourceLinked="0"/>
            </c:trendlineLbl>
          </c:trendline>
          <c:xVal>
            <c:numRef>
              <c:f>[5]标准曲线!$V$3:$V$7</c:f>
              <c:numCache>
                <c:formatCode>General</c:formatCode>
                <c:ptCount val="5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</c:numCache>
            </c:numRef>
          </c:xVal>
          <c:yVal>
            <c:numRef>
              <c:f>[5]标准曲线!$W$3:$W$7</c:f>
              <c:numCache>
                <c:formatCode>General</c:formatCode>
                <c:ptCount val="5"/>
                <c:pt idx="0">
                  <c:v>6.6E-3</c:v>
                </c:pt>
                <c:pt idx="1">
                  <c:v>0.13769999999999999</c:v>
                </c:pt>
                <c:pt idx="2">
                  <c:v>1.7322</c:v>
                </c:pt>
                <c:pt idx="3">
                  <c:v>12.3362</c:v>
                </c:pt>
                <c:pt idx="4">
                  <c:v>24.8215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80D-473F-97C9-32F84CF86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487872"/>
        <c:axId val="49489408"/>
      </c:scatterChart>
      <c:valAx>
        <c:axId val="4948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9489408"/>
        <c:crosses val="autoZero"/>
        <c:crossBetween val="midCat"/>
      </c:valAx>
      <c:valAx>
        <c:axId val="494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48787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411" l="0.70000000000000062" r="0.70000000000000062" t="0.75000000000000411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74424030329604"/>
          <c:y val="0.23899656181253806"/>
          <c:w val="0.72479006790818257"/>
          <c:h val="0.63729975761478863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#,##0.0000_);[Red]\(#,##0.0000\)" sourceLinked="0"/>
            </c:trendlineLbl>
          </c:trendline>
          <c:xVal>
            <c:numRef>
              <c:f>[5]标准曲线!$X$4:$X$8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40</c:v>
                </c:pt>
                <c:pt idx="3">
                  <c:v>80</c:v>
                </c:pt>
                <c:pt idx="4">
                  <c:v>100</c:v>
                </c:pt>
              </c:numCache>
            </c:numRef>
          </c:xVal>
          <c:yVal>
            <c:numRef>
              <c:f>[5]标准曲线!$Y$4:$Y$8</c:f>
              <c:numCache>
                <c:formatCode>General</c:formatCode>
                <c:ptCount val="5"/>
                <c:pt idx="0">
                  <c:v>0.70820000000000005</c:v>
                </c:pt>
                <c:pt idx="1">
                  <c:v>3.4786999999999999</c:v>
                </c:pt>
                <c:pt idx="2">
                  <c:v>13.4854</c:v>
                </c:pt>
                <c:pt idx="3">
                  <c:v>25.014800000000001</c:v>
                </c:pt>
                <c:pt idx="4">
                  <c:v>33.655900000000003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FC2-4C4B-B29D-9108C54D00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40096"/>
        <c:axId val="49550080"/>
      </c:scatterChart>
      <c:valAx>
        <c:axId val="4954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9550080"/>
        <c:crosses val="autoZero"/>
        <c:crossBetween val="midCat"/>
      </c:valAx>
      <c:valAx>
        <c:axId val="495500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54009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  <c:userShapes r:id="rId1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26618547681602"/>
          <c:y val="0.10232648002333068"/>
          <c:w val="0.66831014873140859"/>
          <c:h val="0.83450058326042553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#,##0.0000_);[Red]\(#,##0.0000\)" sourceLinked="0"/>
            </c:trendlineLbl>
          </c:trendline>
          <c:xVal>
            <c:numRef>
              <c:f>[5]标准曲线!$Z$3:$Z$7</c:f>
              <c:numCache>
                <c:formatCode>General</c:formatCode>
                <c:ptCount val="5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</c:numCache>
            </c:numRef>
          </c:xVal>
          <c:yVal>
            <c:numRef>
              <c:f>[5]标准曲线!$AA$3:$AA$7</c:f>
              <c:numCache>
                <c:formatCode>General</c:formatCode>
                <c:ptCount val="5"/>
                <c:pt idx="0">
                  <c:v>0.44679999999999997</c:v>
                </c:pt>
                <c:pt idx="1">
                  <c:v>2.6855000000000002</c:v>
                </c:pt>
                <c:pt idx="2">
                  <c:v>14.2033</c:v>
                </c:pt>
                <c:pt idx="3">
                  <c:v>53.267699999999998</c:v>
                </c:pt>
                <c:pt idx="4">
                  <c:v>92.516000000000005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DFD-46B2-90BD-0BCF60B81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99232"/>
        <c:axId val="49600768"/>
      </c:scatterChart>
      <c:valAx>
        <c:axId val="4959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9600768"/>
        <c:crosses val="autoZero"/>
        <c:crossBetween val="midCat"/>
      </c:valAx>
      <c:valAx>
        <c:axId val="496007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59923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  <c:userShapes r:id="rId1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10938540939245"/>
          <c:y val="0.16924922846182777"/>
          <c:w val="0.75751948437637961"/>
          <c:h val="0.71369847999769265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#,##0.0000_);[Red]\(#,##0.0000\)" sourceLinked="0"/>
            </c:trendlineLbl>
          </c:trendline>
          <c:xVal>
            <c:numRef>
              <c:f>[5]标准曲线!$AB$3:$AB$7</c:f>
              <c:numCache>
                <c:formatCode>General</c:formatCode>
                <c:ptCount val="5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</c:numCache>
            </c:numRef>
          </c:xVal>
          <c:yVal>
            <c:numRef>
              <c:f>[5]标准曲线!$AC$3:$AC$7</c:f>
              <c:numCache>
                <c:formatCode>General</c:formatCode>
                <c:ptCount val="5"/>
                <c:pt idx="0">
                  <c:v>0.124</c:v>
                </c:pt>
                <c:pt idx="1">
                  <c:v>1.7618</c:v>
                </c:pt>
                <c:pt idx="2">
                  <c:v>10.9199</c:v>
                </c:pt>
                <c:pt idx="3">
                  <c:v>44.930300000000003</c:v>
                </c:pt>
                <c:pt idx="4">
                  <c:v>80.373999999999995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586-4971-8F7D-F5FC43A80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33536"/>
        <c:axId val="49643520"/>
      </c:scatterChart>
      <c:valAx>
        <c:axId val="4963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9643520"/>
        <c:crosses val="autoZero"/>
        <c:crossBetween val="midCat"/>
      </c:valAx>
      <c:valAx>
        <c:axId val="496435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63353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numFmt formatCode="#,##0.0000_);[Red]\(#,##0.0000\)" sourceLinked="0"/>
            </c:trendlineLbl>
          </c:trendline>
          <c:xVal>
            <c:numRef>
              <c:f>[5]标准曲线!$AD$3:$AD$7</c:f>
              <c:numCache>
                <c:formatCode>General</c:formatCode>
                <c:ptCount val="5"/>
                <c:pt idx="0">
                  <c:v>0.4</c:v>
                </c:pt>
                <c:pt idx="1">
                  <c:v>2</c:v>
                </c:pt>
                <c:pt idx="2">
                  <c:v>10</c:v>
                </c:pt>
                <c:pt idx="3">
                  <c:v>40</c:v>
                </c:pt>
                <c:pt idx="4">
                  <c:v>80</c:v>
                </c:pt>
              </c:numCache>
            </c:numRef>
          </c:xVal>
          <c:yVal>
            <c:numRef>
              <c:f>[5]标准曲线!$AE$3:$AE$7</c:f>
              <c:numCache>
                <c:formatCode>General</c:formatCode>
                <c:ptCount val="5"/>
                <c:pt idx="0">
                  <c:v>1.5100000000000001E-2</c:v>
                </c:pt>
                <c:pt idx="1">
                  <c:v>0.38059999999999999</c:v>
                </c:pt>
                <c:pt idx="2">
                  <c:v>6.0345000000000004</c:v>
                </c:pt>
                <c:pt idx="3">
                  <c:v>35.714399999999998</c:v>
                </c:pt>
                <c:pt idx="4">
                  <c:v>60.642800000000001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A30-4383-9E2F-A2BABA2AA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76672"/>
        <c:axId val="49678208"/>
      </c:scatterChart>
      <c:valAx>
        <c:axId val="4967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9678208"/>
        <c:crosses val="autoZero"/>
        <c:crossBetween val="midCat"/>
      </c:valAx>
      <c:valAx>
        <c:axId val="496782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67667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4.xml"/><Relationship Id="rId13" Type="http://schemas.openxmlformats.org/officeDocument/2006/relationships/chart" Target="../charts/chart39.xml"/><Relationship Id="rId3" Type="http://schemas.openxmlformats.org/officeDocument/2006/relationships/chart" Target="../charts/chart29.xml"/><Relationship Id="rId7" Type="http://schemas.openxmlformats.org/officeDocument/2006/relationships/chart" Target="../charts/chart33.xml"/><Relationship Id="rId12" Type="http://schemas.openxmlformats.org/officeDocument/2006/relationships/chart" Target="../charts/chart38.xml"/><Relationship Id="rId2" Type="http://schemas.openxmlformats.org/officeDocument/2006/relationships/chart" Target="../charts/chart28.xml"/><Relationship Id="rId1" Type="http://schemas.openxmlformats.org/officeDocument/2006/relationships/chart" Target="../charts/chart27.xml"/><Relationship Id="rId6" Type="http://schemas.openxmlformats.org/officeDocument/2006/relationships/chart" Target="../charts/chart32.xml"/><Relationship Id="rId11" Type="http://schemas.openxmlformats.org/officeDocument/2006/relationships/chart" Target="../charts/chart37.xml"/><Relationship Id="rId5" Type="http://schemas.openxmlformats.org/officeDocument/2006/relationships/chart" Target="../charts/chart31.xml"/><Relationship Id="rId15" Type="http://schemas.openxmlformats.org/officeDocument/2006/relationships/chart" Target="../charts/chart41.xml"/><Relationship Id="rId10" Type="http://schemas.openxmlformats.org/officeDocument/2006/relationships/chart" Target="../charts/chart36.xml"/><Relationship Id="rId4" Type="http://schemas.openxmlformats.org/officeDocument/2006/relationships/chart" Target="../charts/chart30.xml"/><Relationship Id="rId9" Type="http://schemas.openxmlformats.org/officeDocument/2006/relationships/chart" Target="../charts/chart35.xml"/><Relationship Id="rId14" Type="http://schemas.openxmlformats.org/officeDocument/2006/relationships/chart" Target="../charts/chart4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9.xml"/><Relationship Id="rId3" Type="http://schemas.openxmlformats.org/officeDocument/2006/relationships/chart" Target="../charts/chart44.xml"/><Relationship Id="rId7" Type="http://schemas.openxmlformats.org/officeDocument/2006/relationships/chart" Target="../charts/chart48.xml"/><Relationship Id="rId12" Type="http://schemas.openxmlformats.org/officeDocument/2006/relationships/chart" Target="../charts/chart53.xml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6" Type="http://schemas.openxmlformats.org/officeDocument/2006/relationships/chart" Target="../charts/chart47.xml"/><Relationship Id="rId11" Type="http://schemas.openxmlformats.org/officeDocument/2006/relationships/chart" Target="../charts/chart52.xml"/><Relationship Id="rId5" Type="http://schemas.openxmlformats.org/officeDocument/2006/relationships/chart" Target="../charts/chart46.xml"/><Relationship Id="rId10" Type="http://schemas.openxmlformats.org/officeDocument/2006/relationships/chart" Target="../charts/chart51.xml"/><Relationship Id="rId4" Type="http://schemas.openxmlformats.org/officeDocument/2006/relationships/chart" Target="../charts/chart45.xml"/><Relationship Id="rId9" Type="http://schemas.openxmlformats.org/officeDocument/2006/relationships/chart" Target="../charts/chart50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1.xml"/><Relationship Id="rId3" Type="http://schemas.openxmlformats.org/officeDocument/2006/relationships/chart" Target="../charts/chart56.xml"/><Relationship Id="rId7" Type="http://schemas.openxmlformats.org/officeDocument/2006/relationships/chart" Target="../charts/chart60.xml"/><Relationship Id="rId12" Type="http://schemas.openxmlformats.org/officeDocument/2006/relationships/chart" Target="../charts/chart65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6" Type="http://schemas.openxmlformats.org/officeDocument/2006/relationships/chart" Target="../charts/chart59.xml"/><Relationship Id="rId11" Type="http://schemas.openxmlformats.org/officeDocument/2006/relationships/chart" Target="../charts/chart64.xml"/><Relationship Id="rId5" Type="http://schemas.openxmlformats.org/officeDocument/2006/relationships/chart" Target="../charts/chart58.xml"/><Relationship Id="rId10" Type="http://schemas.openxmlformats.org/officeDocument/2006/relationships/chart" Target="../charts/chart63.xml"/><Relationship Id="rId4" Type="http://schemas.openxmlformats.org/officeDocument/2006/relationships/chart" Target="../charts/chart57.xml"/><Relationship Id="rId9" Type="http://schemas.openxmlformats.org/officeDocument/2006/relationships/chart" Target="../charts/chart6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76201</xdr:colOff>
      <xdr:row>13</xdr:row>
      <xdr:rowOff>161924</xdr:rowOff>
    </xdr:from>
    <xdr:to>
      <xdr:col>6</xdr:col>
      <xdr:colOff>257176</xdr:colOff>
      <xdr:row>22</xdr:row>
      <xdr:rowOff>47623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23</xdr:row>
      <xdr:rowOff>85725</xdr:rowOff>
    </xdr:from>
    <xdr:to>
      <xdr:col>2</xdr:col>
      <xdr:colOff>647700</xdr:colOff>
      <xdr:row>35</xdr:row>
      <xdr:rowOff>47625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95250</xdr:colOff>
      <xdr:row>24</xdr:row>
      <xdr:rowOff>57150</xdr:rowOff>
    </xdr:from>
    <xdr:to>
      <xdr:col>7</xdr:col>
      <xdr:colOff>304800</xdr:colOff>
      <xdr:row>34</xdr:row>
      <xdr:rowOff>57150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361951</xdr:colOff>
      <xdr:row>23</xdr:row>
      <xdr:rowOff>161925</xdr:rowOff>
    </xdr:from>
    <xdr:to>
      <xdr:col>11</xdr:col>
      <xdr:colOff>295276</xdr:colOff>
      <xdr:row>35</xdr:row>
      <xdr:rowOff>28575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647701</xdr:colOff>
      <xdr:row>11</xdr:row>
      <xdr:rowOff>114299</xdr:rowOff>
    </xdr:from>
    <xdr:to>
      <xdr:col>10</xdr:col>
      <xdr:colOff>685801</xdr:colOff>
      <xdr:row>22</xdr:row>
      <xdr:rowOff>161924</xdr:rowOff>
    </xdr:to>
    <xdr:graphicFrame macro="">
      <xdr:nvGraphicFramePr>
        <xdr:cNvPr id="6" name="图表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146049</xdr:colOff>
      <xdr:row>12</xdr:row>
      <xdr:rowOff>9525</xdr:rowOff>
    </xdr:from>
    <xdr:to>
      <xdr:col>17</xdr:col>
      <xdr:colOff>542925</xdr:colOff>
      <xdr:row>23</xdr:row>
      <xdr:rowOff>1</xdr:rowOff>
    </xdr:to>
    <xdr:graphicFrame macro="">
      <xdr:nvGraphicFramePr>
        <xdr:cNvPr id="9" name="图表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486429</xdr:colOff>
      <xdr:row>24</xdr:row>
      <xdr:rowOff>35328</xdr:rowOff>
    </xdr:from>
    <xdr:to>
      <xdr:col>16</xdr:col>
      <xdr:colOff>452965</xdr:colOff>
      <xdr:row>34</xdr:row>
      <xdr:rowOff>140555</xdr:rowOff>
    </xdr:to>
    <xdr:graphicFrame macro="">
      <xdr:nvGraphicFramePr>
        <xdr:cNvPr id="10" name="图表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114300</xdr:colOff>
      <xdr:row>12</xdr:row>
      <xdr:rowOff>142875</xdr:rowOff>
    </xdr:from>
    <xdr:to>
      <xdr:col>2</xdr:col>
      <xdr:colOff>381000</xdr:colOff>
      <xdr:row>22</xdr:row>
      <xdr:rowOff>133350</xdr:rowOff>
    </xdr:to>
    <xdr:graphicFrame macro="">
      <xdr:nvGraphicFramePr>
        <xdr:cNvPr id="11" name="图表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243115</xdr:colOff>
      <xdr:row>23</xdr:row>
      <xdr:rowOff>161269</xdr:rowOff>
    </xdr:from>
    <xdr:to>
      <xdr:col>25</xdr:col>
      <xdr:colOff>454630</xdr:colOff>
      <xdr:row>34</xdr:row>
      <xdr:rowOff>103666</xdr:rowOff>
    </xdr:to>
    <xdr:graphicFrame macro="">
      <xdr:nvGraphicFramePr>
        <xdr:cNvPr id="12" name="图表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17</xdr:col>
      <xdr:colOff>45709</xdr:colOff>
      <xdr:row>23</xdr:row>
      <xdr:rowOff>164142</xdr:rowOff>
    </xdr:from>
    <xdr:to>
      <xdr:col>20</xdr:col>
      <xdr:colOff>841525</xdr:colOff>
      <xdr:row>34</xdr:row>
      <xdr:rowOff>126043</xdr:rowOff>
    </xdr:to>
    <xdr:graphicFrame macro="">
      <xdr:nvGraphicFramePr>
        <xdr:cNvPr id="13" name="图表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21</xdr:col>
      <xdr:colOff>789365</xdr:colOff>
      <xdr:row>10</xdr:row>
      <xdr:rowOff>126041</xdr:rowOff>
    </xdr:from>
    <xdr:to>
      <xdr:col>25</xdr:col>
      <xdr:colOff>694670</xdr:colOff>
      <xdr:row>23</xdr:row>
      <xdr:rowOff>78416</xdr:rowOff>
    </xdr:to>
    <xdr:graphicFrame macro="">
      <xdr:nvGraphicFramePr>
        <xdr:cNvPr id="14" name="图表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179715</xdr:colOff>
      <xdr:row>11</xdr:row>
      <xdr:rowOff>99686</xdr:rowOff>
    </xdr:from>
    <xdr:to>
      <xdr:col>21</xdr:col>
      <xdr:colOff>512032</xdr:colOff>
      <xdr:row>23</xdr:row>
      <xdr:rowOff>32555</xdr:rowOff>
    </xdr:to>
    <xdr:graphicFrame macro="">
      <xdr:nvGraphicFramePr>
        <xdr:cNvPr id="15" name="图表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26</xdr:col>
      <xdr:colOff>0</xdr:colOff>
      <xdr:row>11</xdr:row>
      <xdr:rowOff>0</xdr:rowOff>
    </xdr:from>
    <xdr:to>
      <xdr:col>30</xdr:col>
      <xdr:colOff>109052</xdr:colOff>
      <xdr:row>21</xdr:row>
      <xdr:rowOff>53291</xdr:rowOff>
    </xdr:to>
    <xdr:graphicFrame macro="">
      <xdr:nvGraphicFramePr>
        <xdr:cNvPr id="17" name="图表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844415</xdr:colOff>
      <xdr:row>22</xdr:row>
      <xdr:rowOff>148616</xdr:rowOff>
    </xdr:from>
    <xdr:to>
      <xdr:col>30</xdr:col>
      <xdr:colOff>64870</xdr:colOff>
      <xdr:row>34</xdr:row>
      <xdr:rowOff>111599</xdr:rowOff>
    </xdr:to>
    <xdr:graphicFrame macro="">
      <xdr:nvGraphicFramePr>
        <xdr:cNvPr id="18" name="图表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76201</xdr:colOff>
      <xdr:row>14</xdr:row>
      <xdr:rowOff>161924</xdr:rowOff>
    </xdr:from>
    <xdr:to>
      <xdr:col>6</xdr:col>
      <xdr:colOff>257176</xdr:colOff>
      <xdr:row>23</xdr:row>
      <xdr:rowOff>47623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24</xdr:row>
      <xdr:rowOff>85725</xdr:rowOff>
    </xdr:from>
    <xdr:to>
      <xdr:col>2</xdr:col>
      <xdr:colOff>647700</xdr:colOff>
      <xdr:row>36</xdr:row>
      <xdr:rowOff>47625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95250</xdr:colOff>
      <xdr:row>25</xdr:row>
      <xdr:rowOff>57150</xdr:rowOff>
    </xdr:from>
    <xdr:to>
      <xdr:col>7</xdr:col>
      <xdr:colOff>304800</xdr:colOff>
      <xdr:row>35</xdr:row>
      <xdr:rowOff>57150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361951</xdr:colOff>
      <xdr:row>24</xdr:row>
      <xdr:rowOff>161925</xdr:rowOff>
    </xdr:from>
    <xdr:to>
      <xdr:col>11</xdr:col>
      <xdr:colOff>295276</xdr:colOff>
      <xdr:row>36</xdr:row>
      <xdr:rowOff>28575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647701</xdr:colOff>
      <xdr:row>12</xdr:row>
      <xdr:rowOff>114299</xdr:rowOff>
    </xdr:from>
    <xdr:to>
      <xdr:col>10</xdr:col>
      <xdr:colOff>685801</xdr:colOff>
      <xdr:row>23</xdr:row>
      <xdr:rowOff>161924</xdr:rowOff>
    </xdr:to>
    <xdr:graphicFrame macro="">
      <xdr:nvGraphicFramePr>
        <xdr:cNvPr id="6" name="图表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474784</xdr:colOff>
      <xdr:row>25</xdr:row>
      <xdr:rowOff>27110</xdr:rowOff>
    </xdr:from>
    <xdr:to>
      <xdr:col>17</xdr:col>
      <xdr:colOff>24667</xdr:colOff>
      <xdr:row>36</xdr:row>
      <xdr:rowOff>17586</xdr:rowOff>
    </xdr:to>
    <xdr:graphicFrame macro="">
      <xdr:nvGraphicFramePr>
        <xdr:cNvPr id="9" name="图表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71314</xdr:colOff>
      <xdr:row>13</xdr:row>
      <xdr:rowOff>36878</xdr:rowOff>
    </xdr:from>
    <xdr:to>
      <xdr:col>14</xdr:col>
      <xdr:colOff>856761</xdr:colOff>
      <xdr:row>23</xdr:row>
      <xdr:rowOff>136523</xdr:rowOff>
    </xdr:to>
    <xdr:graphicFrame macro="">
      <xdr:nvGraphicFramePr>
        <xdr:cNvPr id="10" name="图表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114300</xdr:colOff>
      <xdr:row>13</xdr:row>
      <xdr:rowOff>142875</xdr:rowOff>
    </xdr:from>
    <xdr:to>
      <xdr:col>2</xdr:col>
      <xdr:colOff>381000</xdr:colOff>
      <xdr:row>23</xdr:row>
      <xdr:rowOff>133350</xdr:rowOff>
    </xdr:to>
    <xdr:graphicFrame macro="">
      <xdr:nvGraphicFramePr>
        <xdr:cNvPr id="11" name="图表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298939</xdr:colOff>
      <xdr:row>25</xdr:row>
      <xdr:rowOff>39077</xdr:rowOff>
    </xdr:from>
    <xdr:to>
      <xdr:col>21</xdr:col>
      <xdr:colOff>437418</xdr:colOff>
      <xdr:row>35</xdr:row>
      <xdr:rowOff>162902</xdr:rowOff>
    </xdr:to>
    <xdr:graphicFrame macro="">
      <xdr:nvGraphicFramePr>
        <xdr:cNvPr id="12" name="图表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121382</xdr:colOff>
      <xdr:row>12</xdr:row>
      <xdr:rowOff>172670</xdr:rowOff>
    </xdr:from>
    <xdr:to>
      <xdr:col>19</xdr:col>
      <xdr:colOff>194897</xdr:colOff>
      <xdr:row>23</xdr:row>
      <xdr:rowOff>134571</xdr:rowOff>
    </xdr:to>
    <xdr:graphicFrame macro="">
      <xdr:nvGraphicFramePr>
        <xdr:cNvPr id="13" name="图表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23</xdr:col>
      <xdr:colOff>139945</xdr:colOff>
      <xdr:row>20</xdr:row>
      <xdr:rowOff>7570</xdr:rowOff>
    </xdr:from>
    <xdr:to>
      <xdr:col>26</xdr:col>
      <xdr:colOff>660400</xdr:colOff>
      <xdr:row>32</xdr:row>
      <xdr:rowOff>135791</xdr:rowOff>
    </xdr:to>
    <xdr:graphicFrame macro="">
      <xdr:nvGraphicFramePr>
        <xdr:cNvPr id="14" name="图表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19</xdr:col>
      <xdr:colOff>475274</xdr:colOff>
      <xdr:row>12</xdr:row>
      <xdr:rowOff>136282</xdr:rowOff>
    </xdr:from>
    <xdr:to>
      <xdr:col>22</xdr:col>
      <xdr:colOff>869462</xdr:colOff>
      <xdr:row>24</xdr:row>
      <xdr:rowOff>74734</xdr:rowOff>
    </xdr:to>
    <xdr:graphicFrame macro="">
      <xdr:nvGraphicFramePr>
        <xdr:cNvPr id="15" name="图表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76201</xdr:colOff>
      <xdr:row>13</xdr:row>
      <xdr:rowOff>161924</xdr:rowOff>
    </xdr:from>
    <xdr:to>
      <xdr:col>6</xdr:col>
      <xdr:colOff>257176</xdr:colOff>
      <xdr:row>22</xdr:row>
      <xdr:rowOff>47623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23</xdr:row>
      <xdr:rowOff>85725</xdr:rowOff>
    </xdr:from>
    <xdr:to>
      <xdr:col>2</xdr:col>
      <xdr:colOff>647700</xdr:colOff>
      <xdr:row>35</xdr:row>
      <xdr:rowOff>47625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95250</xdr:colOff>
      <xdr:row>24</xdr:row>
      <xdr:rowOff>57150</xdr:rowOff>
    </xdr:from>
    <xdr:to>
      <xdr:col>7</xdr:col>
      <xdr:colOff>304800</xdr:colOff>
      <xdr:row>34</xdr:row>
      <xdr:rowOff>57150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361951</xdr:colOff>
      <xdr:row>23</xdr:row>
      <xdr:rowOff>161925</xdr:rowOff>
    </xdr:from>
    <xdr:to>
      <xdr:col>11</xdr:col>
      <xdr:colOff>295276</xdr:colOff>
      <xdr:row>35</xdr:row>
      <xdr:rowOff>28575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565151</xdr:colOff>
      <xdr:row>11</xdr:row>
      <xdr:rowOff>161924</xdr:rowOff>
    </xdr:from>
    <xdr:to>
      <xdr:col>10</xdr:col>
      <xdr:colOff>606426</xdr:colOff>
      <xdr:row>23</xdr:row>
      <xdr:rowOff>31749</xdr:rowOff>
    </xdr:to>
    <xdr:graphicFrame macro="">
      <xdr:nvGraphicFramePr>
        <xdr:cNvPr id="6" name="图表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658813</xdr:colOff>
      <xdr:row>11</xdr:row>
      <xdr:rowOff>161926</xdr:rowOff>
    </xdr:from>
    <xdr:to>
      <xdr:col>21</xdr:col>
      <xdr:colOff>492125</xdr:colOff>
      <xdr:row>22</xdr:row>
      <xdr:rowOff>152402</xdr:rowOff>
    </xdr:to>
    <xdr:graphicFrame macro="">
      <xdr:nvGraphicFramePr>
        <xdr:cNvPr id="9" name="图表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561888</xdr:colOff>
      <xdr:row>24</xdr:row>
      <xdr:rowOff>34238</xdr:rowOff>
    </xdr:from>
    <xdr:to>
      <xdr:col>15</xdr:col>
      <xdr:colOff>567380</xdr:colOff>
      <xdr:row>34</xdr:row>
      <xdr:rowOff>129658</xdr:rowOff>
    </xdr:to>
    <xdr:graphicFrame macro="">
      <xdr:nvGraphicFramePr>
        <xdr:cNvPr id="10" name="图表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114299</xdr:colOff>
      <xdr:row>12</xdr:row>
      <xdr:rowOff>9525</xdr:rowOff>
    </xdr:from>
    <xdr:to>
      <xdr:col>2</xdr:col>
      <xdr:colOff>619124</xdr:colOff>
      <xdr:row>22</xdr:row>
      <xdr:rowOff>133350</xdr:rowOff>
    </xdr:to>
    <xdr:graphicFrame macro="">
      <xdr:nvGraphicFramePr>
        <xdr:cNvPr id="11" name="图表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28</xdr:col>
      <xdr:colOff>638686</xdr:colOff>
      <xdr:row>23</xdr:row>
      <xdr:rowOff>120351</xdr:rowOff>
    </xdr:from>
    <xdr:to>
      <xdr:col>32</xdr:col>
      <xdr:colOff>346270</xdr:colOff>
      <xdr:row>34</xdr:row>
      <xdr:rowOff>69551</xdr:rowOff>
    </xdr:to>
    <xdr:graphicFrame macro="">
      <xdr:nvGraphicFramePr>
        <xdr:cNvPr id="12" name="图表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22</xdr:col>
      <xdr:colOff>412792</xdr:colOff>
      <xdr:row>12</xdr:row>
      <xdr:rowOff>7551</xdr:rowOff>
    </xdr:from>
    <xdr:to>
      <xdr:col>26</xdr:col>
      <xdr:colOff>263610</xdr:colOff>
      <xdr:row>22</xdr:row>
      <xdr:rowOff>144077</xdr:rowOff>
    </xdr:to>
    <xdr:graphicFrame macro="">
      <xdr:nvGraphicFramePr>
        <xdr:cNvPr id="13" name="图表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26</xdr:col>
      <xdr:colOff>449176</xdr:colOff>
      <xdr:row>11</xdr:row>
      <xdr:rowOff>124125</xdr:rowOff>
    </xdr:from>
    <xdr:to>
      <xdr:col>30</xdr:col>
      <xdr:colOff>275882</xdr:colOff>
      <xdr:row>22</xdr:row>
      <xdr:rowOff>89886</xdr:rowOff>
    </xdr:to>
    <xdr:graphicFrame macro="">
      <xdr:nvGraphicFramePr>
        <xdr:cNvPr id="14" name="图表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24</xdr:col>
      <xdr:colOff>329940</xdr:colOff>
      <xdr:row>23</xdr:row>
      <xdr:rowOff>95716</xdr:rowOff>
    </xdr:from>
    <xdr:to>
      <xdr:col>28</xdr:col>
      <xdr:colOff>484972</xdr:colOff>
      <xdr:row>34</xdr:row>
      <xdr:rowOff>159128</xdr:rowOff>
    </xdr:to>
    <xdr:graphicFrame macro="">
      <xdr:nvGraphicFramePr>
        <xdr:cNvPr id="15" name="图表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11</xdr:col>
      <xdr:colOff>436562</xdr:colOff>
      <xdr:row>11</xdr:row>
      <xdr:rowOff>95250</xdr:rowOff>
    </xdr:from>
    <xdr:to>
      <xdr:col>16</xdr:col>
      <xdr:colOff>182562</xdr:colOff>
      <xdr:row>23</xdr:row>
      <xdr:rowOff>71437</xdr:rowOff>
    </xdr:to>
    <xdr:graphicFrame macro="">
      <xdr:nvGraphicFramePr>
        <xdr:cNvPr id="17" name="图表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20</xdr:col>
      <xdr:colOff>273693</xdr:colOff>
      <xdr:row>23</xdr:row>
      <xdr:rowOff>69005</xdr:rowOff>
    </xdr:from>
    <xdr:to>
      <xdr:col>24</xdr:col>
      <xdr:colOff>236398</xdr:colOff>
      <xdr:row>36</xdr:row>
      <xdr:rowOff>2356</xdr:rowOff>
    </xdr:to>
    <xdr:graphicFrame macro="">
      <xdr:nvGraphicFramePr>
        <xdr:cNvPr id="18" name="图表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15</xdr:col>
      <xdr:colOff>746648</xdr:colOff>
      <xdr:row>23</xdr:row>
      <xdr:rowOff>93784</xdr:rowOff>
    </xdr:from>
    <xdr:to>
      <xdr:col>20</xdr:col>
      <xdr:colOff>13955</xdr:colOff>
      <xdr:row>37</xdr:row>
      <xdr:rowOff>20934</xdr:rowOff>
    </xdr:to>
    <xdr:graphicFrame macro="">
      <xdr:nvGraphicFramePr>
        <xdr:cNvPr id="23" name="图表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66676</xdr:rowOff>
    </xdr:from>
    <xdr:to>
      <xdr:col>3</xdr:col>
      <xdr:colOff>600076</xdr:colOff>
      <xdr:row>20</xdr:row>
      <xdr:rowOff>85724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504825</xdr:colOff>
      <xdr:row>8</xdr:row>
      <xdr:rowOff>133350</xdr:rowOff>
    </xdr:from>
    <xdr:to>
      <xdr:col>7</xdr:col>
      <xdr:colOff>219075</xdr:colOff>
      <xdr:row>20</xdr:row>
      <xdr:rowOff>95250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22</xdr:row>
      <xdr:rowOff>19050</xdr:rowOff>
    </xdr:from>
    <xdr:to>
      <xdr:col>3</xdr:col>
      <xdr:colOff>771525</xdr:colOff>
      <xdr:row>33</xdr:row>
      <xdr:rowOff>76200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628651</xdr:colOff>
      <xdr:row>22</xdr:row>
      <xdr:rowOff>0</xdr:rowOff>
    </xdr:from>
    <xdr:to>
      <xdr:col>7</xdr:col>
      <xdr:colOff>228600</xdr:colOff>
      <xdr:row>33</xdr:row>
      <xdr:rowOff>57150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323851</xdr:colOff>
      <xdr:row>10</xdr:row>
      <xdr:rowOff>133349</xdr:rowOff>
    </xdr:from>
    <xdr:to>
      <xdr:col>11</xdr:col>
      <xdr:colOff>333376</xdr:colOff>
      <xdr:row>22</xdr:row>
      <xdr:rowOff>9524</xdr:rowOff>
    </xdr:to>
    <xdr:graphicFrame macro="">
      <xdr:nvGraphicFramePr>
        <xdr:cNvPr id="6" name="图表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358774</xdr:colOff>
      <xdr:row>22</xdr:row>
      <xdr:rowOff>120650</xdr:rowOff>
    </xdr:from>
    <xdr:to>
      <xdr:col>11</xdr:col>
      <xdr:colOff>673100</xdr:colOff>
      <xdr:row>33</xdr:row>
      <xdr:rowOff>139701</xdr:rowOff>
    </xdr:to>
    <xdr:graphicFrame macro="">
      <xdr:nvGraphicFramePr>
        <xdr:cNvPr id="9" name="图表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880046</xdr:colOff>
      <xdr:row>23</xdr:row>
      <xdr:rowOff>30136</xdr:rowOff>
    </xdr:from>
    <xdr:to>
      <xdr:col>15</xdr:col>
      <xdr:colOff>395574</xdr:colOff>
      <xdr:row>33</xdr:row>
      <xdr:rowOff>130902</xdr:rowOff>
    </xdr:to>
    <xdr:graphicFrame macro="">
      <xdr:nvGraphicFramePr>
        <xdr:cNvPr id="10" name="图表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637030</xdr:colOff>
      <xdr:row>22</xdr:row>
      <xdr:rowOff>63136</xdr:rowOff>
    </xdr:from>
    <xdr:to>
      <xdr:col>18</xdr:col>
      <xdr:colOff>577434</xdr:colOff>
      <xdr:row>34</xdr:row>
      <xdr:rowOff>5984</xdr:rowOff>
    </xdr:to>
    <xdr:graphicFrame macro="">
      <xdr:nvGraphicFramePr>
        <xdr:cNvPr id="11" name="图表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722755</xdr:colOff>
      <xdr:row>9</xdr:row>
      <xdr:rowOff>148184</xdr:rowOff>
    </xdr:from>
    <xdr:to>
      <xdr:col>19</xdr:col>
      <xdr:colOff>315470</xdr:colOff>
      <xdr:row>20</xdr:row>
      <xdr:rowOff>119608</xdr:rowOff>
    </xdr:to>
    <xdr:graphicFrame macro="">
      <xdr:nvGraphicFramePr>
        <xdr:cNvPr id="13" name="图表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74222</xdr:colOff>
      <xdr:row>22</xdr:row>
      <xdr:rowOff>149954</xdr:rowOff>
    </xdr:from>
    <xdr:to>
      <xdr:col>22</xdr:col>
      <xdr:colOff>467142</xdr:colOff>
      <xdr:row>33</xdr:row>
      <xdr:rowOff>58711</xdr:rowOff>
    </xdr:to>
    <xdr:graphicFrame macro="">
      <xdr:nvGraphicFramePr>
        <xdr:cNvPr id="14" name="图表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19</xdr:col>
      <xdr:colOff>407128</xdr:colOff>
      <xdr:row>10</xdr:row>
      <xdr:rowOff>59805</xdr:rowOff>
    </xdr:from>
    <xdr:to>
      <xdr:col>23</xdr:col>
      <xdr:colOff>559320</xdr:colOff>
      <xdr:row>20</xdr:row>
      <xdr:rowOff>78855</xdr:rowOff>
    </xdr:to>
    <xdr:graphicFrame macro="">
      <xdr:nvGraphicFramePr>
        <xdr:cNvPr id="15" name="图表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527414</xdr:colOff>
      <xdr:row>11</xdr:row>
      <xdr:rowOff>31905</xdr:rowOff>
    </xdr:from>
    <xdr:to>
      <xdr:col>15</xdr:col>
      <xdr:colOff>472658</xdr:colOff>
      <xdr:row>20</xdr:row>
      <xdr:rowOff>170772</xdr:rowOff>
    </xdr:to>
    <xdr:graphicFrame macro="">
      <xdr:nvGraphicFramePr>
        <xdr:cNvPr id="16" name="图表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0.10159</cdr:x>
      <cdr:y>0.09231</cdr:y>
    </cdr:from>
    <cdr:to>
      <cdr:x>0.41587</cdr:x>
      <cdr:y>0.22564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04800" y="171450"/>
          <a:ext cx="94297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zh-CN" altLang="en-US" sz="1100"/>
        </a:p>
      </cdr:txBody>
    </cdr:sp>
  </cdr:relSizeAnchor>
  <cdr:relSizeAnchor xmlns:cdr="http://schemas.openxmlformats.org/drawingml/2006/chartDrawing">
    <cdr:from>
      <cdr:x>0.10476</cdr:x>
      <cdr:y>0.02564</cdr:y>
    </cdr:from>
    <cdr:to>
      <cdr:x>0.50159</cdr:x>
      <cdr:y>0.22564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14324" y="47625"/>
          <a:ext cx="1190625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altLang="zh-CN"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melibiose</a:t>
          </a:r>
          <a:endParaRPr lang="zh-CN" altLang="en-US" sz="1800" b="1" i="0" u="none" strike="noStrike" kern="12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0.6732</cdr:x>
      <cdr:y>0.04233</cdr:y>
    </cdr:from>
    <cdr:to>
      <cdr:x>0.98117</cdr:x>
      <cdr:y>0.19048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956813" y="78439"/>
          <a:ext cx="895201" cy="274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altLang="zh-CN"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lactose</a:t>
          </a:r>
          <a:endParaRPr lang="zh-CN" altLang="en-US" sz="1800" b="1" i="0" u="none" strike="noStrike" kern="12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0.67584</cdr:x>
      <cdr:y>0.06593</cdr:y>
    </cdr:from>
    <cdr:to>
      <cdr:x>0.9419</cdr:x>
      <cdr:y>0.26923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105025" y="114300"/>
          <a:ext cx="828675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zh-CN" altLang="en-US" sz="1100"/>
        </a:p>
      </cdr:txBody>
    </cdr:sp>
  </cdr:relSizeAnchor>
  <cdr:relSizeAnchor xmlns:cdr="http://schemas.openxmlformats.org/drawingml/2006/chartDrawing">
    <cdr:from>
      <cdr:x>0.08869</cdr:x>
      <cdr:y>0.03846</cdr:y>
    </cdr:from>
    <cdr:to>
      <cdr:x>0.54434</cdr:x>
      <cdr:y>0.2033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76226" y="66675"/>
          <a:ext cx="1419224" cy="2857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altLang="zh-CN"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D-cellobiose</a:t>
          </a:r>
          <a:endParaRPr lang="zh-CN" altLang="en-US" sz="1800" b="1" i="0" u="none" strike="noStrike" kern="12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0.51648</cdr:x>
      <cdr:y>0.43323</cdr:y>
    </cdr:from>
    <cdr:to>
      <cdr:x>0.94416</cdr:x>
      <cdr:y>0.72973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43025" y="763403"/>
          <a:ext cx="1112093" cy="5224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altLang="zh-CN"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trehalose</a:t>
          </a:r>
          <a:endParaRPr lang="zh-CN" altLang="en-US" sz="1800" b="1" i="0" u="none" strike="noStrike" kern="12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66676</xdr:rowOff>
    </xdr:from>
    <xdr:to>
      <xdr:col>3</xdr:col>
      <xdr:colOff>600076</xdr:colOff>
      <xdr:row>20</xdr:row>
      <xdr:rowOff>85724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504825</xdr:colOff>
      <xdr:row>8</xdr:row>
      <xdr:rowOff>133350</xdr:rowOff>
    </xdr:from>
    <xdr:to>
      <xdr:col>7</xdr:col>
      <xdr:colOff>219075</xdr:colOff>
      <xdr:row>20</xdr:row>
      <xdr:rowOff>95250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22</xdr:row>
      <xdr:rowOff>19050</xdr:rowOff>
    </xdr:from>
    <xdr:to>
      <xdr:col>3</xdr:col>
      <xdr:colOff>771525</xdr:colOff>
      <xdr:row>33</xdr:row>
      <xdr:rowOff>76200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628651</xdr:colOff>
      <xdr:row>22</xdr:row>
      <xdr:rowOff>0</xdr:rowOff>
    </xdr:from>
    <xdr:to>
      <xdr:col>7</xdr:col>
      <xdr:colOff>228600</xdr:colOff>
      <xdr:row>33</xdr:row>
      <xdr:rowOff>57150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323851</xdr:colOff>
      <xdr:row>10</xdr:row>
      <xdr:rowOff>133349</xdr:rowOff>
    </xdr:from>
    <xdr:to>
      <xdr:col>11</xdr:col>
      <xdr:colOff>333376</xdr:colOff>
      <xdr:row>22</xdr:row>
      <xdr:rowOff>9524</xdr:rowOff>
    </xdr:to>
    <xdr:graphicFrame macro="">
      <xdr:nvGraphicFramePr>
        <xdr:cNvPr id="6" name="图表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466724</xdr:colOff>
      <xdr:row>22</xdr:row>
      <xdr:rowOff>57150</xdr:rowOff>
    </xdr:from>
    <xdr:to>
      <xdr:col>15</xdr:col>
      <xdr:colOff>0</xdr:colOff>
      <xdr:row>33</xdr:row>
      <xdr:rowOff>76201</xdr:rowOff>
    </xdr:to>
    <xdr:graphicFrame macro="">
      <xdr:nvGraphicFramePr>
        <xdr:cNvPr id="9" name="图表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0</xdr:colOff>
      <xdr:row>22</xdr:row>
      <xdr:rowOff>123824</xdr:rowOff>
    </xdr:from>
    <xdr:to>
      <xdr:col>19</xdr:col>
      <xdr:colOff>0</xdr:colOff>
      <xdr:row>33</xdr:row>
      <xdr:rowOff>47623</xdr:rowOff>
    </xdr:to>
    <xdr:graphicFrame macro="">
      <xdr:nvGraphicFramePr>
        <xdr:cNvPr id="10" name="图表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314325</xdr:colOff>
      <xdr:row>21</xdr:row>
      <xdr:rowOff>104776</xdr:rowOff>
    </xdr:from>
    <xdr:to>
      <xdr:col>22</xdr:col>
      <xdr:colOff>171450</xdr:colOff>
      <xdr:row>33</xdr:row>
      <xdr:rowOff>47624</xdr:rowOff>
    </xdr:to>
    <xdr:graphicFrame macro="">
      <xdr:nvGraphicFramePr>
        <xdr:cNvPr id="11" name="图表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400050</xdr:colOff>
      <xdr:row>9</xdr:row>
      <xdr:rowOff>85725</xdr:rowOff>
    </xdr:from>
    <xdr:to>
      <xdr:col>22</xdr:col>
      <xdr:colOff>638175</xdr:colOff>
      <xdr:row>20</xdr:row>
      <xdr:rowOff>57149</xdr:rowOff>
    </xdr:to>
    <xdr:graphicFrame macro="">
      <xdr:nvGraphicFramePr>
        <xdr:cNvPr id="13" name="图表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22</xdr:col>
      <xdr:colOff>209550</xdr:colOff>
      <xdr:row>22</xdr:row>
      <xdr:rowOff>66675</xdr:rowOff>
    </xdr:from>
    <xdr:to>
      <xdr:col>26</xdr:col>
      <xdr:colOff>166310</xdr:colOff>
      <xdr:row>32</xdr:row>
      <xdr:rowOff>152399</xdr:rowOff>
    </xdr:to>
    <xdr:graphicFrame macro="">
      <xdr:nvGraphicFramePr>
        <xdr:cNvPr id="14" name="图表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23</xdr:col>
      <xdr:colOff>323850</xdr:colOff>
      <xdr:row>10</xdr:row>
      <xdr:rowOff>28575</xdr:rowOff>
    </xdr:from>
    <xdr:to>
      <xdr:col>27</xdr:col>
      <xdr:colOff>590550</xdr:colOff>
      <xdr:row>20</xdr:row>
      <xdr:rowOff>47625</xdr:rowOff>
    </xdr:to>
    <xdr:graphicFrame macro="">
      <xdr:nvGraphicFramePr>
        <xdr:cNvPr id="15" name="图表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614287</xdr:colOff>
      <xdr:row>11</xdr:row>
      <xdr:rowOff>51857</xdr:rowOff>
    </xdr:from>
    <xdr:to>
      <xdr:col>16</xdr:col>
      <xdr:colOff>119591</xdr:colOff>
      <xdr:row>21</xdr:row>
      <xdr:rowOff>13756</xdr:rowOff>
    </xdr:to>
    <xdr:graphicFrame macro="">
      <xdr:nvGraphicFramePr>
        <xdr:cNvPr id="16" name="图表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0.10159</cdr:x>
      <cdr:y>0.09231</cdr:y>
    </cdr:from>
    <cdr:to>
      <cdr:x>0.41587</cdr:x>
      <cdr:y>0.22564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04800" y="171450"/>
          <a:ext cx="94297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zh-CN" altLang="en-US" sz="1100"/>
        </a:p>
      </cdr:txBody>
    </cdr:sp>
  </cdr:relSizeAnchor>
  <cdr:relSizeAnchor xmlns:cdr="http://schemas.openxmlformats.org/drawingml/2006/chartDrawing">
    <cdr:from>
      <cdr:x>0.10476</cdr:x>
      <cdr:y>0.02564</cdr:y>
    </cdr:from>
    <cdr:to>
      <cdr:x>0.50159</cdr:x>
      <cdr:y>0.22564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14324" y="47625"/>
          <a:ext cx="1190625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altLang="zh-CN"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melibiose</a:t>
          </a:r>
          <a:endParaRPr lang="zh-CN" altLang="en-US" sz="1800" b="1" i="0" u="none" strike="noStrike" kern="12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0.43731</cdr:x>
      <cdr:y>0.47601</cdr:y>
    </cdr:from>
    <cdr:to>
      <cdr:x>0.78208</cdr:x>
      <cdr:y>0.62139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43940" y="904415"/>
          <a:ext cx="980677" cy="2762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altLang="zh-CN"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lactose</a:t>
          </a:r>
          <a:endParaRPr lang="zh-CN" altLang="en-US" sz="1800" b="1" i="0" u="none" strike="noStrike" kern="12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0.67584</cdr:x>
      <cdr:y>0.06593</cdr:y>
    </cdr:from>
    <cdr:to>
      <cdr:x>0.9419</cdr:x>
      <cdr:y>0.26923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105025" y="114300"/>
          <a:ext cx="828675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zh-CN" altLang="en-US" sz="1100"/>
        </a:p>
      </cdr:txBody>
    </cdr:sp>
  </cdr:relSizeAnchor>
  <cdr:relSizeAnchor xmlns:cdr="http://schemas.openxmlformats.org/drawingml/2006/chartDrawing">
    <cdr:from>
      <cdr:x>0.08869</cdr:x>
      <cdr:y>0.03846</cdr:y>
    </cdr:from>
    <cdr:to>
      <cdr:x>0.54434</cdr:x>
      <cdr:y>0.2033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76226" y="66675"/>
          <a:ext cx="1419224" cy="2857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altLang="zh-CN"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D-cellobiose</a:t>
          </a:r>
          <a:endParaRPr lang="zh-CN" altLang="en-US" sz="1800" b="1" i="0" u="none" strike="noStrike" kern="12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0.51648</cdr:x>
      <cdr:y>0.43323</cdr:y>
    </cdr:from>
    <cdr:to>
      <cdr:x>0.94416</cdr:x>
      <cdr:y>0.72973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43025" y="763403"/>
          <a:ext cx="1112093" cy="5224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altLang="zh-CN"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trehalose</a:t>
          </a:r>
          <a:endParaRPr lang="zh-CN" altLang="en-US" sz="1800" b="1" i="0" u="none" strike="noStrike" kern="12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n%20Tang\OneDrive\Apis\Size\diet-plant\Sugar\20210518%20&#31958;&#26631;&#26354;%20&#21776;&#25935;-20210701&#21016;&#33805;&#26657;&#2749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n%20Tang\OneDrive\Apis\Size\diet-plant\Sugar\20210601%20&#31958;&#26631;&#26354;%20&#21776;&#25935;-20210714&#21016;&#33805;&#30699;&#27491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n%20Tang\OneDrive\Apis\Size\diet-plant\Sugar\20210709%20&#31958;&#26631;&#26354;%20&#21776;&#25935;-2021072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n%20Tang\OneDrive\Apis\Size\diet-plant\Sugar\20220307%20&#31958;%20&#21776;&#25935;%209&#20010;JH_beebread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n%20Tang\OneDrive\Apis\Size\inoculation\202111-202202\20220310%20&#31958;%200310-0314&#21518;&#3292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标准曲线"/>
      <sheetName val="Sheet1"/>
      <sheetName val="1st"/>
      <sheetName val="2nd"/>
      <sheetName val="gut"/>
      <sheetName val="tab"/>
      <sheetName val="change"/>
    </sheetNames>
    <sheetDataSet>
      <sheetData sheetId="0">
        <row r="3">
          <cell r="A3">
            <v>0.4</v>
          </cell>
          <cell r="B3">
            <v>8.4099999999999994E-2</v>
          </cell>
          <cell r="C3">
            <v>0.2</v>
          </cell>
          <cell r="D3">
            <v>0.2359</v>
          </cell>
          <cell r="E3">
            <v>0.2</v>
          </cell>
          <cell r="F3">
            <v>0.26950000000000002</v>
          </cell>
          <cell r="G3">
            <v>0.2</v>
          </cell>
          <cell r="H3">
            <v>0.21920000000000001</v>
          </cell>
          <cell r="I3">
            <v>0.2</v>
          </cell>
          <cell r="J3">
            <v>0.26719999999999999</v>
          </cell>
          <cell r="K3">
            <v>0.2</v>
          </cell>
          <cell r="L3">
            <v>6.9000000000000006E-2</v>
          </cell>
          <cell r="M3">
            <v>0.2</v>
          </cell>
          <cell r="N3">
            <v>5.1200000000000002E-2</v>
          </cell>
          <cell r="O3">
            <v>0.2</v>
          </cell>
          <cell r="P3">
            <v>0.1648</v>
          </cell>
          <cell r="T3">
            <v>0.2</v>
          </cell>
          <cell r="U3">
            <v>0.1799</v>
          </cell>
          <cell r="V3">
            <v>0.2</v>
          </cell>
          <cell r="W3">
            <v>0.14979999999999999</v>
          </cell>
          <cell r="X3">
            <v>0.2</v>
          </cell>
          <cell r="Z3">
            <v>0.4</v>
          </cell>
          <cell r="AA3">
            <v>0.34510000000000002</v>
          </cell>
          <cell r="AB3">
            <v>0.34769230769230763</v>
          </cell>
          <cell r="AC3">
            <v>0.36120000000000002</v>
          </cell>
          <cell r="AD3">
            <v>0.4</v>
          </cell>
          <cell r="AE3">
            <v>0.1077</v>
          </cell>
        </row>
        <row r="4">
          <cell r="A4">
            <v>2</v>
          </cell>
          <cell r="B4">
            <v>0.68600000000000005</v>
          </cell>
          <cell r="C4">
            <v>1</v>
          </cell>
          <cell r="D4">
            <v>1.7107000000000001</v>
          </cell>
          <cell r="E4">
            <v>1</v>
          </cell>
          <cell r="F4">
            <v>1.6075999999999999</v>
          </cell>
          <cell r="G4">
            <v>1</v>
          </cell>
          <cell r="H4">
            <v>1.9255</v>
          </cell>
          <cell r="I4">
            <v>1</v>
          </cell>
          <cell r="J4">
            <v>2.1122999999999998</v>
          </cell>
          <cell r="K4">
            <v>1</v>
          </cell>
          <cell r="L4">
            <v>0.88780000000000003</v>
          </cell>
          <cell r="M4">
            <v>1</v>
          </cell>
          <cell r="N4">
            <v>0.83099999999999996</v>
          </cell>
          <cell r="O4">
            <v>1</v>
          </cell>
          <cell r="P4">
            <v>2.0802</v>
          </cell>
          <cell r="T4">
            <v>1</v>
          </cell>
          <cell r="U4">
            <v>0.39839999999999998</v>
          </cell>
          <cell r="V4">
            <v>1</v>
          </cell>
          <cell r="W4">
            <v>0.50860000000000005</v>
          </cell>
          <cell r="X4">
            <v>1</v>
          </cell>
          <cell r="Y4">
            <v>0.16159999999999999</v>
          </cell>
          <cell r="Z4">
            <v>2</v>
          </cell>
          <cell r="AA4">
            <v>1.9574</v>
          </cell>
          <cell r="AB4">
            <v>1.7384615384615383</v>
          </cell>
          <cell r="AC4">
            <v>1.8301000000000001</v>
          </cell>
          <cell r="AD4">
            <v>2</v>
          </cell>
          <cell r="AE4">
            <v>1.1392</v>
          </cell>
        </row>
        <row r="5">
          <cell r="A5">
            <v>10</v>
          </cell>
          <cell r="B5">
            <v>5.1619000000000002</v>
          </cell>
          <cell r="C5">
            <v>5</v>
          </cell>
          <cell r="D5">
            <v>8.1118000000000006</v>
          </cell>
          <cell r="E5">
            <v>5</v>
          </cell>
          <cell r="F5">
            <v>7.6879999999999997</v>
          </cell>
          <cell r="G5">
            <v>5</v>
          </cell>
          <cell r="H5">
            <v>10.179399999999999</v>
          </cell>
          <cell r="I5">
            <v>5</v>
          </cell>
          <cell r="J5">
            <v>11.037100000000001</v>
          </cell>
          <cell r="K5">
            <v>5</v>
          </cell>
          <cell r="L5">
            <v>7.6731999999999996</v>
          </cell>
          <cell r="M5">
            <v>5</v>
          </cell>
          <cell r="N5">
            <v>9.0188000000000006</v>
          </cell>
          <cell r="O5">
            <v>5</v>
          </cell>
          <cell r="P5">
            <v>12.007199999999999</v>
          </cell>
          <cell r="T5">
            <v>5</v>
          </cell>
          <cell r="U5">
            <v>3.3746999999999998</v>
          </cell>
          <cell r="V5">
            <v>5</v>
          </cell>
          <cell r="W5">
            <v>2.9596</v>
          </cell>
          <cell r="X5">
            <v>5</v>
          </cell>
          <cell r="Y5">
            <v>2.0017999999999998</v>
          </cell>
          <cell r="Z5">
            <v>10</v>
          </cell>
          <cell r="AA5">
            <v>9.6100999999999992</v>
          </cell>
          <cell r="AB5">
            <v>8.6923076923076916</v>
          </cell>
          <cell r="AC5">
            <v>8.3611000000000004</v>
          </cell>
          <cell r="AD5">
            <v>10</v>
          </cell>
          <cell r="AE5">
            <v>8.7446000000000002</v>
          </cell>
        </row>
        <row r="6">
          <cell r="A6">
            <v>40</v>
          </cell>
          <cell r="B6">
            <v>17.9434</v>
          </cell>
          <cell r="C6">
            <v>20</v>
          </cell>
          <cell r="D6">
            <v>26.438300000000002</v>
          </cell>
          <cell r="E6">
            <v>20</v>
          </cell>
          <cell r="F6">
            <v>27.1785</v>
          </cell>
          <cell r="I6">
            <v>20</v>
          </cell>
          <cell r="J6">
            <v>39.651400000000002</v>
          </cell>
          <cell r="K6">
            <v>20</v>
          </cell>
          <cell r="L6">
            <v>35.329300000000003</v>
          </cell>
          <cell r="M6">
            <v>20</v>
          </cell>
          <cell r="N6">
            <v>38.657800000000002</v>
          </cell>
          <cell r="O6">
            <v>20</v>
          </cell>
          <cell r="P6">
            <v>47.395800000000001</v>
          </cell>
          <cell r="T6">
            <v>20</v>
          </cell>
          <cell r="U6">
            <v>16.7593</v>
          </cell>
          <cell r="V6">
            <v>20</v>
          </cell>
          <cell r="W6">
            <v>13.928599999999999</v>
          </cell>
          <cell r="X6">
            <v>20</v>
          </cell>
          <cell r="Y6">
            <v>12.4754</v>
          </cell>
          <cell r="Z6">
            <v>40</v>
          </cell>
          <cell r="AA6">
            <v>35.017299999999999</v>
          </cell>
          <cell r="AB6">
            <v>34.769230769230766</v>
          </cell>
          <cell r="AC6">
            <v>27.257000000000001</v>
          </cell>
          <cell r="AD6">
            <v>40</v>
          </cell>
          <cell r="AE6">
            <v>37.333199999999998</v>
          </cell>
        </row>
        <row r="7">
          <cell r="K7">
            <v>40</v>
          </cell>
          <cell r="L7">
            <v>74.905100000000004</v>
          </cell>
          <cell r="M7">
            <v>40</v>
          </cell>
          <cell r="N7">
            <v>78.257999999999996</v>
          </cell>
          <cell r="O7">
            <v>40</v>
          </cell>
          <cell r="P7">
            <v>96.370999999999995</v>
          </cell>
          <cell r="T7">
            <v>40</v>
          </cell>
          <cell r="U7">
            <v>35.581600000000002</v>
          </cell>
          <cell r="V7">
            <v>40</v>
          </cell>
          <cell r="W7">
            <v>26.514299999999999</v>
          </cell>
          <cell r="X7">
            <v>40</v>
          </cell>
          <cell r="Y7">
            <v>27.341899999999999</v>
          </cell>
          <cell r="Z7">
            <v>80</v>
          </cell>
          <cell r="AA7">
            <v>66.341999999999999</v>
          </cell>
          <cell r="AD7">
            <v>80</v>
          </cell>
          <cell r="AE7">
            <v>71.625600000000006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标准曲线"/>
    </sheetNames>
    <sheetDataSet>
      <sheetData sheetId="0">
        <row r="3">
          <cell r="A3">
            <v>0.1</v>
          </cell>
          <cell r="B3">
            <v>5.0000000000000001E-3</v>
          </cell>
          <cell r="C3">
            <v>0.2</v>
          </cell>
          <cell r="D3">
            <v>0.17549999999999999</v>
          </cell>
          <cell r="E3">
            <v>0.2</v>
          </cell>
          <cell r="F3">
            <v>0.18479999999999999</v>
          </cell>
          <cell r="G3">
            <v>0.2</v>
          </cell>
          <cell r="H3">
            <v>0.1729</v>
          </cell>
          <cell r="I3">
            <v>0.2</v>
          </cell>
          <cell r="J3">
            <v>0.26219999999999999</v>
          </cell>
          <cell r="K3">
            <v>0.2</v>
          </cell>
          <cell r="L3">
            <v>1.66E-2</v>
          </cell>
          <cell r="T3">
            <v>0.2</v>
          </cell>
          <cell r="V3">
            <v>0.2</v>
          </cell>
          <cell r="X3">
            <v>0.2</v>
          </cell>
          <cell r="Z3">
            <v>0.2</v>
          </cell>
          <cell r="AA3">
            <v>9.8799999999999999E-2</v>
          </cell>
          <cell r="AB3">
            <v>0.17384615384615382</v>
          </cell>
          <cell r="AC3">
            <v>0.1273</v>
          </cell>
          <cell r="AD3">
            <v>0.2</v>
          </cell>
        </row>
        <row r="4">
          <cell r="A4">
            <v>0.25</v>
          </cell>
          <cell r="B4">
            <v>2.1399999999999999E-2</v>
          </cell>
          <cell r="C4">
            <v>0.5</v>
          </cell>
          <cell r="D4">
            <v>0.66200000000000003</v>
          </cell>
          <cell r="E4">
            <v>0.5</v>
          </cell>
          <cell r="F4">
            <v>0.61729999999999996</v>
          </cell>
          <cell r="G4">
            <v>0.5</v>
          </cell>
          <cell r="H4">
            <v>0.70389999999999997</v>
          </cell>
          <cell r="I4">
            <v>0.5</v>
          </cell>
          <cell r="J4">
            <v>0.83379999999999999</v>
          </cell>
          <cell r="K4">
            <v>0.5</v>
          </cell>
          <cell r="L4">
            <v>0.14610000000000001</v>
          </cell>
          <cell r="T4">
            <v>0.5</v>
          </cell>
          <cell r="U4">
            <v>8.1500000000000003E-2</v>
          </cell>
          <cell r="V4">
            <v>0.5</v>
          </cell>
          <cell r="W4">
            <v>5.67E-2</v>
          </cell>
          <cell r="X4">
            <v>0.5</v>
          </cell>
          <cell r="Z4">
            <v>0.5</v>
          </cell>
          <cell r="AA4">
            <v>0.32800000000000001</v>
          </cell>
          <cell r="AB4">
            <v>0.43461538461538457</v>
          </cell>
          <cell r="AC4">
            <v>0.36130000000000001</v>
          </cell>
          <cell r="AD4">
            <v>0.5</v>
          </cell>
          <cell r="AE4">
            <v>9.5600000000000004E-2</v>
          </cell>
        </row>
        <row r="5">
          <cell r="A5">
            <v>0.5</v>
          </cell>
          <cell r="B5">
            <v>8.3699999999999997E-2</v>
          </cell>
          <cell r="C5">
            <v>1</v>
          </cell>
          <cell r="D5">
            <v>1.5619000000000001</v>
          </cell>
          <cell r="E5">
            <v>1</v>
          </cell>
          <cell r="F5">
            <v>1.4248000000000001</v>
          </cell>
          <cell r="G5">
            <v>1</v>
          </cell>
          <cell r="H5">
            <v>1.7362</v>
          </cell>
          <cell r="I5">
            <v>1</v>
          </cell>
          <cell r="J5">
            <v>1.9285000000000001</v>
          </cell>
          <cell r="K5">
            <v>1</v>
          </cell>
          <cell r="L5">
            <v>0.52390000000000003</v>
          </cell>
          <cell r="T5">
            <v>1</v>
          </cell>
          <cell r="U5">
            <v>0.24379999999999999</v>
          </cell>
          <cell r="V5">
            <v>1</v>
          </cell>
          <cell r="W5">
            <v>0.14249999999999999</v>
          </cell>
          <cell r="X5">
            <v>1</v>
          </cell>
          <cell r="Y5">
            <v>7.1499999999999994E-2</v>
          </cell>
          <cell r="Z5">
            <v>1</v>
          </cell>
          <cell r="AA5">
            <v>0.82589999999999997</v>
          </cell>
          <cell r="AB5">
            <v>0.86923076923076914</v>
          </cell>
          <cell r="AC5">
            <v>0.87860000000000005</v>
          </cell>
          <cell r="AD5">
            <v>1</v>
          </cell>
          <cell r="AE5">
            <v>0.33029999999999998</v>
          </cell>
        </row>
        <row r="6">
          <cell r="A6">
            <v>2.5</v>
          </cell>
          <cell r="B6">
            <v>1.3250999999999999</v>
          </cell>
          <cell r="C6">
            <v>5</v>
          </cell>
          <cell r="D6">
            <v>8.2494999999999994</v>
          </cell>
          <cell r="E6">
            <v>5</v>
          </cell>
          <cell r="F6">
            <v>7.7462</v>
          </cell>
          <cell r="G6">
            <v>5</v>
          </cell>
          <cell r="H6">
            <v>10.090400000000001</v>
          </cell>
          <cell r="I6">
            <v>5</v>
          </cell>
          <cell r="J6">
            <v>11.0113</v>
          </cell>
          <cell r="K6">
            <v>5</v>
          </cell>
          <cell r="L6">
            <v>6.5721999999999996</v>
          </cell>
          <cell r="T6">
            <v>5</v>
          </cell>
          <cell r="U6">
            <v>2.7614999999999998</v>
          </cell>
          <cell r="V6">
            <v>5</v>
          </cell>
          <cell r="W6">
            <v>2.2673000000000001</v>
          </cell>
          <cell r="X6">
            <v>5</v>
          </cell>
          <cell r="Y6">
            <v>1.3922000000000001</v>
          </cell>
          <cell r="Z6">
            <v>5</v>
          </cell>
          <cell r="AA6">
            <v>4.9333</v>
          </cell>
          <cell r="AB6">
            <v>4.3461538461538458</v>
          </cell>
          <cell r="AC6">
            <v>4.4424999999999999</v>
          </cell>
          <cell r="AD6">
            <v>5</v>
          </cell>
          <cell r="AE6">
            <v>4.2948000000000004</v>
          </cell>
        </row>
        <row r="7">
          <cell r="A7">
            <v>12.5</v>
          </cell>
          <cell r="B7">
            <v>8.9600000000000009</v>
          </cell>
          <cell r="K7">
            <v>25</v>
          </cell>
          <cell r="L7">
            <v>40.689700000000002</v>
          </cell>
          <cell r="T7">
            <v>25</v>
          </cell>
          <cell r="U7">
            <v>19.896999999999998</v>
          </cell>
          <cell r="V7">
            <v>25</v>
          </cell>
          <cell r="W7">
            <v>15.538</v>
          </cell>
          <cell r="X7">
            <v>25</v>
          </cell>
          <cell r="Y7">
            <v>14.038</v>
          </cell>
          <cell r="Z7">
            <v>25</v>
          </cell>
          <cell r="AA7">
            <v>23.340900000000001</v>
          </cell>
          <cell r="AB7">
            <v>21.73076923076923</v>
          </cell>
          <cell r="AC7">
            <v>18.956099999999999</v>
          </cell>
          <cell r="AD7">
            <v>25</v>
          </cell>
          <cell r="AE7">
            <v>24.6204</v>
          </cell>
        </row>
        <row r="8">
          <cell r="K8">
            <v>50</v>
          </cell>
          <cell r="L8">
            <v>72.403899999999993</v>
          </cell>
          <cell r="T8">
            <v>50</v>
          </cell>
          <cell r="U8">
            <v>34.729500000000002</v>
          </cell>
          <cell r="X8">
            <v>50</v>
          </cell>
          <cell r="Y8">
            <v>26.646599999999999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标准曲线"/>
      <sheetName val="Sheet1"/>
      <sheetName val="BeePollen"/>
      <sheetName val="inoculation"/>
      <sheetName val="Am"/>
    </sheetNames>
    <sheetDataSet>
      <sheetData sheetId="0">
        <row r="3">
          <cell r="A3">
            <v>0.1</v>
          </cell>
          <cell r="B3">
            <v>0.06</v>
          </cell>
          <cell r="C3">
            <v>0.2</v>
          </cell>
          <cell r="D3">
            <v>0.2707</v>
          </cell>
          <cell r="E3">
            <v>0.2</v>
          </cell>
          <cell r="F3">
            <v>0.1898</v>
          </cell>
          <cell r="G3">
            <v>0.2</v>
          </cell>
          <cell r="H3">
            <v>0.2581</v>
          </cell>
          <cell r="I3">
            <v>0.2</v>
          </cell>
          <cell r="J3">
            <v>0.24840000000000001</v>
          </cell>
          <cell r="K3">
            <v>0.4</v>
          </cell>
          <cell r="L3">
            <v>0.2964</v>
          </cell>
          <cell r="W3">
            <v>0.4</v>
          </cell>
          <cell r="X3">
            <v>0.19409999999999999</v>
          </cell>
          <cell r="Y3">
            <v>0.4</v>
          </cell>
          <cell r="Z3">
            <v>0.1082</v>
          </cell>
          <cell r="AA3">
            <v>0.2</v>
          </cell>
          <cell r="AB3">
            <v>3.61E-2</v>
          </cell>
          <cell r="AC3">
            <v>0.2</v>
          </cell>
          <cell r="AD3">
            <v>0.13339999999999999</v>
          </cell>
          <cell r="AE3">
            <v>0.17384615384615382</v>
          </cell>
          <cell r="AF3">
            <v>0.13120000000000001</v>
          </cell>
          <cell r="AG3">
            <v>0.2</v>
          </cell>
          <cell r="AH3">
            <v>0.10829999999999999</v>
          </cell>
        </row>
        <row r="4">
          <cell r="A4">
            <v>0.5</v>
          </cell>
          <cell r="B4">
            <v>0.379</v>
          </cell>
          <cell r="C4">
            <v>1</v>
          </cell>
          <cell r="D4">
            <v>1.173</v>
          </cell>
          <cell r="E4">
            <v>1</v>
          </cell>
          <cell r="F4">
            <v>0.96289999999999998</v>
          </cell>
          <cell r="G4">
            <v>1</v>
          </cell>
          <cell r="H4">
            <v>1.3209</v>
          </cell>
          <cell r="I4">
            <v>1</v>
          </cell>
          <cell r="J4">
            <v>1.0449999999999999</v>
          </cell>
          <cell r="K4">
            <v>2</v>
          </cell>
          <cell r="L4">
            <v>1.661</v>
          </cell>
          <cell r="W4">
            <v>2</v>
          </cell>
          <cell r="X4">
            <v>1.0125999999999999</v>
          </cell>
          <cell r="Y4">
            <v>2</v>
          </cell>
          <cell r="Z4">
            <v>0.93259999999999998</v>
          </cell>
          <cell r="AA4">
            <v>1</v>
          </cell>
          <cell r="AB4">
            <v>0.33879999999999999</v>
          </cell>
          <cell r="AC4">
            <v>1</v>
          </cell>
          <cell r="AD4">
            <v>0.57599999999999996</v>
          </cell>
          <cell r="AE4">
            <v>0.86923076923076914</v>
          </cell>
          <cell r="AF4">
            <v>0.59409999999999996</v>
          </cell>
          <cell r="AG4">
            <v>1</v>
          </cell>
          <cell r="AH4">
            <v>0.64149999999999996</v>
          </cell>
        </row>
        <row r="5">
          <cell r="A5">
            <v>2.5</v>
          </cell>
          <cell r="B5">
            <v>2.8028</v>
          </cell>
          <cell r="C5">
            <v>5</v>
          </cell>
          <cell r="D5">
            <v>6.9089</v>
          </cell>
          <cell r="E5">
            <v>5</v>
          </cell>
          <cell r="F5">
            <v>5.7736999999999998</v>
          </cell>
          <cell r="G5">
            <v>5</v>
          </cell>
          <cell r="H5">
            <v>8.0782000000000007</v>
          </cell>
          <cell r="I5">
            <v>5</v>
          </cell>
          <cell r="J5">
            <v>8.9882000000000009</v>
          </cell>
          <cell r="K5">
            <v>10</v>
          </cell>
          <cell r="L5">
            <v>14.335599999999999</v>
          </cell>
          <cell r="W5">
            <v>10</v>
          </cell>
          <cell r="X5">
            <v>6.8010999999999999</v>
          </cell>
          <cell r="Y5">
            <v>10</v>
          </cell>
          <cell r="Z5">
            <v>7.2339000000000002</v>
          </cell>
          <cell r="AA5">
            <v>5</v>
          </cell>
          <cell r="AB5">
            <v>3.5527000000000002</v>
          </cell>
          <cell r="AC5">
            <v>5</v>
          </cell>
          <cell r="AD5">
            <v>4.1292999999999997</v>
          </cell>
          <cell r="AE5">
            <v>4.3461538461538458</v>
          </cell>
          <cell r="AF5">
            <v>4.0458999999999996</v>
          </cell>
          <cell r="AG5">
            <v>5</v>
          </cell>
          <cell r="AH5">
            <v>4.4493999999999998</v>
          </cell>
        </row>
        <row r="6">
          <cell r="A6">
            <v>10</v>
          </cell>
          <cell r="B6">
            <v>11.288</v>
          </cell>
          <cell r="C6">
            <v>20</v>
          </cell>
          <cell r="D6">
            <v>25.3414</v>
          </cell>
          <cell r="E6">
            <v>20</v>
          </cell>
          <cell r="F6">
            <v>22.983599999999999</v>
          </cell>
          <cell r="G6">
            <v>20</v>
          </cell>
          <cell r="H6">
            <v>32.187800000000003</v>
          </cell>
          <cell r="I6">
            <v>20</v>
          </cell>
          <cell r="J6">
            <v>34.1736</v>
          </cell>
          <cell r="K6">
            <v>40</v>
          </cell>
          <cell r="L6">
            <v>58.110199999999999</v>
          </cell>
          <cell r="W6">
            <v>40</v>
          </cell>
          <cell r="X6">
            <v>28.180299999999999</v>
          </cell>
          <cell r="Y6">
            <v>40</v>
          </cell>
          <cell r="Z6">
            <v>29.6919</v>
          </cell>
          <cell r="AA6">
            <v>20</v>
          </cell>
          <cell r="AB6">
            <v>15.178100000000001</v>
          </cell>
          <cell r="AC6">
            <v>20</v>
          </cell>
          <cell r="AD6">
            <v>17.080400000000001</v>
          </cell>
          <cell r="AE6">
            <v>17.384615384615383</v>
          </cell>
          <cell r="AF6">
            <v>15.882999999999999</v>
          </cell>
          <cell r="AG6">
            <v>20</v>
          </cell>
          <cell r="AH6">
            <v>18.4438</v>
          </cell>
        </row>
        <row r="7">
          <cell r="A7">
            <v>20</v>
          </cell>
          <cell r="B7">
            <v>20.636500000000002</v>
          </cell>
          <cell r="E7">
            <v>40</v>
          </cell>
          <cell r="F7">
            <v>42.2928</v>
          </cell>
          <cell r="K7">
            <v>80</v>
          </cell>
          <cell r="L7">
            <v>108.8306</v>
          </cell>
          <cell r="W7">
            <v>80</v>
          </cell>
          <cell r="X7">
            <v>54.551000000000002</v>
          </cell>
          <cell r="Y7">
            <v>80</v>
          </cell>
          <cell r="Z7">
            <v>54.855499999999999</v>
          </cell>
          <cell r="AA7">
            <v>40</v>
          </cell>
          <cell r="AB7">
            <v>29.585100000000001</v>
          </cell>
          <cell r="AC7">
            <v>40</v>
          </cell>
          <cell r="AD7">
            <v>33.904899999999998</v>
          </cell>
          <cell r="AE7">
            <v>34.769230769230766</v>
          </cell>
          <cell r="AF7">
            <v>31.022300000000001</v>
          </cell>
          <cell r="AG7">
            <v>40</v>
          </cell>
          <cell r="AH7">
            <v>35.634700000000002</v>
          </cell>
        </row>
        <row r="8">
          <cell r="K8">
            <v>160</v>
          </cell>
          <cell r="L8">
            <v>211.18170000000001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标准曲线"/>
      <sheetName val="Sheet1"/>
    </sheetNames>
    <sheetDataSet>
      <sheetData sheetId="0">
        <row r="2">
          <cell r="Q2" t="str">
            <v>峰面积</v>
          </cell>
        </row>
        <row r="3">
          <cell r="A3">
            <v>0.2</v>
          </cell>
          <cell r="B3">
            <v>0.15229999999999999</v>
          </cell>
          <cell r="C3">
            <v>0.2</v>
          </cell>
          <cell r="D3">
            <v>8.43E-2</v>
          </cell>
          <cell r="E3">
            <v>0.2</v>
          </cell>
          <cell r="F3">
            <v>0.20680000000000001</v>
          </cell>
          <cell r="I3">
            <v>0.4</v>
          </cell>
          <cell r="J3">
            <v>0.2162</v>
          </cell>
          <cell r="R3">
            <v>0.4</v>
          </cell>
          <cell r="S3">
            <v>2.5700000000000001E-2</v>
          </cell>
          <cell r="V3">
            <v>0.4</v>
          </cell>
          <cell r="W3">
            <v>6.6E-3</v>
          </cell>
          <cell r="Z3">
            <v>0.4</v>
          </cell>
          <cell r="AA3">
            <v>0.44679999999999997</v>
          </cell>
          <cell r="AB3">
            <v>0.4</v>
          </cell>
          <cell r="AC3">
            <v>0.124</v>
          </cell>
          <cell r="AD3">
            <v>0.4</v>
          </cell>
          <cell r="AE3">
            <v>1.5100000000000001E-2</v>
          </cell>
        </row>
        <row r="4">
          <cell r="A4">
            <v>1</v>
          </cell>
          <cell r="B4">
            <v>1.2149000000000001</v>
          </cell>
          <cell r="C4">
            <v>1</v>
          </cell>
          <cell r="D4">
            <v>0.78869999999999996</v>
          </cell>
          <cell r="E4">
            <v>1</v>
          </cell>
          <cell r="F4">
            <v>1.0747</v>
          </cell>
          <cell r="G4">
            <v>1</v>
          </cell>
          <cell r="H4">
            <v>1.1904999999999999</v>
          </cell>
          <cell r="I4">
            <v>2</v>
          </cell>
          <cell r="J4">
            <v>0.69869999999999999</v>
          </cell>
          <cell r="R4">
            <v>2</v>
          </cell>
          <cell r="S4">
            <v>0.44280000000000003</v>
          </cell>
          <cell r="T4">
            <v>2</v>
          </cell>
          <cell r="U4">
            <v>0.248</v>
          </cell>
          <cell r="V4">
            <v>2</v>
          </cell>
          <cell r="W4">
            <v>0.13769999999999999</v>
          </cell>
          <cell r="X4">
            <v>2</v>
          </cell>
          <cell r="Y4">
            <v>0.70820000000000005</v>
          </cell>
          <cell r="Z4">
            <v>2</v>
          </cell>
          <cell r="AA4">
            <v>2.6855000000000002</v>
          </cell>
          <cell r="AB4">
            <v>2</v>
          </cell>
          <cell r="AC4">
            <v>1.7618</v>
          </cell>
          <cell r="AD4">
            <v>2</v>
          </cell>
          <cell r="AE4">
            <v>0.38059999999999999</v>
          </cell>
        </row>
        <row r="5">
          <cell r="A5">
            <v>5</v>
          </cell>
          <cell r="B5">
            <v>6.2723000000000004</v>
          </cell>
          <cell r="C5">
            <v>5</v>
          </cell>
          <cell r="D5">
            <v>4.7575000000000003</v>
          </cell>
          <cell r="E5">
            <v>5</v>
          </cell>
          <cell r="F5">
            <v>6.3217999999999996</v>
          </cell>
          <cell r="G5">
            <v>5</v>
          </cell>
          <cell r="H5">
            <v>7.5297999999999998</v>
          </cell>
          <cell r="I5">
            <v>10</v>
          </cell>
          <cell r="J5">
            <v>7.8217999999999996</v>
          </cell>
          <cell r="R5">
            <v>10</v>
          </cell>
          <cell r="S5">
            <v>4.1483999999999996</v>
          </cell>
          <cell r="T5">
            <v>10</v>
          </cell>
          <cell r="U5">
            <v>3.742</v>
          </cell>
          <cell r="V5">
            <v>10</v>
          </cell>
          <cell r="W5">
            <v>1.7322</v>
          </cell>
          <cell r="X5">
            <v>10</v>
          </cell>
          <cell r="Y5">
            <v>3.4786999999999999</v>
          </cell>
          <cell r="Z5">
            <v>10</v>
          </cell>
          <cell r="AA5">
            <v>14.2033</v>
          </cell>
          <cell r="AB5">
            <v>10</v>
          </cell>
          <cell r="AC5">
            <v>10.9199</v>
          </cell>
          <cell r="AD5">
            <v>10</v>
          </cell>
          <cell r="AE5">
            <v>6.0345000000000004</v>
          </cell>
        </row>
        <row r="6">
          <cell r="A6">
            <v>20</v>
          </cell>
          <cell r="B6">
            <v>21.978400000000001</v>
          </cell>
          <cell r="C6">
            <v>20</v>
          </cell>
          <cell r="D6">
            <v>18.7866</v>
          </cell>
          <cell r="E6">
            <v>20</v>
          </cell>
          <cell r="F6">
            <v>25.221599999999999</v>
          </cell>
          <cell r="G6">
            <v>20</v>
          </cell>
          <cell r="H6">
            <v>30.2135</v>
          </cell>
          <cell r="I6">
            <v>40</v>
          </cell>
          <cell r="J6">
            <v>38.971899999999998</v>
          </cell>
          <cell r="R6">
            <v>40</v>
          </cell>
          <cell r="S6">
            <v>21.884</v>
          </cell>
          <cell r="T6">
            <v>40</v>
          </cell>
          <cell r="U6">
            <v>21.853000000000002</v>
          </cell>
          <cell r="V6">
            <v>40</v>
          </cell>
          <cell r="W6">
            <v>12.3362</v>
          </cell>
          <cell r="X6">
            <v>40</v>
          </cell>
          <cell r="Y6">
            <v>13.4854</v>
          </cell>
          <cell r="Z6">
            <v>40</v>
          </cell>
          <cell r="AA6">
            <v>53.267699999999998</v>
          </cell>
          <cell r="AB6">
            <v>40</v>
          </cell>
          <cell r="AC6">
            <v>44.930300000000003</v>
          </cell>
          <cell r="AD6">
            <v>40</v>
          </cell>
          <cell r="AE6">
            <v>35.714399999999998</v>
          </cell>
        </row>
        <row r="7">
          <cell r="A7">
            <v>40</v>
          </cell>
          <cell r="B7">
            <v>41.525700000000001</v>
          </cell>
          <cell r="C7">
            <v>40</v>
          </cell>
          <cell r="D7">
            <v>33.052900000000001</v>
          </cell>
          <cell r="E7">
            <v>40</v>
          </cell>
          <cell r="F7">
            <v>43.900700000000001</v>
          </cell>
          <cell r="G7">
            <v>40</v>
          </cell>
          <cell r="H7">
            <v>54.171799999999998</v>
          </cell>
          <cell r="I7">
            <v>80</v>
          </cell>
          <cell r="J7">
            <v>81.151799999999994</v>
          </cell>
          <cell r="R7">
            <v>80</v>
          </cell>
          <cell r="S7">
            <v>43.664900000000003</v>
          </cell>
          <cell r="T7">
            <v>80</v>
          </cell>
          <cell r="U7">
            <v>39.005200000000002</v>
          </cell>
          <cell r="V7">
            <v>80</v>
          </cell>
          <cell r="W7">
            <v>24.8215</v>
          </cell>
          <cell r="X7">
            <v>80</v>
          </cell>
          <cell r="Y7">
            <v>25.014800000000001</v>
          </cell>
          <cell r="Z7">
            <v>80</v>
          </cell>
          <cell r="AA7">
            <v>92.516000000000005</v>
          </cell>
          <cell r="AB7">
            <v>80</v>
          </cell>
          <cell r="AC7">
            <v>80.373999999999995</v>
          </cell>
          <cell r="AD7">
            <v>80</v>
          </cell>
          <cell r="AE7">
            <v>60.642800000000001</v>
          </cell>
        </row>
        <row r="8">
          <cell r="A8">
            <v>50</v>
          </cell>
          <cell r="B8">
            <v>53.063099999999999</v>
          </cell>
          <cell r="C8">
            <v>50</v>
          </cell>
          <cell r="D8">
            <v>44.1738</v>
          </cell>
          <cell r="E8">
            <v>50</v>
          </cell>
          <cell r="F8">
            <v>55.5182</v>
          </cell>
          <cell r="G8">
            <v>50</v>
          </cell>
          <cell r="H8">
            <v>72.8142</v>
          </cell>
          <cell r="I8">
            <v>100</v>
          </cell>
          <cell r="J8">
            <v>105.045</v>
          </cell>
          <cell r="R8">
            <v>100</v>
          </cell>
          <cell r="S8">
            <v>53.283000000000001</v>
          </cell>
          <cell r="T8">
            <v>100</v>
          </cell>
          <cell r="U8">
            <v>52.611400000000003</v>
          </cell>
          <cell r="X8">
            <v>100</v>
          </cell>
          <cell r="Y8">
            <v>33.655900000000003</v>
          </cell>
          <cell r="AD8">
            <v>100</v>
          </cell>
          <cell r="AE8">
            <v>71.762299999999996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标准曲线"/>
      <sheetName val="Sheet1"/>
      <sheetName val="Sheet2"/>
      <sheetName val="glu_fru"/>
      <sheetName val="minor"/>
    </sheetNames>
    <sheetDataSet>
      <sheetData sheetId="0">
        <row r="3">
          <cell r="A3">
            <v>0.2</v>
          </cell>
          <cell r="B3">
            <v>0.15229999999999999</v>
          </cell>
          <cell r="C3">
            <v>0.2</v>
          </cell>
          <cell r="D3">
            <v>8.43E-2</v>
          </cell>
          <cell r="E3">
            <v>0.2</v>
          </cell>
          <cell r="F3">
            <v>0.20680000000000001</v>
          </cell>
          <cell r="I3">
            <v>0.4</v>
          </cell>
          <cell r="J3">
            <v>0.2162</v>
          </cell>
          <cell r="R3">
            <v>0.4</v>
          </cell>
          <cell r="S3">
            <v>2.5700000000000001E-2</v>
          </cell>
          <cell r="V3">
            <v>0.4</v>
          </cell>
          <cell r="W3">
            <v>6.6E-3</v>
          </cell>
          <cell r="Z3">
            <v>0.4</v>
          </cell>
          <cell r="AA3">
            <v>0.44679999999999997</v>
          </cell>
          <cell r="AB3">
            <v>0.4</v>
          </cell>
          <cell r="AC3">
            <v>0.124</v>
          </cell>
          <cell r="AD3">
            <v>0.4</v>
          </cell>
          <cell r="AE3">
            <v>1.5100000000000001E-2</v>
          </cell>
        </row>
        <row r="4">
          <cell r="A4">
            <v>1</v>
          </cell>
          <cell r="B4">
            <v>1.2149000000000001</v>
          </cell>
          <cell r="C4">
            <v>1</v>
          </cell>
          <cell r="D4">
            <v>0.78869999999999996</v>
          </cell>
          <cell r="E4">
            <v>1</v>
          </cell>
          <cell r="F4">
            <v>1.0747</v>
          </cell>
          <cell r="G4">
            <v>1</v>
          </cell>
          <cell r="H4">
            <v>1.1904999999999999</v>
          </cell>
          <cell r="I4">
            <v>2</v>
          </cell>
          <cell r="J4">
            <v>0.69869999999999999</v>
          </cell>
          <cell r="R4">
            <v>2</v>
          </cell>
          <cell r="S4">
            <v>0.44280000000000003</v>
          </cell>
          <cell r="T4">
            <v>2</v>
          </cell>
          <cell r="U4">
            <v>0.248</v>
          </cell>
          <cell r="V4">
            <v>2</v>
          </cell>
          <cell r="W4">
            <v>0.13769999999999999</v>
          </cell>
          <cell r="X4">
            <v>2</v>
          </cell>
          <cell r="Y4">
            <v>0.70820000000000005</v>
          </cell>
          <cell r="Z4">
            <v>2</v>
          </cell>
          <cell r="AA4">
            <v>2.6855000000000002</v>
          </cell>
          <cell r="AB4">
            <v>2</v>
          </cell>
          <cell r="AC4">
            <v>1.7618</v>
          </cell>
          <cell r="AD4">
            <v>2</v>
          </cell>
          <cell r="AE4">
            <v>0.38059999999999999</v>
          </cell>
        </row>
        <row r="5">
          <cell r="A5">
            <v>5</v>
          </cell>
          <cell r="B5">
            <v>6.2723000000000004</v>
          </cell>
          <cell r="C5">
            <v>5</v>
          </cell>
          <cell r="D5">
            <v>4.7575000000000003</v>
          </cell>
          <cell r="E5">
            <v>5</v>
          </cell>
          <cell r="F5">
            <v>6.3217999999999996</v>
          </cell>
          <cell r="G5">
            <v>5</v>
          </cell>
          <cell r="H5">
            <v>7.5297999999999998</v>
          </cell>
          <cell r="I5">
            <v>10</v>
          </cell>
          <cell r="J5">
            <v>7.8217999999999996</v>
          </cell>
          <cell r="R5">
            <v>10</v>
          </cell>
          <cell r="S5">
            <v>4.1483999999999996</v>
          </cell>
          <cell r="T5">
            <v>10</v>
          </cell>
          <cell r="U5">
            <v>3.742</v>
          </cell>
          <cell r="V5">
            <v>10</v>
          </cell>
          <cell r="W5">
            <v>1.7322</v>
          </cell>
          <cell r="X5">
            <v>10</v>
          </cell>
          <cell r="Y5">
            <v>3.4786999999999999</v>
          </cell>
          <cell r="Z5">
            <v>10</v>
          </cell>
          <cell r="AA5">
            <v>14.2033</v>
          </cell>
          <cell r="AB5">
            <v>10</v>
          </cell>
          <cell r="AC5">
            <v>10.9199</v>
          </cell>
          <cell r="AD5">
            <v>10</v>
          </cell>
          <cell r="AE5">
            <v>6.0345000000000004</v>
          </cell>
        </row>
        <row r="6">
          <cell r="A6">
            <v>20</v>
          </cell>
          <cell r="B6">
            <v>21.978400000000001</v>
          </cell>
          <cell r="C6">
            <v>20</v>
          </cell>
          <cell r="D6">
            <v>18.7866</v>
          </cell>
          <cell r="E6">
            <v>20</v>
          </cell>
          <cell r="F6">
            <v>25.221599999999999</v>
          </cell>
          <cell r="G6">
            <v>20</v>
          </cell>
          <cell r="H6">
            <v>30.2135</v>
          </cell>
          <cell r="I6">
            <v>40</v>
          </cell>
          <cell r="J6">
            <v>38.971899999999998</v>
          </cell>
          <cell r="R6">
            <v>40</v>
          </cell>
          <cell r="S6">
            <v>21.884</v>
          </cell>
          <cell r="T6">
            <v>40</v>
          </cell>
          <cell r="U6">
            <v>21.853000000000002</v>
          </cell>
          <cell r="V6">
            <v>40</v>
          </cell>
          <cell r="W6">
            <v>12.3362</v>
          </cell>
          <cell r="X6">
            <v>40</v>
          </cell>
          <cell r="Y6">
            <v>13.4854</v>
          </cell>
          <cell r="Z6">
            <v>40</v>
          </cell>
          <cell r="AA6">
            <v>53.267699999999998</v>
          </cell>
          <cell r="AB6">
            <v>40</v>
          </cell>
          <cell r="AC6">
            <v>44.930300000000003</v>
          </cell>
          <cell r="AD6">
            <v>40</v>
          </cell>
          <cell r="AE6">
            <v>35.714399999999998</v>
          </cell>
        </row>
        <row r="7">
          <cell r="A7">
            <v>40</v>
          </cell>
          <cell r="B7">
            <v>41.525700000000001</v>
          </cell>
          <cell r="C7">
            <v>40</v>
          </cell>
          <cell r="D7">
            <v>33.052900000000001</v>
          </cell>
          <cell r="E7">
            <v>40</v>
          </cell>
          <cell r="F7">
            <v>43.900700000000001</v>
          </cell>
          <cell r="G7">
            <v>40</v>
          </cell>
          <cell r="H7">
            <v>54.171799999999998</v>
          </cell>
          <cell r="I7">
            <v>80</v>
          </cell>
          <cell r="J7">
            <v>81.151799999999994</v>
          </cell>
          <cell r="R7">
            <v>80</v>
          </cell>
          <cell r="S7">
            <v>43.664900000000003</v>
          </cell>
          <cell r="T7">
            <v>80</v>
          </cell>
          <cell r="U7">
            <v>39.005200000000002</v>
          </cell>
          <cell r="V7">
            <v>80</v>
          </cell>
          <cell r="W7">
            <v>24.8215</v>
          </cell>
          <cell r="X7">
            <v>80</v>
          </cell>
          <cell r="Y7">
            <v>25.014800000000001</v>
          </cell>
          <cell r="Z7">
            <v>80</v>
          </cell>
          <cell r="AA7">
            <v>92.516000000000005</v>
          </cell>
          <cell r="AB7">
            <v>80</v>
          </cell>
          <cell r="AC7">
            <v>80.373999999999995</v>
          </cell>
          <cell r="AD7">
            <v>80</v>
          </cell>
          <cell r="AE7">
            <v>60.642800000000001</v>
          </cell>
        </row>
        <row r="8">
          <cell r="A8">
            <v>50</v>
          </cell>
          <cell r="B8">
            <v>53.063099999999999</v>
          </cell>
          <cell r="C8">
            <v>50</v>
          </cell>
          <cell r="D8">
            <v>44.1738</v>
          </cell>
          <cell r="E8">
            <v>50</v>
          </cell>
          <cell r="F8">
            <v>55.5182</v>
          </cell>
          <cell r="G8">
            <v>50</v>
          </cell>
          <cell r="H8">
            <v>72.8142</v>
          </cell>
          <cell r="I8">
            <v>100</v>
          </cell>
          <cell r="J8">
            <v>105.045</v>
          </cell>
          <cell r="R8">
            <v>100</v>
          </cell>
          <cell r="S8">
            <v>53.283000000000001</v>
          </cell>
          <cell r="T8">
            <v>100</v>
          </cell>
          <cell r="U8">
            <v>52.611400000000003</v>
          </cell>
          <cell r="X8">
            <v>100</v>
          </cell>
          <cell r="Y8">
            <v>33.655900000000003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2"/>
  <sheetViews>
    <sheetView zoomScale="105" workbookViewId="0">
      <selection activeCell="E10" sqref="E10"/>
    </sheetView>
  </sheetViews>
  <sheetFormatPr defaultColWidth="9.08984375" defaultRowHeight="14.5"/>
  <cols>
    <col min="1" max="1" width="12.453125" style="1" bestFit="1" customWidth="1"/>
    <col min="2" max="3" width="9.453125" style="1" bestFit="1" customWidth="1"/>
    <col min="4" max="4" width="8.453125" style="1" bestFit="1" customWidth="1"/>
    <col min="5" max="5" width="8.81640625" style="1" bestFit="1" customWidth="1"/>
    <col min="6" max="6" width="8.453125" style="1" bestFit="1" customWidth="1"/>
    <col min="7" max="7" width="8.90625" style="1" bestFit="1" customWidth="1"/>
    <col min="8" max="8" width="8.81640625" style="1" bestFit="1" customWidth="1"/>
    <col min="9" max="9" width="8.90625" style="1" bestFit="1" customWidth="1"/>
    <col min="10" max="10" width="8.453125" style="1" bestFit="1" customWidth="1"/>
    <col min="11" max="11" width="8.90625" style="1" bestFit="1" customWidth="1"/>
    <col min="12" max="12" width="9.90625" style="1" bestFit="1" customWidth="1"/>
    <col min="13" max="15" width="9.453125" style="1" bestFit="1" customWidth="1"/>
    <col min="16" max="16" width="8.453125" style="1" bestFit="1" customWidth="1"/>
    <col min="17" max="19" width="8.90625" style="1" bestFit="1" customWidth="1"/>
    <col min="20" max="20" width="12.453125" style="1" bestFit="1" customWidth="1"/>
    <col min="21" max="21" width="11.7265625" style="1" bestFit="1" customWidth="1"/>
    <col min="22" max="30" width="13.453125" style="1" bestFit="1" customWidth="1"/>
    <col min="31" max="31" width="7.54296875" style="1" bestFit="1" customWidth="1"/>
    <col min="32" max="16384" width="9.08984375" style="1"/>
  </cols>
  <sheetData>
    <row r="1" spans="1:30" ht="29">
      <c r="A1" s="1" t="s">
        <v>406</v>
      </c>
      <c r="C1" s="1" t="s">
        <v>407</v>
      </c>
      <c r="E1" s="1" t="s">
        <v>408</v>
      </c>
      <c r="G1" s="1" t="s">
        <v>409</v>
      </c>
      <c r="I1" s="1" t="s">
        <v>410</v>
      </c>
      <c r="K1" s="1" t="s">
        <v>411</v>
      </c>
      <c r="M1" s="1" t="s">
        <v>412</v>
      </c>
      <c r="O1" s="1" t="s">
        <v>413</v>
      </c>
      <c r="Q1" s="1" t="s">
        <v>414</v>
      </c>
      <c r="S1" s="1" t="s">
        <v>448</v>
      </c>
      <c r="U1" s="1" t="s">
        <v>415</v>
      </c>
      <c r="W1" s="1" t="s">
        <v>416</v>
      </c>
      <c r="Y1" s="1" t="s">
        <v>449</v>
      </c>
      <c r="AA1" s="1" t="s">
        <v>450</v>
      </c>
    </row>
    <row r="2" spans="1:30" ht="43.5">
      <c r="A2" s="1" t="s">
        <v>447</v>
      </c>
      <c r="B2" s="1" t="s">
        <v>446</v>
      </c>
      <c r="C2" s="1" t="s">
        <v>447</v>
      </c>
      <c r="D2" s="1" t="s">
        <v>446</v>
      </c>
      <c r="E2" s="1" t="s">
        <v>447</v>
      </c>
      <c r="F2" s="1" t="s">
        <v>446</v>
      </c>
      <c r="G2" s="1" t="s">
        <v>447</v>
      </c>
      <c r="H2" s="1" t="s">
        <v>446</v>
      </c>
      <c r="I2" s="1" t="s">
        <v>447</v>
      </c>
      <c r="J2" s="1" t="s">
        <v>446</v>
      </c>
      <c r="K2" s="1" t="s">
        <v>447</v>
      </c>
      <c r="L2" s="1" t="s">
        <v>446</v>
      </c>
      <c r="M2" s="1" t="s">
        <v>447</v>
      </c>
      <c r="N2" s="1" t="s">
        <v>446</v>
      </c>
      <c r="O2" s="1" t="s">
        <v>447</v>
      </c>
      <c r="P2" s="1" t="s">
        <v>446</v>
      </c>
      <c r="Q2" s="1" t="s">
        <v>447</v>
      </c>
      <c r="R2" s="1" t="s">
        <v>446</v>
      </c>
      <c r="S2" s="1" t="s">
        <v>447</v>
      </c>
      <c r="T2" s="1" t="s">
        <v>446</v>
      </c>
      <c r="U2" s="1" t="s">
        <v>447</v>
      </c>
      <c r="V2" s="1" t="s">
        <v>446</v>
      </c>
      <c r="W2" s="1" t="s">
        <v>447</v>
      </c>
      <c r="X2" s="1" t="s">
        <v>446</v>
      </c>
      <c r="Y2" s="1" t="s">
        <v>447</v>
      </c>
      <c r="Z2" s="1" t="s">
        <v>446</v>
      </c>
      <c r="AA2" s="1" t="s">
        <v>447</v>
      </c>
      <c r="AB2" s="1" t="s">
        <v>446</v>
      </c>
    </row>
    <row r="3" spans="1:30">
      <c r="A3" s="1">
        <v>0.4</v>
      </c>
      <c r="B3" s="1">
        <v>8.4099999999999994E-2</v>
      </c>
      <c r="C3" s="1">
        <v>0.2</v>
      </c>
      <c r="D3" s="1">
        <v>0.2359</v>
      </c>
      <c r="E3" s="1">
        <v>0.2</v>
      </c>
      <c r="F3" s="1">
        <v>0.26950000000000002</v>
      </c>
      <c r="G3" s="1">
        <v>0.2</v>
      </c>
      <c r="H3" s="1">
        <v>0.21920000000000001</v>
      </c>
      <c r="I3" s="1">
        <v>0.2</v>
      </c>
      <c r="J3" s="1">
        <v>0.26719999999999999</v>
      </c>
      <c r="K3" s="1">
        <v>0.2</v>
      </c>
      <c r="L3" s="1">
        <v>6.9000000000000006E-2</v>
      </c>
      <c r="M3" s="1">
        <v>0.2</v>
      </c>
      <c r="N3" s="1">
        <v>0.1799</v>
      </c>
      <c r="O3" s="1">
        <v>0.2</v>
      </c>
      <c r="P3" s="1">
        <v>0.14979999999999999</v>
      </c>
      <c r="Q3" s="1">
        <v>0.2</v>
      </c>
      <c r="S3" s="1">
        <v>0.4</v>
      </c>
      <c r="T3" s="1">
        <v>0.34510000000000002</v>
      </c>
      <c r="U3" s="1">
        <f>U4/5</f>
        <v>0.34769230769230763</v>
      </c>
      <c r="V3" s="1">
        <v>0.36120000000000002</v>
      </c>
      <c r="W3" s="1">
        <v>0.4</v>
      </c>
      <c r="X3" s="1">
        <v>0.1077</v>
      </c>
      <c r="Y3" s="1">
        <v>0.2</v>
      </c>
      <c r="Z3" s="1">
        <f>0.0256*2</f>
        <v>5.1200000000000002E-2</v>
      </c>
      <c r="AA3" s="1">
        <v>0.2</v>
      </c>
      <c r="AB3" s="1">
        <f>0.0824*2</f>
        <v>0.1648</v>
      </c>
    </row>
    <row r="4" spans="1:30">
      <c r="A4" s="1">
        <v>2</v>
      </c>
      <c r="B4" s="1">
        <v>0.68600000000000005</v>
      </c>
      <c r="C4" s="1">
        <v>1</v>
      </c>
      <c r="D4" s="1">
        <v>1.7107000000000001</v>
      </c>
      <c r="E4" s="1">
        <v>1</v>
      </c>
      <c r="F4" s="1">
        <v>1.6075999999999999</v>
      </c>
      <c r="G4" s="1">
        <v>1</v>
      </c>
      <c r="H4" s="1">
        <v>1.9255</v>
      </c>
      <c r="I4" s="1">
        <v>1</v>
      </c>
      <c r="J4" s="1">
        <v>2.1122999999999998</v>
      </c>
      <c r="K4" s="1">
        <v>1</v>
      </c>
      <c r="L4" s="1">
        <v>0.88780000000000003</v>
      </c>
      <c r="M4" s="1">
        <v>1</v>
      </c>
      <c r="N4" s="1">
        <v>0.39839999999999998</v>
      </c>
      <c r="O4" s="1">
        <v>1</v>
      </c>
      <c r="P4" s="1">
        <v>0.50860000000000005</v>
      </c>
      <c r="Q4" s="1">
        <v>1</v>
      </c>
      <c r="R4" s="1">
        <v>0.16159999999999999</v>
      </c>
      <c r="S4" s="1">
        <v>2</v>
      </c>
      <c r="T4" s="1">
        <v>1.9574</v>
      </c>
      <c r="U4" s="1">
        <f>U5/5</f>
        <v>1.7384615384615383</v>
      </c>
      <c r="V4" s="1">
        <v>1.8301000000000001</v>
      </c>
      <c r="W4" s="1">
        <v>2</v>
      </c>
      <c r="X4" s="1">
        <v>1.1392</v>
      </c>
      <c r="Y4" s="1">
        <v>1</v>
      </c>
      <c r="Z4" s="1">
        <f>0.4155*2</f>
        <v>0.83099999999999996</v>
      </c>
      <c r="AA4" s="1">
        <v>1</v>
      </c>
      <c r="AB4" s="1">
        <f>1.0401*2</f>
        <v>2.0802</v>
      </c>
    </row>
    <row r="5" spans="1:30">
      <c r="A5" s="1">
        <v>10</v>
      </c>
      <c r="B5" s="1">
        <v>5.1619000000000002</v>
      </c>
      <c r="C5" s="1">
        <v>5</v>
      </c>
      <c r="D5" s="1">
        <v>8.1118000000000006</v>
      </c>
      <c r="E5" s="1">
        <v>5</v>
      </c>
      <c r="F5" s="1">
        <v>7.6879999999999997</v>
      </c>
      <c r="G5" s="1">
        <v>5</v>
      </c>
      <c r="H5" s="1">
        <v>10.179399999999999</v>
      </c>
      <c r="I5" s="1">
        <v>5</v>
      </c>
      <c r="J5" s="1">
        <v>11.037100000000001</v>
      </c>
      <c r="K5" s="1">
        <v>5</v>
      </c>
      <c r="L5" s="1">
        <v>7.6731999999999996</v>
      </c>
      <c r="M5" s="1">
        <v>5</v>
      </c>
      <c r="N5" s="1">
        <v>3.3746999999999998</v>
      </c>
      <c r="O5" s="1">
        <v>5</v>
      </c>
      <c r="P5" s="1">
        <v>2.9596</v>
      </c>
      <c r="Q5" s="1">
        <v>5</v>
      </c>
      <c r="R5" s="1">
        <v>2.0017999999999998</v>
      </c>
      <c r="S5" s="1">
        <v>10</v>
      </c>
      <c r="T5" s="1">
        <v>9.6100999999999992</v>
      </c>
      <c r="U5" s="1">
        <f>U6/4</f>
        <v>8.6923076923076916</v>
      </c>
      <c r="V5" s="1">
        <v>8.3611000000000004</v>
      </c>
      <c r="W5" s="1">
        <v>10</v>
      </c>
      <c r="X5" s="1">
        <v>8.7446000000000002</v>
      </c>
      <c r="Y5" s="1">
        <v>5</v>
      </c>
      <c r="Z5" s="1">
        <f>4.5094*2</f>
        <v>9.0188000000000006</v>
      </c>
      <c r="AA5" s="1">
        <v>5</v>
      </c>
      <c r="AB5" s="1">
        <f>6.0036*2</f>
        <v>12.007199999999999</v>
      </c>
    </row>
    <row r="6" spans="1:30">
      <c r="A6" s="1">
        <v>40</v>
      </c>
      <c r="B6" s="1">
        <v>17.9434</v>
      </c>
      <c r="C6" s="1">
        <v>20</v>
      </c>
      <c r="D6" s="1">
        <v>26.438300000000002</v>
      </c>
      <c r="E6" s="1">
        <v>20</v>
      </c>
      <c r="F6" s="1">
        <v>27.1785</v>
      </c>
      <c r="G6" s="1">
        <v>20</v>
      </c>
      <c r="H6" s="1">
        <v>36.549700000000001</v>
      </c>
      <c r="I6" s="1">
        <v>20</v>
      </c>
      <c r="J6" s="1">
        <v>39.651400000000002</v>
      </c>
      <c r="K6" s="1">
        <v>20</v>
      </c>
      <c r="L6" s="1">
        <v>35.329300000000003</v>
      </c>
      <c r="M6" s="1">
        <v>20</v>
      </c>
      <c r="N6" s="1">
        <v>16.7593</v>
      </c>
      <c r="O6" s="1">
        <v>20</v>
      </c>
      <c r="P6" s="1">
        <v>13.928599999999999</v>
      </c>
      <c r="Q6" s="1">
        <v>20</v>
      </c>
      <c r="R6" s="1">
        <v>12.4754</v>
      </c>
      <c r="S6" s="1">
        <v>40</v>
      </c>
      <c r="T6" s="1">
        <v>35.017299999999999</v>
      </c>
      <c r="U6" s="1">
        <f>U7/2</f>
        <v>34.769230769230766</v>
      </c>
      <c r="V6" s="1">
        <v>27.257000000000001</v>
      </c>
      <c r="W6" s="1">
        <v>40</v>
      </c>
      <c r="X6" s="1">
        <v>37.333199999999998</v>
      </c>
      <c r="Y6" s="1">
        <v>20</v>
      </c>
      <c r="Z6" s="1">
        <f>19.3289*2</f>
        <v>38.657800000000002</v>
      </c>
      <c r="AA6" s="1">
        <v>20</v>
      </c>
      <c r="AB6" s="1">
        <f>23.6979*2</f>
        <v>47.395800000000001</v>
      </c>
    </row>
    <row r="7" spans="1:30">
      <c r="A7" s="1">
        <v>80</v>
      </c>
      <c r="C7" s="1">
        <v>40</v>
      </c>
      <c r="D7" s="1">
        <v>45.628900000000002</v>
      </c>
      <c r="E7" s="1">
        <v>40</v>
      </c>
      <c r="F7" s="1">
        <v>50.9467</v>
      </c>
      <c r="G7" s="1">
        <v>40</v>
      </c>
      <c r="H7" s="1">
        <v>68.3703</v>
      </c>
      <c r="I7" s="1">
        <v>40</v>
      </c>
      <c r="J7" s="1">
        <v>74.354100000000003</v>
      </c>
      <c r="K7" s="1">
        <v>40</v>
      </c>
      <c r="L7" s="1">
        <v>74.905100000000004</v>
      </c>
      <c r="M7" s="1">
        <v>40</v>
      </c>
      <c r="N7" s="1">
        <v>35.581600000000002</v>
      </c>
      <c r="O7" s="1">
        <v>40</v>
      </c>
      <c r="P7" s="1">
        <v>26.514299999999999</v>
      </c>
      <c r="Q7" s="1">
        <v>40</v>
      </c>
      <c r="R7" s="1">
        <v>27.341899999999999</v>
      </c>
      <c r="S7" s="1">
        <v>80</v>
      </c>
      <c r="T7" s="1">
        <v>66.341999999999999</v>
      </c>
      <c r="U7" s="1">
        <f>AB9/2.5</f>
        <v>69.538461538461533</v>
      </c>
      <c r="V7" s="1">
        <v>45.596899999999998</v>
      </c>
      <c r="W7" s="1">
        <v>80</v>
      </c>
      <c r="X7" s="1">
        <v>71.625600000000006</v>
      </c>
      <c r="Y7" s="1">
        <v>40</v>
      </c>
      <c r="Z7" s="1">
        <f>39.129*2</f>
        <v>78.257999999999996</v>
      </c>
      <c r="AA7" s="1">
        <v>40</v>
      </c>
      <c r="AB7" s="1">
        <f>48.1855*2</f>
        <v>96.370999999999995</v>
      </c>
    </row>
    <row r="9" spans="1:30">
      <c r="Z9" s="1">
        <v>200</v>
      </c>
      <c r="AB9" s="1">
        <f>11300/1.3/50</f>
        <v>173.84615384615384</v>
      </c>
      <c r="AD9" s="1">
        <v>200</v>
      </c>
    </row>
    <row r="13" spans="1:30">
      <c r="L13" s="2"/>
      <c r="M13" s="2"/>
    </row>
    <row r="26" spans="29:29">
      <c r="AC26"/>
    </row>
    <row r="27" spans="29:29">
      <c r="AC27"/>
    </row>
    <row r="28" spans="29:29">
      <c r="AC28"/>
    </row>
    <row r="29" spans="29:29">
      <c r="AC29"/>
    </row>
    <row r="39" spans="1:29" ht="29">
      <c r="B39" s="1" t="s">
        <v>406</v>
      </c>
      <c r="D39" s="1" t="s">
        <v>407</v>
      </c>
      <c r="F39" s="1" t="s">
        <v>408</v>
      </c>
      <c r="H39" s="1" t="s">
        <v>409</v>
      </c>
      <c r="J39" s="1" t="s">
        <v>410</v>
      </c>
      <c r="L39" s="1" t="s">
        <v>411</v>
      </c>
      <c r="N39" s="1" t="s">
        <v>412</v>
      </c>
      <c r="P39" s="1" t="s">
        <v>413</v>
      </c>
      <c r="R39" s="1" t="s">
        <v>414</v>
      </c>
    </row>
    <row r="40" spans="1:29" ht="43.5">
      <c r="A40" s="1" t="s">
        <v>170</v>
      </c>
      <c r="B40" s="1" t="s">
        <v>446</v>
      </c>
      <c r="C40" s="1" t="s">
        <v>447</v>
      </c>
      <c r="D40" s="1" t="s">
        <v>446</v>
      </c>
      <c r="E40" s="1" t="s">
        <v>447</v>
      </c>
      <c r="F40" s="1" t="s">
        <v>446</v>
      </c>
      <c r="G40" s="1" t="s">
        <v>447</v>
      </c>
      <c r="H40" s="1" t="s">
        <v>446</v>
      </c>
      <c r="I40" s="1" t="s">
        <v>447</v>
      </c>
      <c r="J40" s="1" t="s">
        <v>446</v>
      </c>
      <c r="K40" s="1" t="s">
        <v>447</v>
      </c>
      <c r="L40" s="1" t="s">
        <v>446</v>
      </c>
      <c r="M40" s="1" t="s">
        <v>447</v>
      </c>
      <c r="N40" s="1" t="s">
        <v>446</v>
      </c>
      <c r="O40" s="1" t="s">
        <v>447</v>
      </c>
      <c r="P40" s="1" t="s">
        <v>446</v>
      </c>
      <c r="Q40" s="1" t="s">
        <v>447</v>
      </c>
      <c r="R40" s="1" t="s">
        <v>446</v>
      </c>
      <c r="S40" s="1" t="s">
        <v>447</v>
      </c>
      <c r="T40" s="1" t="s">
        <v>170</v>
      </c>
      <c r="U40" s="1" t="s">
        <v>171</v>
      </c>
      <c r="V40" s="1" t="s">
        <v>172</v>
      </c>
      <c r="W40" s="1" t="s">
        <v>173</v>
      </c>
      <c r="X40" s="1" t="s">
        <v>174</v>
      </c>
      <c r="Y40" s="1" t="s">
        <v>175</v>
      </c>
      <c r="Z40" s="1" t="s">
        <v>176</v>
      </c>
      <c r="AA40" s="1" t="s">
        <v>177</v>
      </c>
      <c r="AB40" s="1" t="s">
        <v>178</v>
      </c>
      <c r="AC40" s="1" t="s">
        <v>179</v>
      </c>
    </row>
    <row r="41" spans="1:29">
      <c r="A41" s="1" t="s">
        <v>11</v>
      </c>
      <c r="B41" s="4">
        <v>0.67879999999999996</v>
      </c>
      <c r="C41" s="4">
        <f t="shared" ref="C41:C69" si="0">IF(AND(B41&gt;=$B$3,B41&lt;=$B$6),(B41-0.0736)/0.45,IF(B41&lt;$B$3,B41/$B$3*$A$3,B41/$B$6*$A$6))</f>
        <v>1.3448888888888888</v>
      </c>
      <c r="D41" s="5">
        <f>0.0063*2</f>
        <v>1.26E-2</v>
      </c>
      <c r="E41" s="4">
        <f>IF(AND(D41&gt;=$D$4,D41&lt;=$D$7),(D41-0.5765)/1.305,IF(D41&lt;$D$4,D41/$D$4*$C$4,D41/$D$7*$C$7))</f>
        <v>7.3654059741626232E-3</v>
      </c>
      <c r="F41" s="4">
        <v>1.7899999999999999E-2</v>
      </c>
      <c r="G41" s="4">
        <f>IF(AND(F41&gt;=$F$4,F41&lt;=$F$7),(F41-0.3557)/1.3481,IF(F41&lt;$F$4,F41/$F$4*$E$4,F41/$F$7*$E$7))</f>
        <v>1.1134610599651654E-2</v>
      </c>
      <c r="H41" s="4">
        <v>4.24E-2</v>
      </c>
      <c r="I41" s="4">
        <f>IF(H41,(H41+0.1727)/2.0713,"")</f>
        <v>0.10384782503741612</v>
      </c>
      <c r="J41" s="4">
        <v>8.6199999999999999E-2</v>
      </c>
      <c r="K41" s="4">
        <f>IF(AND(J41&gt;=$J$4,J41&lt;=$J$7),(J41-0.3234)/1.9761,IF(J41&lt;$J$4,J41/$J$4*$I$4,J41/$J$7*$I$7))</f>
        <v>4.0808597263646267E-2</v>
      </c>
      <c r="L41" s="4">
        <v>1.0733999999999999</v>
      </c>
      <c r="M41" s="4">
        <f>IF(L41,(L41+1.2005)/1.8862,"")</f>
        <v>1.205545541299968</v>
      </c>
      <c r="N41" s="4">
        <v>0.60370000000000001</v>
      </c>
      <c r="O41" s="4">
        <f>IF(N41,(N41+0.6092)/0.8964,"")</f>
        <v>1.3530789825970548</v>
      </c>
      <c r="P41" s="4"/>
      <c r="Q41" s="4" t="str">
        <f>IF(P41,(P41+0.0692)/0.6708,"")</f>
        <v/>
      </c>
      <c r="S41" s="4" t="str">
        <f>IF(R41,(R41+1.1389)/0.7051,"")</f>
        <v/>
      </c>
      <c r="T41" s="1" t="s">
        <v>11</v>
      </c>
      <c r="U41" s="1">
        <v>1.3448888888888888</v>
      </c>
      <c r="V41" s="1">
        <v>7.3654059741626232E-3</v>
      </c>
      <c r="W41" s="1">
        <v>1.1134610599651654E-2</v>
      </c>
      <c r="X41" s="1">
        <v>0.10384782503741612</v>
      </c>
      <c r="Y41" s="1">
        <v>4.0808597263646267E-2</v>
      </c>
      <c r="Z41" s="1">
        <v>1.205545541299968</v>
      </c>
      <c r="AA41" s="1">
        <v>1.3530789825970548</v>
      </c>
      <c r="AB41" s="1" t="s">
        <v>402</v>
      </c>
      <c r="AC41" s="1" t="s">
        <v>402</v>
      </c>
    </row>
    <row r="42" spans="1:29">
      <c r="A42" s="1" t="s">
        <v>12</v>
      </c>
      <c r="B42" s="4">
        <v>11.9176</v>
      </c>
      <c r="C42" s="4">
        <f t="shared" si="0"/>
        <v>26.319999999999997</v>
      </c>
      <c r="D42" s="5">
        <f>0.0227*2</f>
        <v>4.5400000000000003E-2</v>
      </c>
      <c r="E42" s="4">
        <f t="shared" ref="E42:E96" si="1">IF(AND(D42&gt;=$D$4,D42&lt;=$D$7),(D42-0.5765)/1.305,IF(D42&lt;$D$4,D42/$D$4*$C$4,D42/$D$7*$C$7))</f>
        <v>2.6538843748173262E-2</v>
      </c>
      <c r="F42" s="4">
        <v>0.1537</v>
      </c>
      <c r="G42" s="4">
        <f t="shared" ref="G42:G96" si="2">IF(AND(F42&gt;=$F$4,F42&lt;=$F$7),(F42-0.3557)/1.3481,IF(F42&lt;$F$4,F42/$F$4*$E$4,F42/$F$7*$E$7))</f>
        <v>9.5608360288629013E-2</v>
      </c>
      <c r="H42" s="4">
        <v>0.108</v>
      </c>
      <c r="I42" s="4">
        <f t="shared" ref="I42:I96" si="3">IF(H42,(H42+0.1727)/2.0713,"")</f>
        <v>0.13551875633660021</v>
      </c>
      <c r="J42" s="4">
        <v>0.89780000000000004</v>
      </c>
      <c r="K42" s="4">
        <f t="shared" ref="K42:K96" si="4">IF(AND(J42&gt;=$J$4,J42&lt;=$J$7),(J42-0.3234)/1.9761,IF(J42&lt;$J$4,J42/$J$4*$I$4,J42/$J$7*$I$7))</f>
        <v>0.42503432277612085</v>
      </c>
      <c r="L42" s="4">
        <v>27.046099999999999</v>
      </c>
      <c r="M42" s="4">
        <f t="shared" ref="M42:M96" si="5">IF(L42,(L42+1.2005)/1.8862,"")</f>
        <v>14.975400275686566</v>
      </c>
      <c r="N42" s="4">
        <v>7.9748000000000001</v>
      </c>
      <c r="O42" s="4">
        <f t="shared" ref="O42:O96" si="6">IF(N42,(N42+0.6092)/0.8964,"")</f>
        <v>9.5760821062025876</v>
      </c>
      <c r="P42" s="4"/>
      <c r="Q42" s="4" t="str">
        <f t="shared" ref="Q42:Q96" si="7">IF(P42,(P42+0.0692)/0.6708,"")</f>
        <v/>
      </c>
      <c r="R42" s="1">
        <v>2.6545000000000001</v>
      </c>
      <c r="S42" s="4">
        <f t="shared" ref="S42:S96" si="8">IF(R42,(R42+1.1389)/0.7051,"")</f>
        <v>5.3799461069351873</v>
      </c>
      <c r="T42" s="1" t="s">
        <v>12</v>
      </c>
      <c r="U42" s="1">
        <v>26.319999999999997</v>
      </c>
      <c r="V42" s="1">
        <v>2.6538843748173262E-2</v>
      </c>
      <c r="W42" s="1">
        <v>9.5608360288629013E-2</v>
      </c>
      <c r="X42" s="1">
        <v>0.13551875633660021</v>
      </c>
      <c r="Y42" s="1">
        <v>0.42503432277612085</v>
      </c>
      <c r="Z42" s="1">
        <v>14.975400275686566</v>
      </c>
      <c r="AA42" s="1">
        <v>9.5760821062025876</v>
      </c>
      <c r="AB42" s="1" t="s">
        <v>402</v>
      </c>
      <c r="AC42" s="1">
        <v>5.3799461069351873</v>
      </c>
    </row>
    <row r="43" spans="1:29">
      <c r="A43" s="1" t="s">
        <v>10</v>
      </c>
      <c r="B43" s="4">
        <v>3.2214</v>
      </c>
      <c r="C43" s="4">
        <f t="shared" si="0"/>
        <v>6.9951111111111111</v>
      </c>
      <c r="D43" s="4">
        <f>0.2658*2</f>
        <v>0.53159999999999996</v>
      </c>
      <c r="E43" s="4">
        <f t="shared" si="1"/>
        <v>0.31074998538609921</v>
      </c>
      <c r="F43" s="4">
        <v>5.6300000000000003E-2</v>
      </c>
      <c r="G43" s="4">
        <f t="shared" si="2"/>
        <v>3.5021149539686491E-2</v>
      </c>
      <c r="H43" s="4">
        <v>0.44429999999999997</v>
      </c>
      <c r="I43" s="4">
        <f t="shared" si="3"/>
        <v>0.29788055810360642</v>
      </c>
      <c r="J43" s="4">
        <v>1.8586</v>
      </c>
      <c r="K43" s="4">
        <f t="shared" si="4"/>
        <v>0.87989395445722685</v>
      </c>
      <c r="L43" s="4">
        <v>26.730399999999999</v>
      </c>
      <c r="M43" s="4">
        <f t="shared" si="5"/>
        <v>14.808026720390203</v>
      </c>
      <c r="N43" s="4">
        <v>8.7321000000000009</v>
      </c>
      <c r="O43" s="4">
        <f t="shared" si="6"/>
        <v>10.420905845604642</v>
      </c>
      <c r="P43" s="4"/>
      <c r="Q43" s="4" t="str">
        <f t="shared" si="7"/>
        <v/>
      </c>
      <c r="S43" s="4" t="str">
        <f t="shared" si="8"/>
        <v/>
      </c>
      <c r="T43" s="1" t="s">
        <v>10</v>
      </c>
      <c r="U43" s="1">
        <v>6.9951111111111111</v>
      </c>
      <c r="V43" s="1">
        <v>0.31074998538609921</v>
      </c>
      <c r="W43" s="1">
        <v>3.5021149539686491E-2</v>
      </c>
      <c r="X43" s="1">
        <v>0.29788055810360642</v>
      </c>
      <c r="Y43" s="1">
        <v>0.87989395445722685</v>
      </c>
      <c r="Z43" s="1">
        <v>14.808026720390203</v>
      </c>
      <c r="AA43" s="1">
        <v>10.420905845604642</v>
      </c>
      <c r="AB43" s="1" t="s">
        <v>402</v>
      </c>
      <c r="AC43" s="1" t="s">
        <v>402</v>
      </c>
    </row>
    <row r="44" spans="1:29">
      <c r="A44" s="1" t="s">
        <v>17</v>
      </c>
      <c r="B44" s="4">
        <f>1.9768*2</f>
        <v>3.9535999999999998</v>
      </c>
      <c r="C44" s="4">
        <f t="shared" si="0"/>
        <v>8.6222222222222218</v>
      </c>
      <c r="D44" s="5">
        <f>0.0253*2</f>
        <v>5.0599999999999999E-2</v>
      </c>
      <c r="E44" s="4">
        <f t="shared" si="1"/>
        <v>2.9578535102589582E-2</v>
      </c>
      <c r="F44" s="4">
        <v>0.12909999999999999</v>
      </c>
      <c r="G44" s="4">
        <f t="shared" si="2"/>
        <v>8.0306046280169199E-2</v>
      </c>
      <c r="H44" s="4">
        <v>0.25330000000000003</v>
      </c>
      <c r="I44" s="4">
        <f t="shared" si="3"/>
        <v>0.20566793800994548</v>
      </c>
      <c r="J44" s="4">
        <v>0.5252</v>
      </c>
      <c r="K44" s="4">
        <f t="shared" si="4"/>
        <v>0.24863892439520904</v>
      </c>
      <c r="L44" s="4">
        <v>27.945399999999999</v>
      </c>
      <c r="M44" s="4">
        <f t="shared" si="5"/>
        <v>15.452178984201037</v>
      </c>
      <c r="N44" s="4">
        <v>3.8714</v>
      </c>
      <c r="O44" s="4">
        <f t="shared" si="6"/>
        <v>4.9984381972333782</v>
      </c>
      <c r="P44" s="4"/>
      <c r="Q44" s="4" t="str">
        <f t="shared" si="7"/>
        <v/>
      </c>
      <c r="R44" s="1">
        <f>0.357*2</f>
        <v>0.71399999999999997</v>
      </c>
      <c r="S44" s="4">
        <f t="shared" si="8"/>
        <v>2.6278542050772944</v>
      </c>
      <c r="T44" s="1" t="s">
        <v>17</v>
      </c>
      <c r="U44" s="1">
        <v>8.6222222222222218</v>
      </c>
      <c r="V44" s="1">
        <v>2.9578535102589582E-2</v>
      </c>
      <c r="W44" s="1">
        <v>8.0306046280169199E-2</v>
      </c>
      <c r="X44" s="1">
        <v>0.20566793800994548</v>
      </c>
      <c r="Y44" s="1">
        <v>0.24863892439520904</v>
      </c>
      <c r="Z44" s="1">
        <v>15.452178984201037</v>
      </c>
      <c r="AA44" s="1">
        <v>4.9984381972333782</v>
      </c>
      <c r="AB44" s="1" t="s">
        <v>402</v>
      </c>
      <c r="AC44" s="1">
        <v>2.6278542050772944</v>
      </c>
    </row>
    <row r="45" spans="1:29">
      <c r="A45" s="1" t="s">
        <v>13</v>
      </c>
      <c r="B45" s="4">
        <v>13.1363</v>
      </c>
      <c r="C45" s="4">
        <f t="shared" si="0"/>
        <v>29.028222222222219</v>
      </c>
      <c r="D45" s="5">
        <v>1.4800000000000001E-2</v>
      </c>
      <c r="E45" s="4">
        <f t="shared" si="1"/>
        <v>8.651429239492605E-3</v>
      </c>
      <c r="F45" s="4">
        <v>0.1003</v>
      </c>
      <c r="G45" s="4">
        <f t="shared" si="2"/>
        <v>6.2391142075143076E-2</v>
      </c>
      <c r="H45" s="4">
        <v>7.5499999999999998E-2</v>
      </c>
      <c r="I45" s="4">
        <f t="shared" si="3"/>
        <v>0.11982812726307149</v>
      </c>
      <c r="J45" s="4">
        <v>0.2107</v>
      </c>
      <c r="K45" s="4">
        <f t="shared" si="4"/>
        <v>9.9749088671116801E-2</v>
      </c>
      <c r="L45" s="4">
        <v>24.390899999999998</v>
      </c>
      <c r="M45" s="4">
        <f t="shared" si="5"/>
        <v>13.567702258509172</v>
      </c>
      <c r="N45" s="4">
        <v>1.1286</v>
      </c>
      <c r="O45" s="4">
        <f t="shared" si="6"/>
        <v>1.9386434627398483</v>
      </c>
      <c r="P45" s="4"/>
      <c r="Q45" s="4" t="str">
        <f t="shared" si="7"/>
        <v/>
      </c>
      <c r="R45" s="1">
        <v>2.8393999999999999</v>
      </c>
      <c r="S45" s="4">
        <f t="shared" si="8"/>
        <v>5.6421784144093037</v>
      </c>
      <c r="T45" s="1" t="s">
        <v>13</v>
      </c>
      <c r="U45" s="1">
        <v>29.028222222222219</v>
      </c>
      <c r="V45" s="1">
        <v>8.651429239492605E-3</v>
      </c>
      <c r="W45" s="1">
        <v>6.2391142075143076E-2</v>
      </c>
      <c r="X45" s="1">
        <v>0.11982812726307149</v>
      </c>
      <c r="Y45" s="1">
        <v>9.9749088671116801E-2</v>
      </c>
      <c r="Z45" s="1">
        <v>13.567702258509172</v>
      </c>
      <c r="AA45" s="1">
        <v>1.9386434627398483</v>
      </c>
      <c r="AB45" s="1" t="s">
        <v>402</v>
      </c>
      <c r="AC45" s="1">
        <v>5.6421784144093037</v>
      </c>
    </row>
    <row r="46" spans="1:29">
      <c r="A46" s="1" t="s">
        <v>14</v>
      </c>
      <c r="B46" s="4">
        <v>1.8812</v>
      </c>
      <c r="C46" s="4">
        <f t="shared" si="0"/>
        <v>4.0168888888888885</v>
      </c>
      <c r="D46" s="4"/>
      <c r="E46" s="4">
        <f t="shared" si="1"/>
        <v>0</v>
      </c>
      <c r="F46" s="4"/>
      <c r="G46" s="4">
        <f t="shared" si="2"/>
        <v>0</v>
      </c>
      <c r="H46" s="4">
        <v>2.7799999999999998E-2</v>
      </c>
      <c r="I46" s="4">
        <f t="shared" si="3"/>
        <v>9.679911166900014E-2</v>
      </c>
      <c r="J46" s="4">
        <v>7.5800000000000006E-2</v>
      </c>
      <c r="K46" s="4">
        <f t="shared" si="4"/>
        <v>3.5885054206315395E-2</v>
      </c>
      <c r="L46" s="4">
        <v>0.754</v>
      </c>
      <c r="M46" s="4">
        <f t="shared" si="5"/>
        <v>1.0362103700561975</v>
      </c>
      <c r="N46" s="4">
        <v>0.55959999999999999</v>
      </c>
      <c r="O46" s="4">
        <f t="shared" si="6"/>
        <v>1.3038821954484605</v>
      </c>
      <c r="P46" s="4"/>
      <c r="Q46" s="4" t="str">
        <f t="shared" si="7"/>
        <v/>
      </c>
      <c r="S46" s="4" t="str">
        <f t="shared" si="8"/>
        <v/>
      </c>
      <c r="T46" s="1" t="s">
        <v>14</v>
      </c>
      <c r="U46" s="1">
        <v>4.0168888888888885</v>
      </c>
      <c r="V46" s="1">
        <v>0</v>
      </c>
      <c r="W46" s="1">
        <v>0</v>
      </c>
      <c r="X46" s="1">
        <v>9.679911166900014E-2</v>
      </c>
      <c r="Y46" s="1">
        <v>3.5885054206315395E-2</v>
      </c>
      <c r="Z46" s="1">
        <v>1.0362103700561975</v>
      </c>
      <c r="AA46" s="1">
        <v>1.3038821954484605</v>
      </c>
      <c r="AB46" s="1" t="s">
        <v>402</v>
      </c>
      <c r="AC46" s="1" t="s">
        <v>402</v>
      </c>
    </row>
    <row r="47" spans="1:29">
      <c r="A47" s="1" t="s">
        <v>15</v>
      </c>
      <c r="B47" s="4">
        <v>3.0642</v>
      </c>
      <c r="C47" s="4">
        <f t="shared" si="0"/>
        <v>6.645777777777778</v>
      </c>
      <c r="D47" s="4"/>
      <c r="E47" s="4">
        <f t="shared" si="1"/>
        <v>0</v>
      </c>
      <c r="F47" s="4">
        <v>8.2699999999999996E-2</v>
      </c>
      <c r="G47" s="4">
        <f t="shared" si="2"/>
        <v>5.1443145060960441E-2</v>
      </c>
      <c r="H47" s="4">
        <v>1.1688000000000001</v>
      </c>
      <c r="I47" s="4">
        <f t="shared" si="3"/>
        <v>0.64766088929657717</v>
      </c>
      <c r="J47" s="4">
        <v>1.5354000000000001</v>
      </c>
      <c r="K47" s="4">
        <f t="shared" si="4"/>
        <v>0.72688538559863669</v>
      </c>
      <c r="L47" s="4">
        <v>28.1935</v>
      </c>
      <c r="M47" s="4">
        <f t="shared" si="5"/>
        <v>15.583713285971793</v>
      </c>
      <c r="N47" s="4">
        <f>1.8204*2</f>
        <v>3.6408</v>
      </c>
      <c r="O47" s="4">
        <f t="shared" si="6"/>
        <v>4.7411869701026328</v>
      </c>
      <c r="Q47" s="4" t="str">
        <f t="shared" si="7"/>
        <v/>
      </c>
      <c r="R47" s="1">
        <f>0.2092*2</f>
        <v>0.41839999999999999</v>
      </c>
      <c r="S47" s="4">
        <f t="shared" si="8"/>
        <v>2.2086228903701608</v>
      </c>
      <c r="T47" s="1" t="s">
        <v>15</v>
      </c>
      <c r="U47" s="1">
        <v>6.645777777777778</v>
      </c>
      <c r="V47" s="1">
        <v>0</v>
      </c>
      <c r="W47" s="1">
        <v>5.1443145060960441E-2</v>
      </c>
      <c r="X47" s="1">
        <v>0.64766088929657717</v>
      </c>
      <c r="Y47" s="1">
        <v>0.72688538559863669</v>
      </c>
      <c r="Z47" s="1">
        <v>15.583713285971793</v>
      </c>
      <c r="AA47" s="1">
        <v>4.7411869701026328</v>
      </c>
      <c r="AB47" s="1" t="s">
        <v>402</v>
      </c>
      <c r="AC47" s="1">
        <v>2.2086228903701608</v>
      </c>
    </row>
    <row r="48" spans="1:29">
      <c r="A48" s="1" t="s">
        <v>16</v>
      </c>
      <c r="B48" s="4">
        <f>3.0864*2</f>
        <v>6.1727999999999996</v>
      </c>
      <c r="C48" s="4">
        <f t="shared" si="0"/>
        <v>13.553777777777777</v>
      </c>
      <c r="D48" s="5">
        <f>0.0354*2</f>
        <v>7.0800000000000002E-2</v>
      </c>
      <c r="E48" s="4">
        <f t="shared" si="1"/>
        <v>4.1386566902437597E-2</v>
      </c>
      <c r="F48" s="4">
        <v>0.21160000000000001</v>
      </c>
      <c r="G48" s="4">
        <f t="shared" si="2"/>
        <v>0.13162478228415031</v>
      </c>
      <c r="H48" s="4">
        <v>0.38379999999999997</v>
      </c>
      <c r="I48" s="4">
        <f t="shared" si="3"/>
        <v>0.26867184859749915</v>
      </c>
      <c r="J48" s="4">
        <v>1.2869999999999999</v>
      </c>
      <c r="K48" s="4">
        <f t="shared" si="4"/>
        <v>0.60928845334469539</v>
      </c>
      <c r="L48" s="4">
        <v>22.244800000000001</v>
      </c>
      <c r="M48" s="4">
        <f t="shared" si="5"/>
        <v>12.429911992365604</v>
      </c>
      <c r="N48" s="4">
        <v>3.4234</v>
      </c>
      <c r="O48" s="4">
        <f t="shared" si="6"/>
        <v>4.4986613119143248</v>
      </c>
      <c r="Q48" s="4" t="str">
        <f t="shared" si="7"/>
        <v/>
      </c>
      <c r="R48" s="1">
        <f>0.1109*2</f>
        <v>0.2218</v>
      </c>
      <c r="S48" s="4">
        <f t="shared" si="8"/>
        <v>1.9297971918876757</v>
      </c>
      <c r="T48" s="1" t="s">
        <v>16</v>
      </c>
      <c r="U48" s="1">
        <v>13.553777777777777</v>
      </c>
      <c r="V48" s="1">
        <v>4.1386566902437597E-2</v>
      </c>
      <c r="W48" s="1">
        <v>0.13162478228415031</v>
      </c>
      <c r="X48" s="1">
        <v>0.26867184859749915</v>
      </c>
      <c r="Y48" s="1">
        <v>0.60928845334469539</v>
      </c>
      <c r="Z48" s="1">
        <v>12.429911992365604</v>
      </c>
      <c r="AA48" s="1">
        <v>4.4986613119143248</v>
      </c>
      <c r="AB48" s="1" t="s">
        <v>402</v>
      </c>
      <c r="AC48" s="1">
        <v>1.9297971918876757</v>
      </c>
    </row>
    <row r="49" spans="1:29">
      <c r="A49" s="1" t="s">
        <v>113</v>
      </c>
      <c r="B49" s="4">
        <v>1.3030999999999999</v>
      </c>
      <c r="C49" s="4">
        <f t="shared" si="0"/>
        <v>2.7322222222222217</v>
      </c>
      <c r="D49" s="5"/>
      <c r="E49" s="4">
        <f t="shared" si="1"/>
        <v>0</v>
      </c>
      <c r="F49" s="4"/>
      <c r="G49" s="4">
        <f t="shared" si="2"/>
        <v>0</v>
      </c>
      <c r="H49" s="4">
        <v>2.53E-2</v>
      </c>
      <c r="I49" s="4">
        <f t="shared" si="3"/>
        <v>9.559214020180562E-2</v>
      </c>
      <c r="J49" s="4"/>
      <c r="K49" s="4">
        <f t="shared" si="4"/>
        <v>0</v>
      </c>
      <c r="L49" s="4">
        <v>1.2438</v>
      </c>
      <c r="M49" s="4">
        <f t="shared" si="5"/>
        <v>1.295885908175167</v>
      </c>
      <c r="N49" s="4">
        <v>0.95630000000000004</v>
      </c>
      <c r="O49" s="4">
        <f t="shared" si="6"/>
        <v>1.7464301651048642</v>
      </c>
      <c r="P49" s="4"/>
      <c r="Q49" s="4" t="str">
        <f t="shared" si="7"/>
        <v/>
      </c>
      <c r="S49" s="4" t="str">
        <f t="shared" si="8"/>
        <v/>
      </c>
      <c r="T49" s="1" t="s">
        <v>113</v>
      </c>
      <c r="U49" s="1">
        <v>2.7322222222222217</v>
      </c>
      <c r="V49" s="1">
        <v>0</v>
      </c>
      <c r="W49" s="1">
        <v>0</v>
      </c>
      <c r="X49" s="1">
        <v>9.559214020180562E-2</v>
      </c>
      <c r="Y49" s="1">
        <v>0</v>
      </c>
      <c r="Z49" s="1">
        <v>1.295885908175167</v>
      </c>
      <c r="AA49" s="1">
        <v>1.7464301651048642</v>
      </c>
      <c r="AB49" s="1" t="s">
        <v>402</v>
      </c>
      <c r="AC49" s="1" t="s">
        <v>402</v>
      </c>
    </row>
    <row r="50" spans="1:29">
      <c r="A50" s="1" t="s">
        <v>114</v>
      </c>
      <c r="B50" s="4">
        <v>2.4413</v>
      </c>
      <c r="C50" s="4">
        <f t="shared" si="0"/>
        <v>5.2615555555555558</v>
      </c>
      <c r="D50" s="5"/>
      <c r="E50" s="4">
        <f t="shared" si="1"/>
        <v>0</v>
      </c>
      <c r="F50" s="4"/>
      <c r="G50" s="4">
        <f t="shared" si="2"/>
        <v>0</v>
      </c>
      <c r="H50" s="4"/>
      <c r="I50" s="4" t="str">
        <f t="shared" si="3"/>
        <v/>
      </c>
      <c r="J50" s="4"/>
      <c r="K50" s="4">
        <f t="shared" si="4"/>
        <v>0</v>
      </c>
      <c r="L50" s="4">
        <v>0.53</v>
      </c>
      <c r="M50" s="4">
        <f t="shared" si="5"/>
        <v>0.91745308026720385</v>
      </c>
      <c r="N50" s="4">
        <v>0.66159999999999997</v>
      </c>
      <c r="O50" s="4">
        <f t="shared" si="6"/>
        <v>1.4176706827309236</v>
      </c>
      <c r="Q50" s="4" t="str">
        <f t="shared" si="7"/>
        <v/>
      </c>
      <c r="S50" s="4" t="str">
        <f t="shared" si="8"/>
        <v/>
      </c>
      <c r="T50" s="1" t="s">
        <v>114</v>
      </c>
      <c r="U50" s="1">
        <v>5.2615555555555558</v>
      </c>
      <c r="V50" s="1">
        <v>0</v>
      </c>
      <c r="W50" s="1">
        <v>0</v>
      </c>
      <c r="X50" s="1" t="s">
        <v>402</v>
      </c>
      <c r="Y50" s="1">
        <v>0</v>
      </c>
      <c r="Z50" s="1">
        <v>0.91745308026720385</v>
      </c>
      <c r="AA50" s="1">
        <v>1.4176706827309236</v>
      </c>
      <c r="AB50" s="1" t="s">
        <v>402</v>
      </c>
      <c r="AC50" s="1" t="s">
        <v>402</v>
      </c>
    </row>
    <row r="51" spans="1:29">
      <c r="A51" s="1" t="s">
        <v>115</v>
      </c>
      <c r="B51" s="4">
        <v>1.1215999999999999</v>
      </c>
      <c r="C51" s="4">
        <f t="shared" si="0"/>
        <v>2.3288888888888888</v>
      </c>
      <c r="D51" s="5"/>
      <c r="E51" s="4">
        <f t="shared" si="1"/>
        <v>0</v>
      </c>
      <c r="F51" s="4"/>
      <c r="G51" s="4">
        <f t="shared" si="2"/>
        <v>0</v>
      </c>
      <c r="H51" s="4">
        <v>3.61E-2</v>
      </c>
      <c r="I51" s="4">
        <f t="shared" si="3"/>
        <v>0.10080625694008594</v>
      </c>
      <c r="J51" s="4"/>
      <c r="K51" s="4">
        <f t="shared" si="4"/>
        <v>0</v>
      </c>
      <c r="L51" s="4">
        <v>0.51319999999999999</v>
      </c>
      <c r="M51" s="4">
        <f t="shared" si="5"/>
        <v>0.90854628353302924</v>
      </c>
      <c r="N51" s="4">
        <v>0.59660000000000002</v>
      </c>
      <c r="O51" s="4">
        <f t="shared" si="6"/>
        <v>1.3451584114234716</v>
      </c>
      <c r="P51" s="4"/>
      <c r="Q51" s="4" t="str">
        <f t="shared" si="7"/>
        <v/>
      </c>
      <c r="S51" s="4" t="str">
        <f t="shared" si="8"/>
        <v/>
      </c>
      <c r="T51" s="1" t="s">
        <v>115</v>
      </c>
      <c r="U51" s="1">
        <v>2.3288888888888888</v>
      </c>
      <c r="V51" s="1">
        <v>0</v>
      </c>
      <c r="W51" s="1">
        <v>0</v>
      </c>
      <c r="X51" s="1">
        <v>0.10080625694008594</v>
      </c>
      <c r="Y51" s="1">
        <v>0</v>
      </c>
      <c r="Z51" s="1">
        <v>0.90854628353302924</v>
      </c>
      <c r="AA51" s="1">
        <v>1.3451584114234716</v>
      </c>
      <c r="AB51" s="1" t="s">
        <v>402</v>
      </c>
      <c r="AC51" s="1" t="s">
        <v>402</v>
      </c>
    </row>
    <row r="52" spans="1:29">
      <c r="A52" s="1" t="s">
        <v>116</v>
      </c>
      <c r="B52" s="4">
        <v>3.9725999999999999</v>
      </c>
      <c r="C52" s="4">
        <f t="shared" si="0"/>
        <v>8.6644444444444435</v>
      </c>
      <c r="D52" s="5"/>
      <c r="E52" s="4">
        <f t="shared" si="1"/>
        <v>0</v>
      </c>
      <c r="F52" s="4"/>
      <c r="G52" s="4">
        <f t="shared" si="2"/>
        <v>0</v>
      </c>
      <c r="H52" s="4"/>
      <c r="I52" s="4" t="str">
        <f t="shared" si="3"/>
        <v/>
      </c>
      <c r="J52" s="4">
        <v>4.53E-2</v>
      </c>
      <c r="K52" s="4">
        <f t="shared" si="4"/>
        <v>2.1445817355489279E-2</v>
      </c>
      <c r="L52" s="4">
        <v>12.814399999999999</v>
      </c>
      <c r="M52" s="4">
        <f t="shared" si="5"/>
        <v>7.4302300922489657</v>
      </c>
      <c r="N52" s="4">
        <v>5.6837</v>
      </c>
      <c r="O52" s="4">
        <f t="shared" si="6"/>
        <v>7.0201918786256128</v>
      </c>
      <c r="P52" s="4">
        <f>0.1257*2</f>
        <v>0.25140000000000001</v>
      </c>
      <c r="Q52" s="4">
        <f t="shared" si="7"/>
        <v>0.47793679189028027</v>
      </c>
      <c r="S52" s="4" t="str">
        <f t="shared" si="8"/>
        <v/>
      </c>
      <c r="T52" s="1" t="s">
        <v>116</v>
      </c>
      <c r="U52" s="1">
        <v>8.6644444444444435</v>
      </c>
      <c r="V52" s="1">
        <v>0</v>
      </c>
      <c r="W52" s="1">
        <v>0</v>
      </c>
      <c r="X52" s="1" t="s">
        <v>402</v>
      </c>
      <c r="Y52" s="1">
        <v>2.1445817355489279E-2</v>
      </c>
      <c r="Z52" s="1">
        <v>7.4302300922489657</v>
      </c>
      <c r="AA52" s="1">
        <v>7.0201918786256128</v>
      </c>
      <c r="AB52" s="1">
        <v>0.47793679189028027</v>
      </c>
      <c r="AC52" s="1" t="s">
        <v>402</v>
      </c>
    </row>
    <row r="53" spans="1:29">
      <c r="A53" s="1" t="s">
        <v>117</v>
      </c>
      <c r="B53" s="4">
        <v>4.0895999999999999</v>
      </c>
      <c r="C53" s="4">
        <f t="shared" si="0"/>
        <v>8.9244444444444451</v>
      </c>
      <c r="D53" s="5"/>
      <c r="E53" s="4">
        <f t="shared" si="1"/>
        <v>0</v>
      </c>
      <c r="F53" s="4">
        <v>3.8199999999999998E-2</v>
      </c>
      <c r="G53" s="4">
        <f t="shared" si="2"/>
        <v>2.3762129883055486E-2</v>
      </c>
      <c r="H53" s="4">
        <v>0.2258</v>
      </c>
      <c r="I53" s="4">
        <f t="shared" si="3"/>
        <v>0.19239125187080577</v>
      </c>
      <c r="J53" s="4">
        <v>0.13</v>
      </c>
      <c r="K53" s="4">
        <f t="shared" si="4"/>
        <v>6.1544288216635899E-2</v>
      </c>
      <c r="L53" s="4">
        <v>7.5019999999999998</v>
      </c>
      <c r="M53" s="4">
        <f t="shared" si="5"/>
        <v>4.6137737249496347</v>
      </c>
      <c r="N53" s="4">
        <v>4.7428999999999997</v>
      </c>
      <c r="O53" s="4">
        <f t="shared" si="6"/>
        <v>5.9706604194556006</v>
      </c>
      <c r="Q53" s="4" t="str">
        <f t="shared" si="7"/>
        <v/>
      </c>
      <c r="S53" s="4" t="str">
        <f t="shared" si="8"/>
        <v/>
      </c>
      <c r="T53" s="1" t="s">
        <v>117</v>
      </c>
      <c r="U53" s="1">
        <v>8.9244444444444451</v>
      </c>
      <c r="V53" s="1">
        <v>0</v>
      </c>
      <c r="W53" s="1">
        <v>2.3762129883055486E-2</v>
      </c>
      <c r="X53" s="1">
        <v>0.19239125187080577</v>
      </c>
      <c r="Y53" s="1">
        <v>6.1544288216635899E-2</v>
      </c>
      <c r="Z53" s="1">
        <v>4.6137737249496347</v>
      </c>
      <c r="AA53" s="1">
        <v>5.9706604194556006</v>
      </c>
      <c r="AB53" s="1" t="s">
        <v>402</v>
      </c>
      <c r="AC53" s="1" t="s">
        <v>402</v>
      </c>
    </row>
    <row r="54" spans="1:29">
      <c r="A54" s="1" t="s">
        <v>118</v>
      </c>
      <c r="B54" s="4">
        <v>14.6074</v>
      </c>
      <c r="C54" s="4">
        <f t="shared" si="0"/>
        <v>32.297333333333334</v>
      </c>
      <c r="D54" s="5">
        <f>0.012*2</f>
        <v>2.4E-2</v>
      </c>
      <c r="E54" s="4">
        <f t="shared" si="1"/>
        <v>1.4029344712690711E-2</v>
      </c>
      <c r="F54" s="4">
        <v>5.2600000000000001E-2</v>
      </c>
      <c r="G54" s="4">
        <f t="shared" si="2"/>
        <v>3.2719581985568555E-2</v>
      </c>
      <c r="H54" s="4">
        <v>0.56940000000000002</v>
      </c>
      <c r="I54" s="4">
        <f t="shared" si="3"/>
        <v>0.35827741032201998</v>
      </c>
      <c r="J54" s="4">
        <v>0.19339999999999999</v>
      </c>
      <c r="K54" s="4">
        <f t="shared" si="4"/>
        <v>9.1558964162287551E-2</v>
      </c>
      <c r="L54" s="4">
        <v>35.645000000000003</v>
      </c>
      <c r="M54" s="4">
        <f t="shared" si="5"/>
        <v>19.534248754108791</v>
      </c>
      <c r="N54" s="4">
        <v>13.5952</v>
      </c>
      <c r="O54" s="4">
        <f t="shared" si="6"/>
        <v>15.846050870147256</v>
      </c>
      <c r="Q54" s="4" t="str">
        <f t="shared" si="7"/>
        <v/>
      </c>
      <c r="R54" s="1">
        <f>0.2133*2</f>
        <v>0.42659999999999998</v>
      </c>
      <c r="S54" s="4">
        <f t="shared" si="8"/>
        <v>2.2202524464614952</v>
      </c>
      <c r="T54" s="1" t="s">
        <v>118</v>
      </c>
      <c r="U54" s="1">
        <v>32.297333333333334</v>
      </c>
      <c r="V54" s="1">
        <v>1.4029344712690711E-2</v>
      </c>
      <c r="W54" s="1">
        <v>3.2719581985568555E-2</v>
      </c>
      <c r="X54" s="1">
        <v>0.35827741032201998</v>
      </c>
      <c r="Y54" s="1">
        <v>9.1558964162287551E-2</v>
      </c>
      <c r="Z54" s="1">
        <v>19.534248754108791</v>
      </c>
      <c r="AA54" s="1">
        <v>15.846050870147256</v>
      </c>
      <c r="AB54" s="1" t="s">
        <v>402</v>
      </c>
      <c r="AC54" s="1">
        <v>2.2202524464614952</v>
      </c>
    </row>
    <row r="55" spans="1:29">
      <c r="A55" s="1" t="s">
        <v>119</v>
      </c>
      <c r="B55" s="4">
        <v>0.61219999999999997</v>
      </c>
      <c r="C55" s="4">
        <f t="shared" si="0"/>
        <v>1.1968888888888889</v>
      </c>
      <c r="D55" s="5"/>
      <c r="E55" s="4">
        <f t="shared" si="1"/>
        <v>0</v>
      </c>
      <c r="F55" s="4">
        <v>1.6799999999999999E-2</v>
      </c>
      <c r="G55" s="4">
        <f t="shared" si="2"/>
        <v>1.0450360786265239E-2</v>
      </c>
      <c r="H55" s="4"/>
      <c r="I55" s="4" t="str">
        <f t="shared" si="3"/>
        <v/>
      </c>
      <c r="J55" s="4">
        <v>3.9E-2</v>
      </c>
      <c r="K55" s="4">
        <f t="shared" si="4"/>
        <v>1.846328646499077E-2</v>
      </c>
      <c r="L55" s="4">
        <v>30.774999999999999</v>
      </c>
      <c r="M55" s="4">
        <f t="shared" si="5"/>
        <v>16.95233803414272</v>
      </c>
      <c r="N55" s="4">
        <v>4.8727999999999998</v>
      </c>
      <c r="O55" s="4">
        <f t="shared" si="6"/>
        <v>6.1155734047300303</v>
      </c>
      <c r="P55" s="4"/>
      <c r="Q55" s="4" t="str">
        <f t="shared" si="7"/>
        <v/>
      </c>
      <c r="S55" s="4" t="str">
        <f t="shared" si="8"/>
        <v/>
      </c>
      <c r="T55" s="1" t="s">
        <v>119</v>
      </c>
      <c r="U55" s="1">
        <v>1.1968888888888889</v>
      </c>
      <c r="V55" s="1">
        <v>0</v>
      </c>
      <c r="W55" s="1">
        <v>1.0450360786265239E-2</v>
      </c>
      <c r="X55" s="1" t="s">
        <v>402</v>
      </c>
      <c r="Y55" s="1">
        <v>1.846328646499077E-2</v>
      </c>
      <c r="Z55" s="1">
        <v>16.95233803414272</v>
      </c>
      <c r="AA55" s="1">
        <v>6.1155734047300303</v>
      </c>
      <c r="AB55" s="1" t="s">
        <v>402</v>
      </c>
      <c r="AC55" s="1" t="s">
        <v>402</v>
      </c>
    </row>
    <row r="56" spans="1:29">
      <c r="A56" s="1" t="s">
        <v>121</v>
      </c>
      <c r="B56" s="4">
        <v>0.1013</v>
      </c>
      <c r="C56" s="4">
        <f t="shared" si="0"/>
        <v>6.1555555555555558E-2</v>
      </c>
      <c r="D56" s="5">
        <f>0.0282*2</f>
        <v>5.6399999999999999E-2</v>
      </c>
      <c r="E56" s="4">
        <f t="shared" si="1"/>
        <v>3.2968960074823167E-2</v>
      </c>
      <c r="F56" s="4">
        <v>8.0500000000000002E-2</v>
      </c>
      <c r="G56" s="4">
        <f t="shared" si="2"/>
        <v>5.007464543418761E-2</v>
      </c>
      <c r="H56" s="4">
        <v>5.0900000000000001E-2</v>
      </c>
      <c r="I56" s="4">
        <f t="shared" si="3"/>
        <v>0.10795152802587747</v>
      </c>
      <c r="J56" s="4">
        <v>0.27010000000000001</v>
      </c>
      <c r="K56" s="4">
        <f t="shared" si="4"/>
        <v>0.12787009421010273</v>
      </c>
      <c r="L56" s="4">
        <v>4.4859</v>
      </c>
      <c r="M56" s="4">
        <f t="shared" si="5"/>
        <v>3.0147386279291695</v>
      </c>
      <c r="N56" s="4">
        <v>0.67720000000000002</v>
      </c>
      <c r="O56" s="4">
        <f t="shared" si="6"/>
        <v>1.4350736278447123</v>
      </c>
      <c r="Q56" s="4" t="str">
        <f t="shared" si="7"/>
        <v/>
      </c>
      <c r="S56" s="4" t="str">
        <f t="shared" si="8"/>
        <v/>
      </c>
      <c r="T56" s="1" t="s">
        <v>121</v>
      </c>
      <c r="U56" s="1">
        <v>6.1555555555555558E-2</v>
      </c>
      <c r="V56" s="1">
        <v>3.2968960074823167E-2</v>
      </c>
      <c r="W56" s="1">
        <v>5.007464543418761E-2</v>
      </c>
      <c r="X56" s="1">
        <v>0.10795152802587747</v>
      </c>
      <c r="Y56" s="1">
        <v>0.12787009421010273</v>
      </c>
      <c r="Z56" s="1">
        <v>3.0147386279291695</v>
      </c>
      <c r="AA56" s="1">
        <v>1.4350736278447123</v>
      </c>
      <c r="AB56" s="1" t="s">
        <v>402</v>
      </c>
      <c r="AC56" s="1" t="s">
        <v>402</v>
      </c>
    </row>
    <row r="57" spans="1:29">
      <c r="A57" s="1" t="s">
        <v>122</v>
      </c>
      <c r="B57" s="4">
        <f>0.0374*2</f>
        <v>7.4800000000000005E-2</v>
      </c>
      <c r="C57" s="4">
        <f t="shared" si="0"/>
        <v>0.35576694411414989</v>
      </c>
      <c r="D57" s="4"/>
      <c r="E57" s="4">
        <f t="shared" si="1"/>
        <v>0</v>
      </c>
      <c r="F57" s="4"/>
      <c r="G57" s="4">
        <f t="shared" si="2"/>
        <v>0</v>
      </c>
      <c r="H57" s="4"/>
      <c r="I57" s="4" t="str">
        <f t="shared" si="3"/>
        <v/>
      </c>
      <c r="J57" s="4">
        <v>7.8299999999999995E-2</v>
      </c>
      <c r="K57" s="4">
        <f t="shared" si="4"/>
        <v>3.7068598210481467E-2</v>
      </c>
      <c r="L57" s="4">
        <v>23.619800000000001</v>
      </c>
      <c r="M57" s="4">
        <f t="shared" si="5"/>
        <v>13.158890891740008</v>
      </c>
      <c r="N57" s="4">
        <v>2.2768000000000002</v>
      </c>
      <c r="O57" s="4">
        <f t="shared" si="6"/>
        <v>3.2195448460508702</v>
      </c>
      <c r="Q57" s="4" t="str">
        <f t="shared" si="7"/>
        <v/>
      </c>
      <c r="S57" s="4" t="str">
        <f t="shared" si="8"/>
        <v/>
      </c>
      <c r="T57" s="1" t="s">
        <v>122</v>
      </c>
      <c r="U57" s="1">
        <v>0.35576694411414989</v>
      </c>
      <c r="V57" s="1">
        <v>0</v>
      </c>
      <c r="W57" s="1">
        <v>0</v>
      </c>
      <c r="X57" s="1" t="s">
        <v>402</v>
      </c>
      <c r="Y57" s="1">
        <v>3.7068598210481467E-2</v>
      </c>
      <c r="Z57" s="1">
        <v>13.158890891740008</v>
      </c>
      <c r="AA57" s="1">
        <v>3.2195448460508702</v>
      </c>
      <c r="AB57" s="1" t="s">
        <v>402</v>
      </c>
      <c r="AC57" s="1" t="s">
        <v>402</v>
      </c>
    </row>
    <row r="58" spans="1:29">
      <c r="A58" s="1" t="s">
        <v>123</v>
      </c>
      <c r="B58" s="4">
        <v>3.0352999999999999</v>
      </c>
      <c r="C58" s="4">
        <f t="shared" si="0"/>
        <v>6.5815555555555552</v>
      </c>
      <c r="D58" s="4"/>
      <c r="E58" s="4">
        <f t="shared" si="1"/>
        <v>0</v>
      </c>
      <c r="F58" s="4">
        <f>0.0231*2</f>
        <v>4.6199999999999998E-2</v>
      </c>
      <c r="G58" s="4">
        <f t="shared" si="2"/>
        <v>2.8738492162229411E-2</v>
      </c>
      <c r="H58" s="4"/>
      <c r="I58" s="4" t="str">
        <f t="shared" si="3"/>
        <v/>
      </c>
      <c r="J58" s="4">
        <v>0.1052</v>
      </c>
      <c r="K58" s="4">
        <f t="shared" si="4"/>
        <v>4.9803531695308434E-2</v>
      </c>
      <c r="L58" s="4">
        <v>2.4579</v>
      </c>
      <c r="M58" s="4">
        <f t="shared" si="5"/>
        <v>1.9395610221609583</v>
      </c>
      <c r="N58" s="4">
        <v>1.5862000000000001</v>
      </c>
      <c r="O58" s="4">
        <f t="shared" si="6"/>
        <v>2.4491298527443108</v>
      </c>
      <c r="Q58" s="4" t="str">
        <f t="shared" si="7"/>
        <v/>
      </c>
      <c r="S58" s="4" t="str">
        <f t="shared" si="8"/>
        <v/>
      </c>
      <c r="T58" s="1" t="s">
        <v>123</v>
      </c>
      <c r="U58" s="1">
        <v>6.5815555555555552</v>
      </c>
      <c r="V58" s="1">
        <v>0</v>
      </c>
      <c r="W58" s="1">
        <v>2.8738492162229411E-2</v>
      </c>
      <c r="X58" s="1" t="s">
        <v>402</v>
      </c>
      <c r="Y58" s="1">
        <v>4.9803531695308434E-2</v>
      </c>
      <c r="Z58" s="1">
        <v>1.9395610221609583</v>
      </c>
      <c r="AA58" s="1">
        <v>2.4491298527443108</v>
      </c>
      <c r="AB58" s="1" t="s">
        <v>402</v>
      </c>
      <c r="AC58" s="1" t="s">
        <v>402</v>
      </c>
    </row>
    <row r="59" spans="1:29">
      <c r="A59" s="1" t="s">
        <v>124</v>
      </c>
      <c r="B59" s="4">
        <v>0.30030000000000001</v>
      </c>
      <c r="C59" s="4">
        <f t="shared" si="0"/>
        <v>0.50377777777777777</v>
      </c>
      <c r="D59" s="4"/>
      <c r="E59" s="4">
        <f t="shared" si="1"/>
        <v>0</v>
      </c>
      <c r="F59" s="4"/>
      <c r="G59" s="4">
        <f t="shared" si="2"/>
        <v>0</v>
      </c>
      <c r="H59" s="4"/>
      <c r="I59" s="4" t="str">
        <f t="shared" si="3"/>
        <v/>
      </c>
      <c r="J59" s="4"/>
      <c r="K59" s="4">
        <f t="shared" si="4"/>
        <v>0</v>
      </c>
      <c r="L59" s="4">
        <v>0.2417</v>
      </c>
      <c r="M59" s="4">
        <f t="shared" si="5"/>
        <v>0.76460608631110161</v>
      </c>
      <c r="N59" s="4">
        <v>0.27679999999999999</v>
      </c>
      <c r="O59" s="4">
        <f t="shared" si="6"/>
        <v>0.9883980365908076</v>
      </c>
      <c r="P59" s="4"/>
      <c r="Q59" s="4" t="str">
        <f t="shared" si="7"/>
        <v/>
      </c>
      <c r="S59" s="4" t="str">
        <f t="shared" si="8"/>
        <v/>
      </c>
      <c r="T59" s="1" t="s">
        <v>124</v>
      </c>
      <c r="U59" s="1">
        <v>0.50377777777777777</v>
      </c>
      <c r="V59" s="1">
        <v>0</v>
      </c>
      <c r="W59" s="1">
        <v>0</v>
      </c>
      <c r="X59" s="1" t="s">
        <v>402</v>
      </c>
      <c r="Y59" s="1">
        <v>0</v>
      </c>
      <c r="Z59" s="1">
        <v>0.76460608631110161</v>
      </c>
      <c r="AA59" s="1">
        <v>0.9883980365908076</v>
      </c>
      <c r="AB59" s="1" t="s">
        <v>402</v>
      </c>
      <c r="AC59" s="1" t="s">
        <v>402</v>
      </c>
    </row>
    <row r="60" spans="1:29">
      <c r="A60" s="1" t="s">
        <v>125</v>
      </c>
      <c r="B60" s="4">
        <v>0.62390000000000001</v>
      </c>
      <c r="C60" s="4">
        <f t="shared" si="0"/>
        <v>1.2228888888888889</v>
      </c>
      <c r="D60" s="5">
        <v>0.13919999999999999</v>
      </c>
      <c r="E60" s="4">
        <f t="shared" si="1"/>
        <v>8.1370199333606119E-2</v>
      </c>
      <c r="F60" s="4">
        <f>0.064*2</f>
        <v>0.128</v>
      </c>
      <c r="G60" s="4">
        <f t="shared" si="2"/>
        <v>7.9621796466782788E-2</v>
      </c>
      <c r="H60" s="4">
        <v>0.55669999999999997</v>
      </c>
      <c r="I60" s="4">
        <f t="shared" si="3"/>
        <v>0.35214599526867185</v>
      </c>
      <c r="J60" s="4">
        <v>2.0579999999999998</v>
      </c>
      <c r="K60" s="4">
        <f t="shared" si="4"/>
        <v>0.97429342422951282</v>
      </c>
      <c r="L60" s="4">
        <v>16.9252</v>
      </c>
      <c r="M60" s="4">
        <f t="shared" si="5"/>
        <v>9.60963842646591</v>
      </c>
      <c r="N60" s="4">
        <v>3.4714999999999998</v>
      </c>
      <c r="O60" s="4">
        <f t="shared" si="6"/>
        <v>4.552320392681839</v>
      </c>
      <c r="Q60" s="4" t="str">
        <f t="shared" si="7"/>
        <v/>
      </c>
      <c r="R60" s="1">
        <v>0.17730000000000001</v>
      </c>
      <c r="S60" s="4">
        <f t="shared" si="8"/>
        <v>1.8666855765139698</v>
      </c>
      <c r="T60" s="1" t="s">
        <v>125</v>
      </c>
      <c r="U60" s="1">
        <v>1.2228888888888889</v>
      </c>
      <c r="V60" s="1">
        <v>8.1370199333606119E-2</v>
      </c>
      <c r="W60" s="1">
        <v>7.9621796466782788E-2</v>
      </c>
      <c r="X60" s="1">
        <v>0.35214599526867185</v>
      </c>
      <c r="Y60" s="1">
        <v>0.97429342422951282</v>
      </c>
      <c r="Z60" s="1">
        <v>9.60963842646591</v>
      </c>
      <c r="AA60" s="1">
        <v>4.552320392681839</v>
      </c>
      <c r="AB60" s="1" t="s">
        <v>402</v>
      </c>
      <c r="AC60" s="1">
        <v>1.8666855765139698</v>
      </c>
    </row>
    <row r="61" spans="1:29">
      <c r="A61" s="1" t="s">
        <v>126</v>
      </c>
      <c r="B61" s="4">
        <v>5.2470999999999997</v>
      </c>
      <c r="C61" s="4">
        <f t="shared" si="0"/>
        <v>11.496666666666666</v>
      </c>
      <c r="D61" s="4">
        <v>3.0735000000000001</v>
      </c>
      <c r="E61" s="4">
        <f t="shared" si="1"/>
        <v>1.9134099616858238</v>
      </c>
      <c r="F61" s="4">
        <v>6.5174000000000003</v>
      </c>
      <c r="G61" s="4">
        <f t="shared" si="2"/>
        <v>4.5706549959201839</v>
      </c>
      <c r="H61" s="4">
        <v>1.5185999999999999</v>
      </c>
      <c r="I61" s="4">
        <f t="shared" si="3"/>
        <v>0.81654033698643369</v>
      </c>
      <c r="J61" s="4">
        <v>0.96419999999999995</v>
      </c>
      <c r="K61" s="4">
        <f t="shared" si="4"/>
        <v>0.45646925152677176</v>
      </c>
      <c r="L61" s="4">
        <v>14.6045</v>
      </c>
      <c r="M61" s="4">
        <f t="shared" si="5"/>
        <v>8.3792810942635985</v>
      </c>
      <c r="N61" s="4">
        <f>1.2903*2</f>
        <v>2.5806</v>
      </c>
      <c r="O61" s="4">
        <f t="shared" si="6"/>
        <v>3.5584560464078536</v>
      </c>
      <c r="P61" s="4">
        <f>1.3004*2</f>
        <v>2.6008</v>
      </c>
      <c r="Q61" s="4">
        <f t="shared" si="7"/>
        <v>3.9803220035778177</v>
      </c>
      <c r="S61" s="4" t="str">
        <f t="shared" si="8"/>
        <v/>
      </c>
      <c r="T61" s="1" t="s">
        <v>126</v>
      </c>
      <c r="U61" s="1">
        <v>11.496666666666666</v>
      </c>
      <c r="V61" s="1">
        <v>1.9134099616858238</v>
      </c>
      <c r="W61" s="1">
        <v>4.5706549959201839</v>
      </c>
      <c r="X61" s="1">
        <v>0.81654033698643369</v>
      </c>
      <c r="Y61" s="1">
        <v>0.45646925152677176</v>
      </c>
      <c r="Z61" s="1">
        <v>8.3792810942635985</v>
      </c>
      <c r="AA61" s="1">
        <v>3.5584560464078536</v>
      </c>
      <c r="AB61" s="1">
        <v>3.9803220035778177</v>
      </c>
      <c r="AC61" s="1" t="s">
        <v>402</v>
      </c>
    </row>
    <row r="62" spans="1:29">
      <c r="A62" s="1" t="s">
        <v>127</v>
      </c>
      <c r="B62" s="4">
        <v>7.1685999999999996</v>
      </c>
      <c r="C62" s="4">
        <f t="shared" si="0"/>
        <v>15.766666666666666</v>
      </c>
      <c r="D62" s="4">
        <v>1.6186</v>
      </c>
      <c r="E62" s="4">
        <f t="shared" si="1"/>
        <v>0.9461623896650494</v>
      </c>
      <c r="F62" s="4">
        <v>7.0686</v>
      </c>
      <c r="G62" s="4">
        <f t="shared" si="2"/>
        <v>4.9795267413396633</v>
      </c>
      <c r="H62" s="4">
        <v>2.8626999999999998</v>
      </c>
      <c r="I62" s="4">
        <f t="shared" si="3"/>
        <v>1.4654564766088929</v>
      </c>
      <c r="J62" s="4">
        <v>1.1800999999999999</v>
      </c>
      <c r="K62" s="4">
        <f t="shared" si="4"/>
        <v>0.55868011172655396</v>
      </c>
      <c r="L62" s="4">
        <v>25.104500000000002</v>
      </c>
      <c r="M62" s="4">
        <f t="shared" si="5"/>
        <v>13.946029053122679</v>
      </c>
      <c r="N62" s="4">
        <f>1.9892*2</f>
        <v>3.9784000000000002</v>
      </c>
      <c r="O62" s="4">
        <f t="shared" si="6"/>
        <v>5.1178045515394919</v>
      </c>
      <c r="P62" s="4"/>
      <c r="Q62" s="4" t="str">
        <f t="shared" si="7"/>
        <v/>
      </c>
      <c r="S62" s="4" t="str">
        <f t="shared" si="8"/>
        <v/>
      </c>
      <c r="T62" s="1" t="s">
        <v>127</v>
      </c>
      <c r="U62" s="1">
        <v>15.766666666666666</v>
      </c>
      <c r="V62" s="1">
        <v>0.9461623896650494</v>
      </c>
      <c r="W62" s="1">
        <v>4.9795267413396633</v>
      </c>
      <c r="X62" s="1">
        <v>1.4654564766088929</v>
      </c>
      <c r="Y62" s="1">
        <v>0.55868011172655396</v>
      </c>
      <c r="Z62" s="1">
        <v>13.946029053122679</v>
      </c>
      <c r="AA62" s="1">
        <v>5.1178045515394919</v>
      </c>
      <c r="AB62" s="1" t="s">
        <v>402</v>
      </c>
      <c r="AC62" s="1" t="s">
        <v>402</v>
      </c>
    </row>
    <row r="63" spans="1:29">
      <c r="A63" s="1" t="s">
        <v>128</v>
      </c>
      <c r="B63" s="4">
        <v>3.052</v>
      </c>
      <c r="C63" s="4">
        <f t="shared" si="0"/>
        <v>6.6186666666666669</v>
      </c>
      <c r="D63" s="4"/>
      <c r="E63" s="4">
        <f t="shared" si="1"/>
        <v>0</v>
      </c>
      <c r="F63" s="4"/>
      <c r="G63" s="4">
        <f t="shared" si="2"/>
        <v>0</v>
      </c>
      <c r="H63" s="4">
        <v>9.1899999999999996E-2</v>
      </c>
      <c r="I63" s="4">
        <f t="shared" si="3"/>
        <v>0.12774586008786754</v>
      </c>
      <c r="J63" s="4">
        <v>4.3788999999999998</v>
      </c>
      <c r="K63" s="4">
        <f t="shared" si="4"/>
        <v>2.0522746824553413</v>
      </c>
      <c r="L63" s="4">
        <v>32.507199999999997</v>
      </c>
      <c r="M63" s="4">
        <f t="shared" si="5"/>
        <v>17.870692397412785</v>
      </c>
      <c r="N63" s="4">
        <v>3.3826999999999998</v>
      </c>
      <c r="O63" s="4">
        <f t="shared" si="6"/>
        <v>4.4532574743418119</v>
      </c>
      <c r="P63" s="4"/>
      <c r="Q63" s="4" t="str">
        <f t="shared" si="7"/>
        <v/>
      </c>
      <c r="S63" s="4" t="str">
        <f t="shared" si="8"/>
        <v/>
      </c>
      <c r="T63" s="1" t="s">
        <v>128</v>
      </c>
      <c r="U63" s="1">
        <v>6.6186666666666669</v>
      </c>
      <c r="V63" s="1">
        <v>0</v>
      </c>
      <c r="W63" s="1">
        <v>0</v>
      </c>
      <c r="X63" s="1">
        <v>0.12774586008786754</v>
      </c>
      <c r="Y63" s="1">
        <v>2.0522746824553413</v>
      </c>
      <c r="Z63" s="1">
        <v>17.870692397412785</v>
      </c>
      <c r="AA63" s="1">
        <v>4.4532574743418119</v>
      </c>
      <c r="AB63" s="1" t="s">
        <v>402</v>
      </c>
      <c r="AC63" s="1" t="s">
        <v>402</v>
      </c>
    </row>
    <row r="64" spans="1:29">
      <c r="A64" s="1" t="s">
        <v>129</v>
      </c>
      <c r="B64" s="4">
        <v>13.160399999999999</v>
      </c>
      <c r="C64" s="4">
        <f t="shared" si="0"/>
        <v>29.081777777777774</v>
      </c>
      <c r="D64" s="4"/>
      <c r="E64" s="4">
        <f t="shared" si="1"/>
        <v>0</v>
      </c>
      <c r="F64" s="4"/>
      <c r="G64" s="4">
        <f t="shared" si="2"/>
        <v>0</v>
      </c>
      <c r="H64" s="4"/>
      <c r="I64" s="4" t="str">
        <f t="shared" si="3"/>
        <v/>
      </c>
      <c r="J64" s="4">
        <v>0.1535</v>
      </c>
      <c r="K64" s="4">
        <f t="shared" si="4"/>
        <v>7.2669601855797003E-2</v>
      </c>
      <c r="L64" s="4">
        <v>23.261399999999998</v>
      </c>
      <c r="M64" s="4">
        <f t="shared" si="5"/>
        <v>12.968879228077615</v>
      </c>
      <c r="N64" s="4">
        <v>1.7807999999999999</v>
      </c>
      <c r="O64" s="4">
        <f t="shared" si="6"/>
        <v>2.6662204373047742</v>
      </c>
      <c r="P64" s="4"/>
      <c r="Q64" s="4" t="str">
        <f t="shared" si="7"/>
        <v/>
      </c>
      <c r="R64" s="1">
        <v>1.7208000000000001</v>
      </c>
      <c r="S64" s="4">
        <f t="shared" si="8"/>
        <v>4.0557367749255429</v>
      </c>
      <c r="T64" s="1" t="s">
        <v>129</v>
      </c>
      <c r="U64" s="1">
        <v>29.081777777777774</v>
      </c>
      <c r="V64" s="1">
        <v>0</v>
      </c>
      <c r="W64" s="1">
        <v>0</v>
      </c>
      <c r="X64" s="1" t="s">
        <v>402</v>
      </c>
      <c r="Y64" s="1">
        <v>7.2669601855797003E-2</v>
      </c>
      <c r="Z64" s="1">
        <v>12.968879228077615</v>
      </c>
      <c r="AA64" s="1">
        <v>2.6662204373047742</v>
      </c>
      <c r="AB64" s="1" t="s">
        <v>402</v>
      </c>
      <c r="AC64" s="1">
        <v>4.0557367749255429</v>
      </c>
    </row>
    <row r="65" spans="1:29">
      <c r="A65" s="1" t="s">
        <v>130</v>
      </c>
      <c r="B65" s="4">
        <v>3.9615</v>
      </c>
      <c r="C65" s="4">
        <f t="shared" si="0"/>
        <v>8.6397777777777787</v>
      </c>
      <c r="D65" s="4"/>
      <c r="E65" s="4">
        <f t="shared" si="1"/>
        <v>0</v>
      </c>
      <c r="F65" s="4"/>
      <c r="G65" s="4">
        <f t="shared" si="2"/>
        <v>0</v>
      </c>
      <c r="H65" s="4"/>
      <c r="I65" s="4" t="str">
        <f t="shared" si="3"/>
        <v/>
      </c>
      <c r="J65" s="4"/>
      <c r="K65" s="4">
        <f t="shared" si="4"/>
        <v>0</v>
      </c>
      <c r="L65" s="4">
        <v>0.32590000000000002</v>
      </c>
      <c r="M65" s="4">
        <f t="shared" si="5"/>
        <v>0.80924610327642876</v>
      </c>
      <c r="N65" s="4">
        <v>0.73419999999999996</v>
      </c>
      <c r="O65" s="4">
        <f t="shared" si="6"/>
        <v>1.4986613119143239</v>
      </c>
      <c r="P65" s="4"/>
      <c r="Q65" s="4" t="str">
        <f t="shared" si="7"/>
        <v/>
      </c>
      <c r="S65" s="4" t="str">
        <f t="shared" si="8"/>
        <v/>
      </c>
      <c r="T65" s="1" t="s">
        <v>130</v>
      </c>
      <c r="U65" s="1">
        <v>8.6397777777777787</v>
      </c>
      <c r="V65" s="1">
        <v>0</v>
      </c>
      <c r="W65" s="1">
        <v>0</v>
      </c>
      <c r="X65" s="1" t="s">
        <v>402</v>
      </c>
      <c r="Y65" s="1">
        <v>0</v>
      </c>
      <c r="Z65" s="1">
        <v>0.80924610327642876</v>
      </c>
      <c r="AA65" s="1">
        <v>1.4986613119143239</v>
      </c>
      <c r="AB65" s="1" t="s">
        <v>402</v>
      </c>
      <c r="AC65" s="1" t="s">
        <v>402</v>
      </c>
    </row>
    <row r="66" spans="1:29">
      <c r="A66" s="1" t="s">
        <v>131</v>
      </c>
      <c r="B66" s="4">
        <v>16.164899999999999</v>
      </c>
      <c r="C66" s="4">
        <f t="shared" si="0"/>
        <v>35.758444444444443</v>
      </c>
      <c r="D66" s="4"/>
      <c r="E66" s="4">
        <f t="shared" si="1"/>
        <v>0</v>
      </c>
      <c r="F66" s="4"/>
      <c r="G66" s="4">
        <f t="shared" si="2"/>
        <v>0</v>
      </c>
      <c r="H66" s="4"/>
      <c r="I66" s="4" t="str">
        <f t="shared" si="3"/>
        <v/>
      </c>
      <c r="J66" s="4">
        <v>0.13650000000000001</v>
      </c>
      <c r="K66" s="4">
        <f t="shared" si="4"/>
        <v>6.46215026274677E-2</v>
      </c>
      <c r="L66" s="4">
        <v>14.9992</v>
      </c>
      <c r="M66" s="4">
        <f t="shared" si="5"/>
        <v>8.5885378008694726</v>
      </c>
      <c r="N66" s="4">
        <v>4.4139999999999997</v>
      </c>
      <c r="O66" s="4">
        <f t="shared" si="6"/>
        <v>5.6037483266398924</v>
      </c>
      <c r="P66" s="4"/>
      <c r="Q66" s="4" t="str">
        <f t="shared" si="7"/>
        <v/>
      </c>
      <c r="R66" s="1">
        <v>3.0790999999999999</v>
      </c>
      <c r="S66" s="4">
        <f t="shared" si="8"/>
        <v>5.9821301942986818</v>
      </c>
      <c r="T66" s="1" t="s">
        <v>131</v>
      </c>
      <c r="U66" s="1">
        <v>35.758444444444443</v>
      </c>
      <c r="V66" s="1">
        <v>0</v>
      </c>
      <c r="W66" s="1">
        <v>0</v>
      </c>
      <c r="X66" s="1" t="s">
        <v>402</v>
      </c>
      <c r="Y66" s="1">
        <v>6.46215026274677E-2</v>
      </c>
      <c r="Z66" s="1">
        <v>8.5885378008694726</v>
      </c>
      <c r="AA66" s="1">
        <v>5.6037483266398924</v>
      </c>
      <c r="AB66" s="1" t="s">
        <v>402</v>
      </c>
      <c r="AC66" s="1">
        <v>5.9821301942986818</v>
      </c>
    </row>
    <row r="67" spans="1:29">
      <c r="A67" s="1" t="s">
        <v>132</v>
      </c>
      <c r="B67" s="4">
        <v>1.1316999999999999</v>
      </c>
      <c r="C67" s="4">
        <f t="shared" si="0"/>
        <v>2.3513333333333333</v>
      </c>
      <c r="D67" s="4"/>
      <c r="E67" s="4">
        <f t="shared" si="1"/>
        <v>0</v>
      </c>
      <c r="F67" s="4">
        <v>0.12570000000000001</v>
      </c>
      <c r="G67" s="4">
        <f t="shared" si="2"/>
        <v>7.8191092311520285E-2</v>
      </c>
      <c r="H67" s="4">
        <v>0.12670000000000001</v>
      </c>
      <c r="I67" s="4">
        <f t="shared" si="3"/>
        <v>0.14454690291121519</v>
      </c>
      <c r="J67" s="4">
        <v>0.75570000000000004</v>
      </c>
      <c r="K67" s="4">
        <f t="shared" si="4"/>
        <v>0.35776168157932114</v>
      </c>
      <c r="L67" s="4">
        <v>54.2864</v>
      </c>
      <c r="M67" s="4">
        <f t="shared" si="5"/>
        <v>29.417294030325518</v>
      </c>
      <c r="N67" s="4">
        <v>10.3048</v>
      </c>
      <c r="O67" s="4">
        <f t="shared" si="6"/>
        <v>12.175368139223561</v>
      </c>
      <c r="P67" s="4"/>
      <c r="Q67" s="4" t="str">
        <f t="shared" si="7"/>
        <v/>
      </c>
      <c r="S67" s="4" t="str">
        <f t="shared" si="8"/>
        <v/>
      </c>
      <c r="T67" s="1" t="s">
        <v>132</v>
      </c>
      <c r="U67" s="1">
        <v>2.3513333333333333</v>
      </c>
      <c r="V67" s="1">
        <v>0</v>
      </c>
      <c r="W67" s="1">
        <v>7.8191092311520285E-2</v>
      </c>
      <c r="X67" s="1">
        <v>0.14454690291121519</v>
      </c>
      <c r="Y67" s="1">
        <v>0.35776168157932114</v>
      </c>
      <c r="Z67" s="1">
        <v>29.417294030325518</v>
      </c>
      <c r="AA67" s="1">
        <v>12.175368139223561</v>
      </c>
      <c r="AB67" s="1" t="s">
        <v>402</v>
      </c>
      <c r="AC67" s="1" t="s">
        <v>402</v>
      </c>
    </row>
    <row r="68" spans="1:29">
      <c r="A68" s="1" t="s">
        <v>133</v>
      </c>
      <c r="B68" s="4">
        <v>0.38169999999999998</v>
      </c>
      <c r="C68" s="4">
        <f t="shared" si="0"/>
        <v>0.68466666666666665</v>
      </c>
      <c r="D68" s="4"/>
      <c r="E68" s="4">
        <f t="shared" si="1"/>
        <v>0</v>
      </c>
      <c r="F68" s="4">
        <v>0.10150000000000001</v>
      </c>
      <c r="G68" s="4">
        <f t="shared" si="2"/>
        <v>6.3137596417019173E-2</v>
      </c>
      <c r="H68" s="4">
        <v>0.41820000000000002</v>
      </c>
      <c r="I68" s="4">
        <f t="shared" si="3"/>
        <v>0.28527977598609572</v>
      </c>
      <c r="J68" s="4">
        <v>1.8982000000000001</v>
      </c>
      <c r="K68" s="4">
        <f t="shared" si="4"/>
        <v>0.89864129148321747</v>
      </c>
      <c r="L68" s="4">
        <v>8.4852000000000007</v>
      </c>
      <c r="M68" s="4">
        <f t="shared" si="5"/>
        <v>5.1350334004877531</v>
      </c>
      <c r="N68" s="4">
        <v>2.0261</v>
      </c>
      <c r="O68" s="4">
        <f t="shared" si="6"/>
        <v>2.9398705934850513</v>
      </c>
      <c r="P68" s="4"/>
      <c r="Q68" s="4" t="str">
        <f t="shared" si="7"/>
        <v/>
      </c>
      <c r="S68" s="4" t="str">
        <f t="shared" si="8"/>
        <v/>
      </c>
      <c r="T68" s="1" t="s">
        <v>133</v>
      </c>
      <c r="U68" s="1">
        <v>0.68466666666666665</v>
      </c>
      <c r="V68" s="1">
        <v>0</v>
      </c>
      <c r="W68" s="1">
        <v>6.3137596417019173E-2</v>
      </c>
      <c r="X68" s="1">
        <v>0.28527977598609572</v>
      </c>
      <c r="Y68" s="1">
        <v>0.89864129148321747</v>
      </c>
      <c r="Z68" s="1">
        <v>5.1350334004877531</v>
      </c>
      <c r="AA68" s="1">
        <v>2.9398705934850513</v>
      </c>
      <c r="AB68" s="1" t="s">
        <v>402</v>
      </c>
      <c r="AC68" s="1" t="s">
        <v>402</v>
      </c>
    </row>
    <row r="69" spans="1:29">
      <c r="A69" s="1" t="s">
        <v>134</v>
      </c>
      <c r="B69" s="4">
        <f>1.6812*2</f>
        <v>3.3624000000000001</v>
      </c>
      <c r="C69" s="4">
        <f t="shared" si="0"/>
        <v>7.3084444444444445</v>
      </c>
      <c r="D69" s="5">
        <v>7.4800000000000005E-2</v>
      </c>
      <c r="E69" s="4">
        <f t="shared" si="1"/>
        <v>4.3724791021219386E-2</v>
      </c>
      <c r="F69" s="4">
        <v>0.23960000000000001</v>
      </c>
      <c r="G69" s="4">
        <f t="shared" si="2"/>
        <v>0.14904205026125902</v>
      </c>
      <c r="H69" s="4">
        <v>0.6754</v>
      </c>
      <c r="I69" s="4">
        <f t="shared" si="3"/>
        <v>0.40945300053106742</v>
      </c>
      <c r="J69" s="4">
        <v>2.3633999999999999</v>
      </c>
      <c r="K69" s="4">
        <f t="shared" si="4"/>
        <v>1.0323364202216487</v>
      </c>
      <c r="L69" s="4">
        <v>98.735200000000006</v>
      </c>
      <c r="M69" s="4">
        <f t="shared" si="5"/>
        <v>52.982557523062248</v>
      </c>
      <c r="N69" s="4">
        <v>29.123699999999999</v>
      </c>
      <c r="O69" s="4">
        <f t="shared" si="6"/>
        <v>33.169232485497545</v>
      </c>
      <c r="P69" s="4"/>
      <c r="Q69" s="4" t="str">
        <f t="shared" si="7"/>
        <v/>
      </c>
      <c r="S69" s="4" t="str">
        <f t="shared" si="8"/>
        <v/>
      </c>
      <c r="T69" s="1" t="s">
        <v>134</v>
      </c>
      <c r="U69" s="1">
        <v>7.3084444444444445</v>
      </c>
      <c r="V69" s="1">
        <v>4.3724791021219386E-2</v>
      </c>
      <c r="W69" s="1">
        <v>0.14904205026125902</v>
      </c>
      <c r="X69" s="1">
        <v>0.40945300053106742</v>
      </c>
      <c r="Y69" s="1">
        <v>1.0323364202216487</v>
      </c>
      <c r="Z69" s="1">
        <v>52.982557523062248</v>
      </c>
      <c r="AA69" s="1">
        <v>33.169232485497545</v>
      </c>
      <c r="AB69" s="1" t="s">
        <v>402</v>
      </c>
      <c r="AC69" s="1" t="s">
        <v>402</v>
      </c>
    </row>
    <row r="70" spans="1:29">
      <c r="A70" s="1" t="s">
        <v>135</v>
      </c>
      <c r="B70" s="4">
        <v>0.28770000000000001</v>
      </c>
      <c r="C70" s="4">
        <f t="shared" ref="C70:C95" si="9">IF(AND(B70&gt;=$B$3,B70&lt;=$B$6),(B70-0.0736)/0.45,IF(B70&lt;$B$3,B70/$B$3*$A$3,B70/$B$6*$A$6))</f>
        <v>0.4757777777777778</v>
      </c>
      <c r="D70" s="4"/>
      <c r="E70" s="4">
        <f t="shared" si="1"/>
        <v>0</v>
      </c>
      <c r="F70" s="4"/>
      <c r="G70" s="4">
        <f t="shared" si="2"/>
        <v>0</v>
      </c>
      <c r="H70" s="4"/>
      <c r="I70" s="4" t="str">
        <f t="shared" si="3"/>
        <v/>
      </c>
      <c r="J70" s="4"/>
      <c r="K70" s="4">
        <f t="shared" si="4"/>
        <v>0</v>
      </c>
      <c r="L70" s="4">
        <v>0.4128</v>
      </c>
      <c r="M70" s="4">
        <f t="shared" si="5"/>
        <v>0.85531756971689099</v>
      </c>
      <c r="N70" s="4">
        <v>0.30590000000000001</v>
      </c>
      <c r="O70" s="4">
        <f t="shared" si="6"/>
        <v>1.0208612226684517</v>
      </c>
      <c r="P70" s="4"/>
      <c r="Q70" s="4" t="str">
        <f t="shared" si="7"/>
        <v/>
      </c>
      <c r="S70" s="4" t="str">
        <f t="shared" si="8"/>
        <v/>
      </c>
      <c r="T70" s="1" t="s">
        <v>135</v>
      </c>
      <c r="U70" s="1">
        <v>0.4757777777777778</v>
      </c>
      <c r="V70" s="1">
        <v>0</v>
      </c>
      <c r="W70" s="1">
        <v>0</v>
      </c>
      <c r="X70" s="1" t="s">
        <v>402</v>
      </c>
      <c r="Y70" s="1">
        <v>0</v>
      </c>
      <c r="Z70" s="1">
        <v>0.85531756971689099</v>
      </c>
      <c r="AA70" s="1">
        <v>1.0208612226684517</v>
      </c>
      <c r="AB70" s="1" t="s">
        <v>402</v>
      </c>
      <c r="AC70" s="1" t="s">
        <v>402</v>
      </c>
    </row>
    <row r="71" spans="1:29">
      <c r="A71" s="1" t="s">
        <v>136</v>
      </c>
      <c r="B71" s="4">
        <v>0.38819999999999999</v>
      </c>
      <c r="C71" s="4">
        <f t="shared" si="9"/>
        <v>0.69911111111111113</v>
      </c>
      <c r="D71" s="4">
        <f>0.0706*2</f>
        <v>0.14119999999999999</v>
      </c>
      <c r="E71" s="4">
        <f t="shared" si="1"/>
        <v>8.2539311392997014E-2</v>
      </c>
      <c r="F71" s="4">
        <v>9.5000000000000001E-2</v>
      </c>
      <c r="G71" s="4">
        <f t="shared" si="2"/>
        <v>5.9094302065190348E-2</v>
      </c>
      <c r="H71" s="4">
        <v>0.30030000000000001</v>
      </c>
      <c r="I71" s="4">
        <f t="shared" si="3"/>
        <v>0.22835900159320233</v>
      </c>
      <c r="J71" s="4">
        <v>0.17460000000000001</v>
      </c>
      <c r="K71" s="4">
        <f t="shared" si="4"/>
        <v>8.2658713250958679E-2</v>
      </c>
      <c r="L71" s="4">
        <v>3.4100999999999999</v>
      </c>
      <c r="M71" s="4">
        <f t="shared" si="5"/>
        <v>2.4443855370586363</v>
      </c>
      <c r="N71" s="4">
        <v>2.0998000000000001</v>
      </c>
      <c r="O71" s="4">
        <f t="shared" si="6"/>
        <v>3.0220883534136549</v>
      </c>
      <c r="P71" s="4"/>
      <c r="Q71" s="4" t="str">
        <f t="shared" si="7"/>
        <v/>
      </c>
      <c r="S71" s="4" t="str">
        <f t="shared" si="8"/>
        <v/>
      </c>
      <c r="T71" s="1" t="s">
        <v>136</v>
      </c>
      <c r="U71" s="1">
        <v>0.69911111111111113</v>
      </c>
      <c r="V71" s="1">
        <v>8.2539311392997014E-2</v>
      </c>
      <c r="W71" s="1">
        <v>5.9094302065190348E-2</v>
      </c>
      <c r="X71" s="1">
        <v>0.22835900159320233</v>
      </c>
      <c r="Y71" s="1">
        <v>8.2658713250958679E-2</v>
      </c>
      <c r="Z71" s="1">
        <v>2.4443855370586363</v>
      </c>
      <c r="AA71" s="1">
        <v>3.0220883534136549</v>
      </c>
      <c r="AB71" s="1" t="s">
        <v>402</v>
      </c>
      <c r="AC71" s="1" t="s">
        <v>402</v>
      </c>
    </row>
    <row r="72" spans="1:29">
      <c r="A72" s="1" t="s">
        <v>137</v>
      </c>
      <c r="B72" s="4">
        <f>0.0689*2</f>
        <v>0.13780000000000001</v>
      </c>
      <c r="C72" s="4">
        <f t="shared" si="9"/>
        <v>0.14266666666666669</v>
      </c>
      <c r="D72" s="4"/>
      <c r="E72" s="4">
        <f t="shared" si="1"/>
        <v>0</v>
      </c>
      <c r="F72" s="4"/>
      <c r="G72" s="4">
        <f t="shared" si="2"/>
        <v>0</v>
      </c>
      <c r="H72" s="4"/>
      <c r="I72" s="4" t="str">
        <f t="shared" si="3"/>
        <v/>
      </c>
      <c r="J72" s="4"/>
      <c r="K72" s="4">
        <f t="shared" si="4"/>
        <v>0</v>
      </c>
      <c r="L72" s="4">
        <v>0.1988</v>
      </c>
      <c r="M72" s="4">
        <f t="shared" si="5"/>
        <v>0.74186194465062028</v>
      </c>
      <c r="N72" s="4">
        <v>0.18440000000000001</v>
      </c>
      <c r="O72" s="4">
        <f t="shared" si="6"/>
        <v>0.88531905399375277</v>
      </c>
      <c r="P72" s="4">
        <v>0.49580000000000002</v>
      </c>
      <c r="Q72" s="4">
        <f t="shared" si="7"/>
        <v>0.84227787716159819</v>
      </c>
      <c r="R72" s="1">
        <v>0.2021</v>
      </c>
      <c r="S72" s="4">
        <f t="shared" si="8"/>
        <v>1.9018578924975182</v>
      </c>
      <c r="T72" s="1" t="s">
        <v>137</v>
      </c>
      <c r="U72" s="1">
        <v>0.14266666666666669</v>
      </c>
      <c r="V72" s="1">
        <v>0</v>
      </c>
      <c r="W72" s="1">
        <v>0</v>
      </c>
      <c r="X72" s="1" t="s">
        <v>402</v>
      </c>
      <c r="Y72" s="1">
        <v>0</v>
      </c>
      <c r="Z72" s="1">
        <v>0.74186194465062028</v>
      </c>
      <c r="AA72" s="1">
        <v>0.88531905399375277</v>
      </c>
      <c r="AB72" s="1">
        <v>0.84227787716159819</v>
      </c>
      <c r="AC72" s="1">
        <v>1.9018578924975182</v>
      </c>
    </row>
    <row r="73" spans="1:29">
      <c r="A73" s="1" t="s">
        <v>138</v>
      </c>
      <c r="B73" s="4">
        <f>0.0395*2</f>
        <v>7.9000000000000001E-2</v>
      </c>
      <c r="C73" s="4">
        <f t="shared" si="9"/>
        <v>0.37574316290130799</v>
      </c>
      <c r="D73" s="4">
        <f>0.0965*2</f>
        <v>0.193</v>
      </c>
      <c r="E73" s="4">
        <f t="shared" si="1"/>
        <v>0.11281931373122113</v>
      </c>
      <c r="F73" s="4">
        <v>0.1875</v>
      </c>
      <c r="G73" s="4">
        <f t="shared" si="2"/>
        <v>0.11663349091813885</v>
      </c>
      <c r="H73" s="4">
        <v>0.12039999999999999</v>
      </c>
      <c r="I73" s="4">
        <f t="shared" si="3"/>
        <v>0.141505334813885</v>
      </c>
      <c r="J73" s="4">
        <v>1.0379</v>
      </c>
      <c r="K73" s="4">
        <f t="shared" si="4"/>
        <v>0.49136012876958773</v>
      </c>
      <c r="L73" s="4">
        <v>17.9435</v>
      </c>
      <c r="M73" s="4">
        <f t="shared" si="5"/>
        <v>10.149506945180786</v>
      </c>
      <c r="N73" s="4">
        <v>8.9349000000000007</v>
      </c>
      <c r="O73" s="4">
        <f t="shared" si="6"/>
        <v>10.647144132083891</v>
      </c>
      <c r="P73" s="4"/>
      <c r="Q73" s="4" t="str">
        <f t="shared" si="7"/>
        <v/>
      </c>
      <c r="S73" s="4" t="str">
        <f t="shared" si="8"/>
        <v/>
      </c>
      <c r="T73" s="1" t="s">
        <v>138</v>
      </c>
      <c r="U73" s="1">
        <v>0.37574316290130799</v>
      </c>
      <c r="V73" s="1">
        <v>0.11281931373122113</v>
      </c>
      <c r="W73" s="1">
        <v>0.11663349091813885</v>
      </c>
      <c r="X73" s="1">
        <v>0.141505334813885</v>
      </c>
      <c r="Y73" s="1">
        <v>0.49136012876958773</v>
      </c>
      <c r="Z73" s="1">
        <v>10.149506945180786</v>
      </c>
      <c r="AA73" s="1">
        <v>10.647144132083891</v>
      </c>
      <c r="AB73" s="1" t="s">
        <v>402</v>
      </c>
      <c r="AC73" s="1" t="s">
        <v>402</v>
      </c>
    </row>
    <row r="74" spans="1:29">
      <c r="A74" s="1" t="s">
        <v>139</v>
      </c>
      <c r="B74" s="4">
        <f>0.0379*2</f>
        <v>7.5800000000000006E-2</v>
      </c>
      <c r="C74" s="4">
        <f t="shared" si="9"/>
        <v>0.36052318668252092</v>
      </c>
      <c r="D74" s="4"/>
      <c r="E74" s="4">
        <f t="shared" si="1"/>
        <v>0</v>
      </c>
      <c r="F74" s="4"/>
      <c r="G74" s="4">
        <f t="shared" si="2"/>
        <v>0</v>
      </c>
      <c r="H74" s="4"/>
      <c r="I74" s="4" t="str">
        <f t="shared" si="3"/>
        <v/>
      </c>
      <c r="J74" s="4"/>
      <c r="K74" s="4">
        <f t="shared" si="4"/>
        <v>0</v>
      </c>
      <c r="L74" s="4">
        <v>0.23139999999999999</v>
      </c>
      <c r="M74" s="4">
        <f t="shared" si="5"/>
        <v>0.75914537164669704</v>
      </c>
      <c r="N74" s="4">
        <v>0.3765</v>
      </c>
      <c r="O74" s="4">
        <f t="shared" si="6"/>
        <v>1.0996207050423918</v>
      </c>
      <c r="P74" s="4"/>
      <c r="Q74" s="4" t="str">
        <f t="shared" si="7"/>
        <v/>
      </c>
      <c r="S74" s="4" t="str">
        <f t="shared" si="8"/>
        <v/>
      </c>
      <c r="T74" s="1" t="s">
        <v>139</v>
      </c>
      <c r="U74" s="1">
        <v>0.36052318668252092</v>
      </c>
      <c r="V74" s="1">
        <v>0</v>
      </c>
      <c r="W74" s="1">
        <v>0</v>
      </c>
      <c r="X74" s="1" t="s">
        <v>402</v>
      </c>
      <c r="Y74" s="1">
        <v>0</v>
      </c>
      <c r="Z74" s="1">
        <v>0.75914537164669704</v>
      </c>
      <c r="AA74" s="1">
        <v>1.0996207050423918</v>
      </c>
      <c r="AB74" s="1" t="s">
        <v>402</v>
      </c>
      <c r="AC74" s="1" t="s">
        <v>402</v>
      </c>
    </row>
    <row r="75" spans="1:29">
      <c r="A75" s="1" t="s">
        <v>140</v>
      </c>
      <c r="B75" s="4">
        <f>0.0444*2</f>
        <v>8.8800000000000004E-2</v>
      </c>
      <c r="C75" s="4">
        <f t="shared" si="9"/>
        <v>3.3777777777777789E-2</v>
      </c>
      <c r="D75" s="5">
        <v>9.3899999999999997E-2</v>
      </c>
      <c r="E75" s="4">
        <f t="shared" si="1"/>
        <v>5.4889811188402401E-2</v>
      </c>
      <c r="F75" s="4">
        <f>0.099*2</f>
        <v>0.19800000000000001</v>
      </c>
      <c r="G75" s="4">
        <f t="shared" si="2"/>
        <v>0.12316496640955463</v>
      </c>
      <c r="H75" s="4">
        <v>1.95E-2</v>
      </c>
      <c r="I75" s="4">
        <f t="shared" si="3"/>
        <v>9.2791966397914344E-2</v>
      </c>
      <c r="J75" s="4">
        <v>0.2505</v>
      </c>
      <c r="K75" s="4">
        <f t="shared" si="4"/>
        <v>0.11859110921744072</v>
      </c>
      <c r="L75" s="4">
        <v>9.4075000000000006</v>
      </c>
      <c r="M75" s="4">
        <f t="shared" si="5"/>
        <v>5.6240059378644895</v>
      </c>
      <c r="N75" s="4">
        <v>10.1088</v>
      </c>
      <c r="O75" s="4">
        <f t="shared" si="6"/>
        <v>11.956715751896475</v>
      </c>
      <c r="P75" s="4"/>
      <c r="Q75" s="4" t="str">
        <f t="shared" si="7"/>
        <v/>
      </c>
      <c r="R75" s="1">
        <f>1.2854*2</f>
        <v>2.5708000000000002</v>
      </c>
      <c r="S75" s="4">
        <f t="shared" si="8"/>
        <v>5.2612395404907115</v>
      </c>
      <c r="T75" s="1" t="s">
        <v>140</v>
      </c>
      <c r="U75" s="1">
        <v>3.3777777777777789E-2</v>
      </c>
      <c r="V75" s="1">
        <v>5.4889811188402401E-2</v>
      </c>
      <c r="W75" s="1">
        <v>0.12316496640955463</v>
      </c>
      <c r="X75" s="1">
        <v>9.2791966397914344E-2</v>
      </c>
      <c r="Y75" s="1">
        <v>0.11859110921744072</v>
      </c>
      <c r="Z75" s="1">
        <v>5.6240059378644895</v>
      </c>
      <c r="AA75" s="1">
        <v>11.956715751896475</v>
      </c>
      <c r="AB75" s="1" t="s">
        <v>402</v>
      </c>
      <c r="AC75" s="1">
        <v>5.2612395404907115</v>
      </c>
    </row>
    <row r="76" spans="1:29">
      <c r="A76" s="1" t="s">
        <v>141</v>
      </c>
      <c r="B76" s="1">
        <v>1.4836</v>
      </c>
      <c r="C76" s="4">
        <f t="shared" si="9"/>
        <v>3.1333333333333337</v>
      </c>
      <c r="E76" s="4">
        <f t="shared" si="1"/>
        <v>0</v>
      </c>
      <c r="G76" s="4">
        <f t="shared" si="2"/>
        <v>0</v>
      </c>
      <c r="I76" s="4" t="str">
        <f t="shared" si="3"/>
        <v/>
      </c>
      <c r="K76" s="4">
        <f t="shared" si="4"/>
        <v>0</v>
      </c>
      <c r="L76" s="1">
        <v>0.65859999999999996</v>
      </c>
      <c r="M76" s="4">
        <f t="shared" si="5"/>
        <v>0.98563248860142061</v>
      </c>
      <c r="N76" s="1">
        <v>0.69589999999999996</v>
      </c>
      <c r="O76" s="4">
        <f t="shared" si="6"/>
        <v>1.4559348505131637</v>
      </c>
      <c r="Q76" s="4" t="str">
        <f t="shared" si="7"/>
        <v/>
      </c>
      <c r="S76" s="4" t="str">
        <f t="shared" si="8"/>
        <v/>
      </c>
      <c r="T76" s="1" t="s">
        <v>141</v>
      </c>
      <c r="U76" s="1">
        <v>3.1333333333333337</v>
      </c>
      <c r="V76" s="1">
        <v>0</v>
      </c>
      <c r="W76" s="1">
        <v>0</v>
      </c>
      <c r="X76" s="1" t="s">
        <v>402</v>
      </c>
      <c r="Y76" s="1">
        <v>0</v>
      </c>
      <c r="Z76" s="1">
        <v>0.98563248860142061</v>
      </c>
      <c r="AA76" s="1">
        <v>1.4559348505131637</v>
      </c>
      <c r="AB76" s="1" t="s">
        <v>402</v>
      </c>
      <c r="AC76" s="1" t="s">
        <v>402</v>
      </c>
    </row>
    <row r="77" spans="1:29">
      <c r="A77" s="1" t="s">
        <v>142</v>
      </c>
      <c r="B77" s="1">
        <v>8.4794999999999998</v>
      </c>
      <c r="C77" s="4">
        <f t="shared" si="9"/>
        <v>18.679777777777776</v>
      </c>
      <c r="D77" s="1">
        <v>0.6482</v>
      </c>
      <c r="E77" s="4">
        <f t="shared" si="1"/>
        <v>0.37890921844858827</v>
      </c>
      <c r="F77" s="1">
        <v>4.9000000000000002E-2</v>
      </c>
      <c r="G77" s="4">
        <f t="shared" si="2"/>
        <v>3.0480218959940287E-2</v>
      </c>
      <c r="H77" s="1">
        <v>0.25950000000000001</v>
      </c>
      <c r="I77" s="4">
        <f t="shared" si="3"/>
        <v>0.20866122724858788</v>
      </c>
      <c r="J77" s="1">
        <v>0.86370000000000002</v>
      </c>
      <c r="K77" s="4">
        <f t="shared" si="4"/>
        <v>0.40889078255929562</v>
      </c>
      <c r="L77" s="1">
        <v>20.8048</v>
      </c>
      <c r="M77" s="4">
        <f t="shared" si="5"/>
        <v>11.666472272293499</v>
      </c>
      <c r="N77" s="1">
        <v>4.9194000000000004</v>
      </c>
      <c r="O77" s="4">
        <f t="shared" si="6"/>
        <v>6.1675591253904516</v>
      </c>
      <c r="Q77" s="4" t="str">
        <f t="shared" si="7"/>
        <v/>
      </c>
      <c r="S77" s="4" t="str">
        <f t="shared" si="8"/>
        <v/>
      </c>
      <c r="T77" s="1" t="s">
        <v>142</v>
      </c>
      <c r="U77" s="1">
        <v>18.679777777777776</v>
      </c>
      <c r="V77" s="1">
        <v>0.37890921844858827</v>
      </c>
      <c r="W77" s="1">
        <v>3.0480218959940287E-2</v>
      </c>
      <c r="X77" s="1">
        <v>0.20866122724858788</v>
      </c>
      <c r="Y77" s="1">
        <v>0.40889078255929562</v>
      </c>
      <c r="Z77" s="1">
        <v>11.666472272293499</v>
      </c>
      <c r="AA77" s="1">
        <v>6.1675591253904516</v>
      </c>
      <c r="AB77" s="1" t="s">
        <v>402</v>
      </c>
      <c r="AC77" s="1" t="s">
        <v>402</v>
      </c>
    </row>
    <row r="78" spans="1:29">
      <c r="A78" s="1" t="s">
        <v>143</v>
      </c>
      <c r="B78" s="1">
        <v>2.6955</v>
      </c>
      <c r="C78" s="4">
        <f t="shared" si="9"/>
        <v>5.8264444444444443</v>
      </c>
      <c r="D78" s="6">
        <v>9.1000000000000004E-3</v>
      </c>
      <c r="E78" s="4">
        <f t="shared" si="1"/>
        <v>5.3194598702285614E-3</v>
      </c>
      <c r="G78" s="4">
        <f t="shared" si="2"/>
        <v>0</v>
      </c>
      <c r="H78" s="1">
        <v>1.9900000000000001E-2</v>
      </c>
      <c r="I78" s="4">
        <f t="shared" si="3"/>
        <v>9.2985081832665475E-2</v>
      </c>
      <c r="J78" s="1">
        <v>4.41E-2</v>
      </c>
      <c r="K78" s="4">
        <f t="shared" si="4"/>
        <v>2.0877716233489562E-2</v>
      </c>
      <c r="L78" s="1">
        <v>34.251899999999999</v>
      </c>
      <c r="M78" s="4">
        <f t="shared" si="5"/>
        <v>18.795673841586254</v>
      </c>
      <c r="N78" s="1">
        <v>23.185199999999998</v>
      </c>
      <c r="O78" s="4">
        <f t="shared" si="6"/>
        <v>26.544399821508254</v>
      </c>
      <c r="P78" s="1">
        <v>3.2035</v>
      </c>
      <c r="Q78" s="4">
        <f t="shared" si="7"/>
        <v>4.8788014311270125</v>
      </c>
      <c r="R78" s="1">
        <v>0.1983</v>
      </c>
      <c r="S78" s="4">
        <f t="shared" si="8"/>
        <v>1.8964685860161681</v>
      </c>
      <c r="T78" s="1" t="s">
        <v>143</v>
      </c>
      <c r="U78" s="1">
        <v>5.8264444444444443</v>
      </c>
      <c r="V78" s="1">
        <v>5.3194598702285614E-3</v>
      </c>
      <c r="W78" s="1">
        <v>0</v>
      </c>
      <c r="X78" s="1">
        <v>9.2985081832665475E-2</v>
      </c>
      <c r="Y78" s="1">
        <v>2.0877716233489562E-2</v>
      </c>
      <c r="Z78" s="1">
        <v>18.795673841586254</v>
      </c>
      <c r="AA78" s="1">
        <v>26.544399821508254</v>
      </c>
      <c r="AB78" s="1">
        <v>4.8788014311270125</v>
      </c>
      <c r="AC78" s="1">
        <v>1.8964685860161681</v>
      </c>
    </row>
    <row r="79" spans="1:29">
      <c r="A79" s="1" t="s">
        <v>144</v>
      </c>
      <c r="B79" s="1">
        <v>4.6242999999999999</v>
      </c>
      <c r="C79" s="4">
        <f t="shared" si="9"/>
        <v>10.112666666666666</v>
      </c>
      <c r="D79" s="1">
        <v>0.51300000000000001</v>
      </c>
      <c r="E79" s="4">
        <f t="shared" si="1"/>
        <v>0.29987724323376397</v>
      </c>
      <c r="F79" s="1">
        <v>0.1241</v>
      </c>
      <c r="G79" s="4">
        <f t="shared" si="2"/>
        <v>7.7195819855685494E-2</v>
      </c>
      <c r="H79" s="1">
        <v>0.58479999999999999</v>
      </c>
      <c r="I79" s="4">
        <f t="shared" si="3"/>
        <v>0.36571235455993817</v>
      </c>
      <c r="J79" s="1">
        <v>0.55249999999999999</v>
      </c>
      <c r="K79" s="4">
        <f t="shared" si="4"/>
        <v>0.26156322492070255</v>
      </c>
      <c r="L79" s="1">
        <v>27.371600000000001</v>
      </c>
      <c r="M79" s="4">
        <f t="shared" si="5"/>
        <v>15.147969462411195</v>
      </c>
      <c r="N79" s="1">
        <v>16.644600000000001</v>
      </c>
      <c r="O79" s="4">
        <f t="shared" si="6"/>
        <v>19.247880410531014</v>
      </c>
      <c r="P79" s="1">
        <v>0.66320000000000001</v>
      </c>
      <c r="Q79" s="4">
        <f t="shared" si="7"/>
        <v>1.0918306499701851</v>
      </c>
      <c r="R79" s="1">
        <f>0.0931*2</f>
        <v>0.1862</v>
      </c>
      <c r="S79" s="4">
        <f t="shared" si="8"/>
        <v>1.8793078995887109</v>
      </c>
      <c r="T79" s="1" t="s">
        <v>144</v>
      </c>
      <c r="U79" s="1">
        <v>10.112666666666666</v>
      </c>
      <c r="V79" s="1">
        <v>0.29987724323376397</v>
      </c>
      <c r="W79" s="1">
        <v>7.7195819855685494E-2</v>
      </c>
      <c r="X79" s="1">
        <v>0.36571235455993817</v>
      </c>
      <c r="Y79" s="1">
        <v>0.26156322492070255</v>
      </c>
      <c r="Z79" s="1">
        <v>15.147969462411195</v>
      </c>
      <c r="AA79" s="1">
        <v>19.247880410531014</v>
      </c>
      <c r="AB79" s="1">
        <v>1.0918306499701851</v>
      </c>
      <c r="AC79" s="1">
        <v>1.8793078995887109</v>
      </c>
    </row>
    <row r="80" spans="1:29">
      <c r="A80" s="1" t="s">
        <v>145</v>
      </c>
      <c r="B80" s="1">
        <v>1.2654000000000001</v>
      </c>
      <c r="C80" s="4">
        <f t="shared" si="9"/>
        <v>2.6484444444444448</v>
      </c>
      <c r="E80" s="4">
        <f t="shared" si="1"/>
        <v>0</v>
      </c>
      <c r="G80" s="4">
        <f t="shared" si="2"/>
        <v>0</v>
      </c>
      <c r="I80" s="4" t="str">
        <f t="shared" si="3"/>
        <v/>
      </c>
      <c r="K80" s="4">
        <f t="shared" si="4"/>
        <v>0</v>
      </c>
      <c r="L80" s="1">
        <v>0.123</v>
      </c>
      <c r="M80" s="4">
        <f t="shared" si="5"/>
        <v>0.70167532605238037</v>
      </c>
      <c r="N80" s="1">
        <v>0.1595</v>
      </c>
      <c r="O80" s="4">
        <f t="shared" si="6"/>
        <v>0.85754127621597498</v>
      </c>
      <c r="P80" s="1">
        <v>0.1123</v>
      </c>
      <c r="Q80" s="4">
        <f t="shared" si="7"/>
        <v>0.27057245080500897</v>
      </c>
      <c r="S80" s="4" t="str">
        <f t="shared" si="8"/>
        <v/>
      </c>
      <c r="T80" s="1" t="s">
        <v>145</v>
      </c>
      <c r="U80" s="1">
        <v>2.6484444444444448</v>
      </c>
      <c r="V80" s="1">
        <v>0</v>
      </c>
      <c r="W80" s="1">
        <v>0</v>
      </c>
      <c r="X80" s="1" t="s">
        <v>402</v>
      </c>
      <c r="Y80" s="1">
        <v>0</v>
      </c>
      <c r="Z80" s="1">
        <v>0.70167532605238037</v>
      </c>
      <c r="AA80" s="1">
        <v>0.85754127621597498</v>
      </c>
      <c r="AB80" s="1">
        <v>0.27057245080500897</v>
      </c>
      <c r="AC80" s="1" t="s">
        <v>402</v>
      </c>
    </row>
    <row r="81" spans="1:29">
      <c r="A81" s="1" t="s">
        <v>146</v>
      </c>
      <c r="B81" s="1">
        <v>7.6447000000000003</v>
      </c>
      <c r="C81" s="4">
        <f t="shared" si="9"/>
        <v>16.824666666666666</v>
      </c>
      <c r="D81" s="6">
        <v>7.6200000000000004E-2</v>
      </c>
      <c r="E81" s="4">
        <f t="shared" si="1"/>
        <v>4.4543169462793006E-2</v>
      </c>
      <c r="G81" s="4">
        <f t="shared" si="2"/>
        <v>0</v>
      </c>
      <c r="I81" s="4" t="str">
        <f t="shared" si="3"/>
        <v/>
      </c>
      <c r="J81" s="1">
        <v>0.16189999999999999</v>
      </c>
      <c r="K81" s="4">
        <f t="shared" si="4"/>
        <v>7.664630970979501E-2</v>
      </c>
      <c r="L81" s="1">
        <v>39.302900000000001</v>
      </c>
      <c r="M81" s="4">
        <f t="shared" si="5"/>
        <v>21.47354469303361</v>
      </c>
      <c r="N81" s="1">
        <v>6.7831000000000001</v>
      </c>
      <c r="O81" s="4">
        <f t="shared" si="6"/>
        <v>8.2466532797858108</v>
      </c>
      <c r="Q81" s="4" t="str">
        <f t="shared" si="7"/>
        <v/>
      </c>
      <c r="R81" s="1">
        <f>0.0771*2</f>
        <v>0.1542</v>
      </c>
      <c r="S81" s="4">
        <f t="shared" si="8"/>
        <v>1.8339242660615516</v>
      </c>
      <c r="T81" s="1" t="s">
        <v>146</v>
      </c>
      <c r="U81" s="1">
        <v>16.824666666666666</v>
      </c>
      <c r="V81" s="1">
        <v>4.4543169462793006E-2</v>
      </c>
      <c r="W81" s="1">
        <v>0</v>
      </c>
      <c r="X81" s="1" t="s">
        <v>402</v>
      </c>
      <c r="Y81" s="1">
        <v>7.664630970979501E-2</v>
      </c>
      <c r="Z81" s="1">
        <v>21.47354469303361</v>
      </c>
      <c r="AA81" s="1">
        <v>8.2466532797858108</v>
      </c>
      <c r="AB81" s="1" t="s">
        <v>402</v>
      </c>
      <c r="AC81" s="1">
        <v>1.8339242660615516</v>
      </c>
    </row>
    <row r="82" spans="1:29">
      <c r="A82" s="1" t="s">
        <v>147</v>
      </c>
      <c r="B82" s="1">
        <v>0.70350000000000001</v>
      </c>
      <c r="C82" s="4">
        <f t="shared" si="9"/>
        <v>1.3997777777777778</v>
      </c>
      <c r="D82" s="6"/>
      <c r="E82" s="4">
        <f t="shared" si="1"/>
        <v>0</v>
      </c>
      <c r="G82" s="4">
        <f t="shared" si="2"/>
        <v>0</v>
      </c>
      <c r="I82" s="4" t="str">
        <f t="shared" si="3"/>
        <v/>
      </c>
      <c r="K82" s="4">
        <f t="shared" si="4"/>
        <v>0</v>
      </c>
      <c r="L82" s="1">
        <v>6.6000000000000003E-2</v>
      </c>
      <c r="M82" s="4">
        <f t="shared" si="5"/>
        <v>0.67145583713285961</v>
      </c>
      <c r="N82" s="1">
        <v>9.8699999999999996E-2</v>
      </c>
      <c r="O82" s="4">
        <f t="shared" si="6"/>
        <v>0.78971441320838909</v>
      </c>
      <c r="Q82" s="4" t="str">
        <f t="shared" si="7"/>
        <v/>
      </c>
      <c r="S82" s="4" t="str">
        <f t="shared" si="8"/>
        <v/>
      </c>
      <c r="T82" s="1" t="s">
        <v>147</v>
      </c>
      <c r="U82" s="1">
        <v>1.3997777777777778</v>
      </c>
      <c r="V82" s="1">
        <v>0</v>
      </c>
      <c r="W82" s="1">
        <v>0</v>
      </c>
      <c r="X82" s="1" t="s">
        <v>402</v>
      </c>
      <c r="Y82" s="1">
        <v>0</v>
      </c>
      <c r="Z82" s="1">
        <v>0.67145583713285961</v>
      </c>
      <c r="AA82" s="1">
        <v>0.78971441320838909</v>
      </c>
      <c r="AB82" s="1" t="s">
        <v>402</v>
      </c>
      <c r="AC82" s="1" t="s">
        <v>402</v>
      </c>
    </row>
    <row r="83" spans="1:29">
      <c r="A83" s="1" t="s">
        <v>148</v>
      </c>
      <c r="B83" s="1">
        <v>3.7797999999999998</v>
      </c>
      <c r="C83" s="4">
        <f t="shared" si="9"/>
        <v>8.2359999999999989</v>
      </c>
      <c r="D83" s="6">
        <f>0.0125*2</f>
        <v>2.5000000000000001E-2</v>
      </c>
      <c r="E83" s="4">
        <f t="shared" si="1"/>
        <v>1.4613900742386157E-2</v>
      </c>
      <c r="G83" s="4">
        <f t="shared" si="2"/>
        <v>0</v>
      </c>
      <c r="I83" s="4" t="str">
        <f t="shared" si="3"/>
        <v/>
      </c>
      <c r="J83" s="1">
        <v>3.6799999999999999E-2</v>
      </c>
      <c r="K83" s="4">
        <f t="shared" si="4"/>
        <v>1.7421767741324624E-2</v>
      </c>
      <c r="L83" s="1">
        <v>22.850200000000001</v>
      </c>
      <c r="M83" s="4">
        <f t="shared" si="5"/>
        <v>12.750874774679248</v>
      </c>
      <c r="N83" s="1">
        <v>5.6874000000000002</v>
      </c>
      <c r="O83" s="4">
        <f t="shared" si="6"/>
        <v>7.0243195002231147</v>
      </c>
      <c r="Q83" s="4" t="str">
        <f t="shared" si="7"/>
        <v/>
      </c>
      <c r="S83" s="4" t="str">
        <f t="shared" si="8"/>
        <v/>
      </c>
      <c r="T83" s="1" t="s">
        <v>148</v>
      </c>
      <c r="U83" s="1">
        <v>8.2359999999999989</v>
      </c>
      <c r="V83" s="1">
        <v>1.4613900742386157E-2</v>
      </c>
      <c r="W83" s="1">
        <v>0</v>
      </c>
      <c r="X83" s="1" t="s">
        <v>402</v>
      </c>
      <c r="Y83" s="1">
        <v>1.7421767741324624E-2</v>
      </c>
      <c r="Z83" s="1">
        <v>12.750874774679248</v>
      </c>
      <c r="AA83" s="1">
        <v>7.0243195002231147</v>
      </c>
      <c r="AB83" s="1" t="s">
        <v>402</v>
      </c>
      <c r="AC83" s="1" t="s">
        <v>402</v>
      </c>
    </row>
    <row r="84" spans="1:29">
      <c r="A84" s="1" t="s">
        <v>149</v>
      </c>
      <c r="B84" s="1">
        <v>18.1404</v>
      </c>
      <c r="C84" s="4">
        <f t="shared" si="9"/>
        <v>40.439158687874091</v>
      </c>
      <c r="D84" s="6">
        <f>0.0267*2</f>
        <v>5.3400000000000003E-2</v>
      </c>
      <c r="E84" s="4">
        <f t="shared" si="1"/>
        <v>3.1215291985736832E-2</v>
      </c>
      <c r="F84" s="1">
        <v>0.40500000000000003</v>
      </c>
      <c r="G84" s="4">
        <f t="shared" si="2"/>
        <v>0.25192834038317991</v>
      </c>
      <c r="H84" s="1">
        <v>0.71130000000000004</v>
      </c>
      <c r="I84" s="4">
        <f t="shared" si="3"/>
        <v>0.42678511079998072</v>
      </c>
      <c r="J84" s="1">
        <v>0.80110000000000003</v>
      </c>
      <c r="K84" s="4">
        <f t="shared" si="4"/>
        <v>0.37925484069497706</v>
      </c>
      <c r="L84" s="1">
        <v>20.6066</v>
      </c>
      <c r="M84" s="4">
        <f t="shared" si="5"/>
        <v>11.561393277489129</v>
      </c>
      <c r="N84" s="1">
        <v>1.1516999999999999</v>
      </c>
      <c r="O84" s="4">
        <f t="shared" si="6"/>
        <v>1.9644132083891119</v>
      </c>
      <c r="Q84" s="4" t="str">
        <f t="shared" si="7"/>
        <v/>
      </c>
      <c r="R84" s="1">
        <f>0.9684*2</f>
        <v>1.9368000000000001</v>
      </c>
      <c r="S84" s="4">
        <f t="shared" si="8"/>
        <v>4.3620763012338681</v>
      </c>
      <c r="T84" s="1" t="s">
        <v>149</v>
      </c>
      <c r="U84" s="1">
        <v>40.439158687874091</v>
      </c>
      <c r="V84" s="1">
        <v>3.1215291985736832E-2</v>
      </c>
      <c r="W84" s="1">
        <v>0.25192834038317991</v>
      </c>
      <c r="X84" s="1">
        <v>0.42678511079998072</v>
      </c>
      <c r="Y84" s="1">
        <v>0.37925484069497706</v>
      </c>
      <c r="Z84" s="1">
        <v>11.561393277489129</v>
      </c>
      <c r="AA84" s="1">
        <v>1.9644132083891119</v>
      </c>
      <c r="AB84" s="1" t="s">
        <v>402</v>
      </c>
      <c r="AC84" s="1">
        <v>4.3620763012338681</v>
      </c>
    </row>
    <row r="85" spans="1:29">
      <c r="A85" s="1" t="s">
        <v>150</v>
      </c>
      <c r="B85" s="1">
        <f>7.2158*2</f>
        <v>14.4316</v>
      </c>
      <c r="C85" s="4">
        <f t="shared" si="9"/>
        <v>31.906666666666663</v>
      </c>
      <c r="D85" s="6">
        <f>0.0125*2</f>
        <v>2.5000000000000001E-2</v>
      </c>
      <c r="E85" s="4">
        <f t="shared" si="1"/>
        <v>1.4613900742386157E-2</v>
      </c>
      <c r="F85" s="1">
        <v>0.1789</v>
      </c>
      <c r="G85" s="4">
        <f t="shared" si="2"/>
        <v>0.11128390146802689</v>
      </c>
      <c r="H85" s="1">
        <v>1.0652999999999999</v>
      </c>
      <c r="I85" s="4">
        <f t="shared" si="3"/>
        <v>0.59769227055472407</v>
      </c>
      <c r="J85" s="1">
        <v>0.53239999999999998</v>
      </c>
      <c r="K85" s="4">
        <f t="shared" si="4"/>
        <v>0.25204753112720735</v>
      </c>
      <c r="L85" s="1">
        <v>58.4285</v>
      </c>
      <c r="M85" s="4">
        <f t="shared" si="5"/>
        <v>31.613296575124586</v>
      </c>
      <c r="N85" s="1">
        <v>9.6905999999999999</v>
      </c>
      <c r="O85" s="4">
        <f t="shared" si="6"/>
        <v>11.490182954038376</v>
      </c>
      <c r="Q85" s="4" t="str">
        <f t="shared" si="7"/>
        <v/>
      </c>
      <c r="R85" s="1">
        <f>0.1491*2</f>
        <v>0.29820000000000002</v>
      </c>
      <c r="S85" s="4">
        <f t="shared" si="8"/>
        <v>2.0381506169337684</v>
      </c>
      <c r="T85" s="1" t="s">
        <v>150</v>
      </c>
      <c r="U85" s="1">
        <v>31.906666666666663</v>
      </c>
      <c r="V85" s="1">
        <v>1.4613900742386157E-2</v>
      </c>
      <c r="W85" s="1">
        <v>0.11128390146802689</v>
      </c>
      <c r="X85" s="1">
        <v>0.59769227055472407</v>
      </c>
      <c r="Y85" s="1">
        <v>0.25204753112720735</v>
      </c>
      <c r="Z85" s="1">
        <v>31.613296575124586</v>
      </c>
      <c r="AA85" s="1">
        <v>11.490182954038376</v>
      </c>
      <c r="AB85" s="1" t="s">
        <v>402</v>
      </c>
      <c r="AC85" s="1">
        <v>2.0381506169337684</v>
      </c>
    </row>
    <row r="86" spans="1:29">
      <c r="A86" s="1" t="s">
        <v>151</v>
      </c>
      <c r="B86" s="1">
        <v>19.518999999999998</v>
      </c>
      <c r="C86" s="4">
        <f t="shared" si="9"/>
        <v>43.51237781022548</v>
      </c>
      <c r="E86" s="4">
        <f t="shared" si="1"/>
        <v>0</v>
      </c>
      <c r="F86" s="1">
        <v>2.3599999999999999E-2</v>
      </c>
      <c r="G86" s="4">
        <f t="shared" si="2"/>
        <v>1.4680268723563076E-2</v>
      </c>
      <c r="H86" s="1">
        <v>3.8899999999999997E-2</v>
      </c>
      <c r="I86" s="4">
        <f t="shared" si="3"/>
        <v>0.10215806498334379</v>
      </c>
      <c r="J86" s="1">
        <v>4.9700000000000001E-2</v>
      </c>
      <c r="K86" s="4">
        <f t="shared" si="4"/>
        <v>2.3528854802821571E-2</v>
      </c>
      <c r="L86" s="1">
        <v>0.71020000000000005</v>
      </c>
      <c r="M86" s="4">
        <f t="shared" si="5"/>
        <v>1.012989078570671</v>
      </c>
      <c r="N86" s="1">
        <v>0.88500000000000001</v>
      </c>
      <c r="O86" s="4">
        <f t="shared" si="6"/>
        <v>1.6668897813476127</v>
      </c>
      <c r="Q86" s="4" t="str">
        <f t="shared" si="7"/>
        <v/>
      </c>
      <c r="R86" s="1">
        <v>0.2036</v>
      </c>
      <c r="S86" s="4">
        <f t="shared" si="8"/>
        <v>1.9039852503191039</v>
      </c>
      <c r="T86" s="1" t="s">
        <v>151</v>
      </c>
      <c r="U86" s="1">
        <v>43.51237781022548</v>
      </c>
      <c r="V86" s="1">
        <v>0</v>
      </c>
      <c r="W86" s="1">
        <v>1.4680268723563076E-2</v>
      </c>
      <c r="X86" s="1">
        <v>0.10215806498334379</v>
      </c>
      <c r="Y86" s="1">
        <v>2.3528854802821571E-2</v>
      </c>
      <c r="Z86" s="1">
        <v>1.012989078570671</v>
      </c>
      <c r="AA86" s="1">
        <v>1.6668897813476127</v>
      </c>
      <c r="AB86" s="1" t="s">
        <v>402</v>
      </c>
      <c r="AC86" s="1">
        <v>1.9039852503191039</v>
      </c>
    </row>
    <row r="87" spans="1:29">
      <c r="A87" s="1" t="s">
        <v>152</v>
      </c>
      <c r="B87" s="1">
        <f>4.3797*2</f>
        <v>8.7593999999999994</v>
      </c>
      <c r="C87" s="4">
        <f t="shared" si="9"/>
        <v>19.301777777777776</v>
      </c>
      <c r="D87" s="6">
        <f>0.0124*2</f>
        <v>2.4799999999999999E-2</v>
      </c>
      <c r="E87" s="4">
        <f t="shared" si="1"/>
        <v>1.4496989536447067E-2</v>
      </c>
      <c r="F87" s="1">
        <v>0.1036</v>
      </c>
      <c r="G87" s="4">
        <f t="shared" si="2"/>
        <v>6.4443891515302318E-2</v>
      </c>
      <c r="H87" s="1">
        <v>0.79679999999999995</v>
      </c>
      <c r="I87" s="4">
        <f t="shared" si="3"/>
        <v>0.4680635349780331</v>
      </c>
      <c r="J87" s="1">
        <v>0.45739999999999997</v>
      </c>
      <c r="K87" s="4">
        <f t="shared" si="4"/>
        <v>0.21654121100222506</v>
      </c>
      <c r="L87" s="1">
        <v>22.9284</v>
      </c>
      <c r="M87" s="4">
        <f t="shared" si="5"/>
        <v>12.792333792810943</v>
      </c>
      <c r="N87" s="1">
        <v>2.3767</v>
      </c>
      <c r="O87" s="4">
        <f t="shared" si="6"/>
        <v>3.3309906291834004</v>
      </c>
      <c r="Q87" s="4" t="str">
        <f t="shared" si="7"/>
        <v/>
      </c>
      <c r="R87" s="1">
        <f>0.1671*2</f>
        <v>0.3342</v>
      </c>
      <c r="S87" s="4">
        <f t="shared" si="8"/>
        <v>2.0892072046518226</v>
      </c>
      <c r="T87" s="1" t="s">
        <v>152</v>
      </c>
      <c r="U87" s="1">
        <v>19.301777777777776</v>
      </c>
      <c r="V87" s="1">
        <v>1.4496989536447067E-2</v>
      </c>
      <c r="W87" s="1">
        <v>6.4443891515302318E-2</v>
      </c>
      <c r="X87" s="1">
        <v>0.4680635349780331</v>
      </c>
      <c r="Y87" s="1">
        <v>0.21654121100222506</v>
      </c>
      <c r="Z87" s="1">
        <v>12.792333792810943</v>
      </c>
      <c r="AA87" s="1">
        <v>3.3309906291834004</v>
      </c>
      <c r="AB87" s="1" t="s">
        <v>402</v>
      </c>
      <c r="AC87" s="1">
        <v>2.0892072046518226</v>
      </c>
    </row>
    <row r="88" spans="1:29">
      <c r="A88" s="1" t="s">
        <v>153</v>
      </c>
      <c r="B88" s="1">
        <v>18.178599999999999</v>
      </c>
      <c r="C88" s="4">
        <f t="shared" si="9"/>
        <v>40.524315347147137</v>
      </c>
      <c r="D88" s="6">
        <f>0.0101*2</f>
        <v>2.0199999999999999E-2</v>
      </c>
      <c r="E88" s="4">
        <f t="shared" si="1"/>
        <v>1.1808031799848014E-2</v>
      </c>
      <c r="F88" s="1">
        <v>7.1300000000000002E-2</v>
      </c>
      <c r="G88" s="4">
        <f t="shared" si="2"/>
        <v>4.4351828813137602E-2</v>
      </c>
      <c r="H88" s="1">
        <v>6.9000000000000006E-2</v>
      </c>
      <c r="I88" s="4">
        <f t="shared" si="3"/>
        <v>0.11669000144836576</v>
      </c>
      <c r="J88" s="1">
        <v>0.17749999999999999</v>
      </c>
      <c r="K88" s="4">
        <f t="shared" si="4"/>
        <v>8.4031624295791321E-2</v>
      </c>
      <c r="L88" s="1">
        <v>60.778100000000002</v>
      </c>
      <c r="M88" s="4">
        <f t="shared" si="5"/>
        <v>32.858975718375568</v>
      </c>
      <c r="N88" s="1">
        <v>29.496099999999998</v>
      </c>
      <c r="O88" s="4">
        <f t="shared" si="6"/>
        <v>33.58467202141901</v>
      </c>
      <c r="Q88" s="4" t="str">
        <f t="shared" si="7"/>
        <v/>
      </c>
      <c r="R88" s="1">
        <f>1.3374*2</f>
        <v>2.6747999999999998</v>
      </c>
      <c r="S88" s="4">
        <f t="shared" si="8"/>
        <v>5.408736349453978</v>
      </c>
      <c r="T88" s="1" t="s">
        <v>153</v>
      </c>
      <c r="U88" s="1">
        <v>40.524315347147137</v>
      </c>
      <c r="V88" s="1">
        <v>1.1808031799848014E-2</v>
      </c>
      <c r="W88" s="1">
        <v>4.4351828813137602E-2</v>
      </c>
      <c r="X88" s="1">
        <v>0.11669000144836576</v>
      </c>
      <c r="Y88" s="1">
        <v>8.4031624295791321E-2</v>
      </c>
      <c r="Z88" s="1">
        <v>32.858975718375568</v>
      </c>
      <c r="AA88" s="1">
        <v>33.58467202141901</v>
      </c>
      <c r="AB88" s="1" t="s">
        <v>402</v>
      </c>
      <c r="AC88" s="1">
        <v>5.408736349453978</v>
      </c>
    </row>
    <row r="89" spans="1:29">
      <c r="A89" s="1" t="s">
        <v>154</v>
      </c>
      <c r="B89" s="1">
        <f>0.2984*2</f>
        <v>0.5968</v>
      </c>
      <c r="C89" s="4">
        <f t="shared" si="9"/>
        <v>1.1626666666666667</v>
      </c>
      <c r="D89" s="1">
        <f>0.0543*2</f>
        <v>0.1086</v>
      </c>
      <c r="E89" s="4">
        <f t="shared" si="1"/>
        <v>6.3482784824925462E-2</v>
      </c>
      <c r="F89" s="1">
        <v>0.34620000000000001</v>
      </c>
      <c r="G89" s="4">
        <f t="shared" si="2"/>
        <v>0.21535207763125158</v>
      </c>
      <c r="H89" s="1">
        <v>0.77429999999999999</v>
      </c>
      <c r="I89" s="4">
        <f t="shared" si="3"/>
        <v>0.45720079177328249</v>
      </c>
      <c r="J89" s="1">
        <v>1.6762999999999999</v>
      </c>
      <c r="K89" s="4">
        <f t="shared" si="4"/>
        <v>0.79358992567343656</v>
      </c>
      <c r="L89" s="1">
        <v>101.15989999999999</v>
      </c>
      <c r="M89" s="4">
        <f t="shared" si="5"/>
        <v>54.268052168380869</v>
      </c>
      <c r="N89" s="1">
        <v>31.538499999999999</v>
      </c>
      <c r="O89" s="4">
        <f t="shared" si="6"/>
        <v>35.863119143239629</v>
      </c>
      <c r="Q89" s="4" t="str">
        <f t="shared" si="7"/>
        <v/>
      </c>
      <c r="R89" s="1">
        <f>0.2244*2</f>
        <v>0.44879999999999998</v>
      </c>
      <c r="S89" s="4">
        <f t="shared" si="8"/>
        <v>2.2517373422209617</v>
      </c>
      <c r="T89" s="1" t="s">
        <v>154</v>
      </c>
      <c r="U89" s="1">
        <v>1.1626666666666667</v>
      </c>
      <c r="V89" s="1">
        <v>6.3482784824925462E-2</v>
      </c>
      <c r="W89" s="1">
        <v>0.21535207763125158</v>
      </c>
      <c r="X89" s="1">
        <v>0.45720079177328249</v>
      </c>
      <c r="Y89" s="1">
        <v>0.79358992567343656</v>
      </c>
      <c r="Z89" s="1">
        <v>54.268052168380869</v>
      </c>
      <c r="AA89" s="1">
        <v>35.863119143239629</v>
      </c>
      <c r="AB89" s="1" t="s">
        <v>402</v>
      </c>
      <c r="AC89" s="1">
        <v>2.2517373422209617</v>
      </c>
    </row>
    <row r="90" spans="1:29">
      <c r="A90" s="1" t="s">
        <v>155</v>
      </c>
      <c r="B90" s="1">
        <v>14.235900000000001</v>
      </c>
      <c r="C90" s="4">
        <f t="shared" si="9"/>
        <v>31.471777777777778</v>
      </c>
      <c r="D90" s="6">
        <f>0.0056*2</f>
        <v>1.12E-2</v>
      </c>
      <c r="E90" s="4">
        <f t="shared" si="1"/>
        <v>6.5470275325889985E-3</v>
      </c>
      <c r="F90" s="1">
        <v>0.1021</v>
      </c>
      <c r="G90" s="4">
        <f t="shared" si="2"/>
        <v>6.3510823587957205E-2</v>
      </c>
      <c r="H90" s="1">
        <v>8.1600000000000006E-2</v>
      </c>
      <c r="I90" s="4">
        <f t="shared" si="3"/>
        <v>0.12277313764302611</v>
      </c>
      <c r="J90" s="1">
        <v>5.4399999999999997E-2</v>
      </c>
      <c r="K90" s="4">
        <f t="shared" si="4"/>
        <v>2.5753917530653789E-2</v>
      </c>
      <c r="L90" s="1">
        <v>58.683799999999998</v>
      </c>
      <c r="M90" s="4">
        <f t="shared" si="5"/>
        <v>31.748648075495701</v>
      </c>
      <c r="N90" s="1">
        <v>37.148499999999999</v>
      </c>
      <c r="O90" s="4">
        <f t="shared" si="6"/>
        <v>42.121485943775099</v>
      </c>
      <c r="P90" s="1">
        <v>0.77110000000000001</v>
      </c>
      <c r="Q90" s="4">
        <f t="shared" si="7"/>
        <v>1.2526833631484795</v>
      </c>
      <c r="R90" s="1">
        <v>1.4948999999999999</v>
      </c>
      <c r="S90" s="4">
        <f t="shared" si="8"/>
        <v>3.7353566869947525</v>
      </c>
      <c r="T90" s="1" t="s">
        <v>155</v>
      </c>
      <c r="U90" s="1">
        <v>31.471777777777778</v>
      </c>
      <c r="V90" s="1">
        <v>6.5470275325889985E-3</v>
      </c>
      <c r="W90" s="1">
        <v>6.3510823587957205E-2</v>
      </c>
      <c r="X90" s="1">
        <v>0.12277313764302611</v>
      </c>
      <c r="Y90" s="1">
        <v>2.5753917530653789E-2</v>
      </c>
      <c r="Z90" s="1">
        <v>31.748648075495701</v>
      </c>
      <c r="AA90" s="1">
        <v>42.121485943775099</v>
      </c>
      <c r="AB90" s="1">
        <v>1.2526833631484795</v>
      </c>
      <c r="AC90" s="1">
        <v>3.7353566869947525</v>
      </c>
    </row>
    <row r="91" spans="1:29">
      <c r="A91" s="1" t="s">
        <v>156</v>
      </c>
      <c r="B91" s="1">
        <f>5.3277*2</f>
        <v>10.6554</v>
      </c>
      <c r="C91" s="4">
        <f t="shared" si="9"/>
        <v>23.515111111111111</v>
      </c>
      <c r="D91" s="6">
        <f>0.0242*2</f>
        <v>4.8399999999999999E-2</v>
      </c>
      <c r="E91" s="4">
        <f t="shared" si="1"/>
        <v>2.8292511837259598E-2</v>
      </c>
      <c r="F91" s="1">
        <v>0.78680000000000005</v>
      </c>
      <c r="G91" s="4">
        <f t="shared" si="2"/>
        <v>0.48942523015675549</v>
      </c>
      <c r="H91" s="1">
        <v>0.2331</v>
      </c>
      <c r="I91" s="4">
        <f t="shared" si="3"/>
        <v>0.19591560855501378</v>
      </c>
      <c r="J91" s="1">
        <v>0.49509999999999998</v>
      </c>
      <c r="K91" s="4">
        <f t="shared" si="4"/>
        <v>0.23438905458504949</v>
      </c>
      <c r="L91" s="1">
        <v>49.069299999999998</v>
      </c>
      <c r="M91" s="4">
        <f t="shared" si="5"/>
        <v>26.651362527833736</v>
      </c>
      <c r="N91" s="1">
        <v>14.637499999999999</v>
      </c>
      <c r="O91" s="4">
        <f t="shared" si="6"/>
        <v>17.008813029897368</v>
      </c>
      <c r="Q91" s="4" t="str">
        <f t="shared" si="7"/>
        <v/>
      </c>
      <c r="R91" s="1">
        <f>0.3298*2</f>
        <v>0.65959999999999996</v>
      </c>
      <c r="S91" s="4">
        <f t="shared" si="8"/>
        <v>2.5507020280811235</v>
      </c>
      <c r="T91" s="1" t="s">
        <v>156</v>
      </c>
      <c r="U91" s="1">
        <v>23.515111111111111</v>
      </c>
      <c r="V91" s="1">
        <v>2.8292511837259598E-2</v>
      </c>
      <c r="W91" s="1">
        <v>0.48942523015675549</v>
      </c>
      <c r="X91" s="1">
        <v>0.19591560855501378</v>
      </c>
      <c r="Y91" s="1">
        <v>0.23438905458504949</v>
      </c>
      <c r="Z91" s="1">
        <v>26.651362527833736</v>
      </c>
      <c r="AA91" s="1">
        <v>17.008813029897368</v>
      </c>
      <c r="AB91" s="1" t="s">
        <v>402</v>
      </c>
      <c r="AC91" s="1">
        <v>2.5507020280811235</v>
      </c>
    </row>
    <row r="92" spans="1:29">
      <c r="A92" s="1" t="s">
        <v>157</v>
      </c>
      <c r="B92" s="1">
        <v>2.4485000000000001</v>
      </c>
      <c r="C92" s="4">
        <f t="shared" si="9"/>
        <v>5.2775555555555558</v>
      </c>
      <c r="D92" s="1">
        <v>0.1527</v>
      </c>
      <c r="E92" s="4">
        <f t="shared" si="1"/>
        <v>8.9261705734494642E-2</v>
      </c>
      <c r="F92" s="1">
        <v>7.4000000000000003E-3</v>
      </c>
      <c r="G92" s="4">
        <f t="shared" si="2"/>
        <v>4.6031351082358798E-3</v>
      </c>
      <c r="I92" s="4" t="str">
        <f t="shared" si="3"/>
        <v/>
      </c>
      <c r="K92" s="4">
        <f t="shared" si="4"/>
        <v>0</v>
      </c>
      <c r="L92" s="1">
        <v>0.53900000000000003</v>
      </c>
      <c r="M92" s="4">
        <f t="shared" si="5"/>
        <v>0.92222457851765449</v>
      </c>
      <c r="N92" s="1">
        <v>0.48459999999999998</v>
      </c>
      <c r="O92" s="4">
        <f t="shared" si="6"/>
        <v>1.220214190093708</v>
      </c>
      <c r="Q92" s="4" t="str">
        <f t="shared" si="7"/>
        <v/>
      </c>
      <c r="S92" s="4" t="str">
        <f t="shared" si="8"/>
        <v/>
      </c>
      <c r="T92" s="1" t="s">
        <v>157</v>
      </c>
      <c r="U92" s="1">
        <v>5.2775555555555558</v>
      </c>
      <c r="V92" s="1">
        <v>8.9261705734494642E-2</v>
      </c>
      <c r="W92" s="1">
        <v>4.6031351082358798E-3</v>
      </c>
      <c r="X92" s="1" t="s">
        <v>402</v>
      </c>
      <c r="Y92" s="1">
        <v>0</v>
      </c>
      <c r="Z92" s="1">
        <v>0.92222457851765449</v>
      </c>
      <c r="AA92" s="1">
        <v>1.220214190093708</v>
      </c>
      <c r="AB92" s="1" t="s">
        <v>402</v>
      </c>
      <c r="AC92" s="1" t="s">
        <v>402</v>
      </c>
    </row>
    <row r="93" spans="1:29">
      <c r="A93" s="1" t="s">
        <v>159</v>
      </c>
      <c r="B93" s="1">
        <v>1.1541999999999999</v>
      </c>
      <c r="C93" s="4">
        <f t="shared" si="9"/>
        <v>2.4013333333333331</v>
      </c>
      <c r="D93" s="1">
        <v>0.36220000000000002</v>
      </c>
      <c r="E93" s="4">
        <f t="shared" si="1"/>
        <v>0.21172619395569064</v>
      </c>
      <c r="F93" s="1">
        <v>2.1700000000000001E-2</v>
      </c>
      <c r="G93" s="4">
        <f t="shared" si="2"/>
        <v>1.349838268225927E-2</v>
      </c>
      <c r="H93" s="1">
        <v>7.9899999999999999E-2</v>
      </c>
      <c r="I93" s="4">
        <f t="shared" si="3"/>
        <v>0.12195239704533385</v>
      </c>
      <c r="J93" s="1">
        <v>0.16980000000000001</v>
      </c>
      <c r="K93" s="4">
        <f t="shared" si="4"/>
        <v>8.038630876295981E-2</v>
      </c>
      <c r="L93" s="1">
        <v>2.2383000000000002</v>
      </c>
      <c r="M93" s="4">
        <f t="shared" si="5"/>
        <v>1.8231364648499628</v>
      </c>
      <c r="N93" s="1">
        <v>0.68210000000000004</v>
      </c>
      <c r="O93" s="4">
        <f t="shared" si="6"/>
        <v>1.4405399375278896</v>
      </c>
      <c r="Q93" s="4" t="str">
        <f t="shared" si="7"/>
        <v/>
      </c>
      <c r="S93" s="4" t="str">
        <f t="shared" si="8"/>
        <v/>
      </c>
      <c r="T93" s="1" t="s">
        <v>159</v>
      </c>
      <c r="U93" s="1">
        <v>2.4013333333333331</v>
      </c>
      <c r="V93" s="1">
        <v>0.21172619395569064</v>
      </c>
      <c r="W93" s="1">
        <v>1.349838268225927E-2</v>
      </c>
      <c r="X93" s="1">
        <v>0.12195239704533385</v>
      </c>
      <c r="Y93" s="1">
        <v>8.038630876295981E-2</v>
      </c>
      <c r="Z93" s="1">
        <v>1.8231364648499628</v>
      </c>
      <c r="AA93" s="1">
        <v>1.4405399375278896</v>
      </c>
      <c r="AB93" s="1" t="s">
        <v>402</v>
      </c>
      <c r="AC93" s="1" t="s">
        <v>402</v>
      </c>
    </row>
    <row r="94" spans="1:29">
      <c r="A94" s="1" t="s">
        <v>160</v>
      </c>
      <c r="B94" s="1">
        <v>9.9811999999999994</v>
      </c>
      <c r="C94" s="4">
        <f t="shared" si="9"/>
        <v>22.016888888888886</v>
      </c>
      <c r="E94" s="4">
        <f t="shared" si="1"/>
        <v>0</v>
      </c>
      <c r="G94" s="4">
        <f t="shared" si="2"/>
        <v>0</v>
      </c>
      <c r="I94" s="4" t="str">
        <f t="shared" si="3"/>
        <v/>
      </c>
      <c r="K94" s="4">
        <f t="shared" si="4"/>
        <v>0</v>
      </c>
      <c r="L94" s="1">
        <v>1.2521</v>
      </c>
      <c r="M94" s="4">
        <f t="shared" si="5"/>
        <v>1.3002862898950269</v>
      </c>
      <c r="N94" s="1">
        <v>0.68300000000000005</v>
      </c>
      <c r="O94" s="4">
        <f t="shared" si="6"/>
        <v>1.4415439535921464</v>
      </c>
      <c r="Q94" s="4" t="str">
        <f t="shared" si="7"/>
        <v/>
      </c>
      <c r="R94" s="1">
        <f>0.1296*2</f>
        <v>0.25919999999999999</v>
      </c>
      <c r="S94" s="4">
        <f t="shared" si="8"/>
        <v>1.9828393135725428</v>
      </c>
      <c r="T94" s="1" t="s">
        <v>160</v>
      </c>
      <c r="U94" s="1">
        <v>22.016888888888886</v>
      </c>
      <c r="V94" s="1">
        <v>0</v>
      </c>
      <c r="W94" s="1">
        <v>0</v>
      </c>
      <c r="X94" s="1" t="s">
        <v>402</v>
      </c>
      <c r="Y94" s="1">
        <v>0</v>
      </c>
      <c r="Z94" s="1">
        <v>1.3002862898950269</v>
      </c>
      <c r="AA94" s="1">
        <v>1.4415439535921464</v>
      </c>
      <c r="AB94" s="1" t="s">
        <v>402</v>
      </c>
      <c r="AC94" s="1">
        <v>1.9828393135725428</v>
      </c>
    </row>
    <row r="95" spans="1:29">
      <c r="A95" s="1" t="s">
        <v>161</v>
      </c>
      <c r="B95" s="1">
        <v>2.5956000000000001</v>
      </c>
      <c r="C95" s="4">
        <f t="shared" si="9"/>
        <v>5.6044444444444448</v>
      </c>
      <c r="E95" s="4">
        <f t="shared" si="1"/>
        <v>0</v>
      </c>
      <c r="G95" s="4">
        <f t="shared" si="2"/>
        <v>0</v>
      </c>
      <c r="I95" s="4" t="str">
        <f t="shared" si="3"/>
        <v/>
      </c>
      <c r="K95" s="4">
        <f t="shared" si="4"/>
        <v>0</v>
      </c>
      <c r="L95" s="1">
        <v>7.8929</v>
      </c>
      <c r="M95" s="4">
        <f t="shared" si="5"/>
        <v>4.8210157989608726</v>
      </c>
      <c r="N95" s="1">
        <v>1.1701999999999999</v>
      </c>
      <c r="O95" s="4">
        <f t="shared" si="6"/>
        <v>1.9850513163766175</v>
      </c>
      <c r="Q95" s="4" t="str">
        <f t="shared" si="7"/>
        <v/>
      </c>
      <c r="R95" s="1">
        <f>0.4691*2</f>
        <v>0.93820000000000003</v>
      </c>
      <c r="S95" s="4">
        <f t="shared" si="8"/>
        <v>2.9458232874769541</v>
      </c>
      <c r="T95" s="1" t="s">
        <v>161</v>
      </c>
      <c r="U95" s="1">
        <v>5.6044444444444448</v>
      </c>
      <c r="V95" s="1">
        <v>0</v>
      </c>
      <c r="W95" s="1">
        <v>0</v>
      </c>
      <c r="X95" s="1" t="s">
        <v>402</v>
      </c>
      <c r="Y95" s="1">
        <v>0</v>
      </c>
      <c r="Z95" s="1">
        <v>4.8210157989608726</v>
      </c>
      <c r="AA95" s="1">
        <v>1.9850513163766175</v>
      </c>
      <c r="AB95" s="1" t="s">
        <v>402</v>
      </c>
      <c r="AC95" s="1">
        <v>2.9458232874769541</v>
      </c>
    </row>
    <row r="96" spans="1:29">
      <c r="A96" s="1" t="s">
        <v>162</v>
      </c>
      <c r="B96" s="1">
        <v>7.7972000000000001</v>
      </c>
      <c r="C96" s="4">
        <f t="shared" ref="C96:C102" si="10">IF(AND(B96&gt;=$B$3,B96&lt;=$B$6),(B96-0.0736)/0.45,IF(B96&lt;$B$3,B96/$B$3*$A$3,B96/$B$6*$A$6))</f>
        <v>17.163555555555554</v>
      </c>
      <c r="E96" s="4">
        <f t="shared" si="1"/>
        <v>0</v>
      </c>
      <c r="F96" s="1">
        <v>5.4999999999999997E-3</v>
      </c>
      <c r="G96" s="4">
        <f t="shared" si="2"/>
        <v>3.4212490669320726E-3</v>
      </c>
      <c r="H96" s="1">
        <v>2.5700000000000001E-2</v>
      </c>
      <c r="I96" s="4">
        <f t="shared" si="3"/>
        <v>9.5785255636556751E-2</v>
      </c>
      <c r="K96" s="4">
        <f t="shared" si="4"/>
        <v>0</v>
      </c>
      <c r="L96" s="1">
        <v>4.4851000000000001</v>
      </c>
      <c r="M96" s="4">
        <f t="shared" si="5"/>
        <v>3.0143144947513516</v>
      </c>
      <c r="N96" s="1">
        <v>3.9455</v>
      </c>
      <c r="O96" s="4">
        <f t="shared" si="6"/>
        <v>5.0811021865238741</v>
      </c>
      <c r="Q96" s="4" t="str">
        <f t="shared" si="7"/>
        <v/>
      </c>
      <c r="S96" s="4" t="str">
        <f t="shared" si="8"/>
        <v/>
      </c>
      <c r="T96" s="1" t="s">
        <v>162</v>
      </c>
      <c r="U96" s="1">
        <v>17.163555555555554</v>
      </c>
      <c r="V96" s="1">
        <v>0</v>
      </c>
      <c r="W96" s="1">
        <v>3.4212490669320726E-3</v>
      </c>
      <c r="X96" s="1">
        <v>9.5785255636556751E-2</v>
      </c>
      <c r="Y96" s="1">
        <v>0</v>
      </c>
      <c r="Z96" s="1">
        <v>3.0143144947513516</v>
      </c>
      <c r="AA96" s="1">
        <v>5.0811021865238741</v>
      </c>
      <c r="AB96" s="1" t="s">
        <v>402</v>
      </c>
      <c r="AC96" s="1" t="s">
        <v>402</v>
      </c>
    </row>
    <row r="97" spans="1:29">
      <c r="A97" s="1" t="s">
        <v>163</v>
      </c>
      <c r="B97" s="1">
        <v>3.2696000000000001</v>
      </c>
      <c r="C97" s="4">
        <f t="shared" si="10"/>
        <v>7.1022222222222222</v>
      </c>
      <c r="E97" s="4">
        <f t="shared" ref="E97:E102" si="11">IF(AND(D97&gt;=$D$4,D97&lt;=$D$7),(D97-0.5765)/1.305,IF(D97&lt;$D$4,D97/$D$4*$C$4,D97/$D$7*$C$7))</f>
        <v>0</v>
      </c>
      <c r="F97" s="1">
        <v>3.6499999999999998E-2</v>
      </c>
      <c r="G97" s="4">
        <f t="shared" ref="G97:G102" si="12">IF(AND(F97&gt;=$F$4,F97&lt;=$F$7),(F97-0.3557)/1.3481,IF(F97&lt;$F$4,F97/$F$4*$E$4,F97/$F$7*$E$7))</f>
        <v>2.2704652898731026E-2</v>
      </c>
      <c r="H97" s="1">
        <v>0.13800000000000001</v>
      </c>
      <c r="I97" s="4">
        <f t="shared" ref="I97:I102" si="13">IF(H97,(H97+0.1727)/2.0713,"")</f>
        <v>0.15000241394293437</v>
      </c>
      <c r="J97" s="1">
        <v>0.21579999999999999</v>
      </c>
      <c r="K97" s="4">
        <f t="shared" ref="K97:K102" si="14">IF(AND(J97&gt;=$J$4,J97&lt;=$J$7),(J97-0.3234)/1.9761,IF(J97&lt;$J$4,J97/$J$4*$I$4,J97/$J$7*$I$7))</f>
        <v>0.10216351843961559</v>
      </c>
      <c r="L97" s="1">
        <v>19.431899999999999</v>
      </c>
      <c r="M97" s="4">
        <f t="shared" ref="M97:M102" si="15">IF(L97,(L97+1.2005)/1.8862,"")</f>
        <v>10.938606722510865</v>
      </c>
      <c r="N97" s="1">
        <v>3.5714000000000001</v>
      </c>
      <c r="O97" s="4">
        <f t="shared" ref="O97:O102" si="16">IF(N97,(N97+0.6092)/0.8964,"")</f>
        <v>4.6637661758143691</v>
      </c>
      <c r="Q97" s="4" t="str">
        <f t="shared" ref="Q97:Q102" si="17">IF(P97,(P97+0.0692)/0.6708,"")</f>
        <v/>
      </c>
      <c r="S97" s="4" t="str">
        <f t="shared" ref="S97:S102" si="18">IF(R97,(R97+1.1389)/0.7051,"")</f>
        <v/>
      </c>
      <c r="T97" s="1" t="s">
        <v>163</v>
      </c>
      <c r="U97" s="1">
        <v>7.1022222222222222</v>
      </c>
      <c r="V97" s="1">
        <v>0</v>
      </c>
      <c r="W97" s="1">
        <v>2.2704652898731026E-2</v>
      </c>
      <c r="X97" s="1">
        <v>0.15000241394293437</v>
      </c>
      <c r="Y97" s="1">
        <v>0.10216351843961559</v>
      </c>
      <c r="Z97" s="1">
        <v>10.938606722510865</v>
      </c>
      <c r="AA97" s="1">
        <v>4.6637661758143691</v>
      </c>
      <c r="AB97" s="1" t="s">
        <v>402</v>
      </c>
      <c r="AC97" s="1" t="s">
        <v>402</v>
      </c>
    </row>
    <row r="98" spans="1:29">
      <c r="A98" s="1" t="s">
        <v>165</v>
      </c>
      <c r="B98" s="1">
        <f>0.0362*2</f>
        <v>7.2400000000000006E-2</v>
      </c>
      <c r="C98" s="4">
        <f t="shared" si="10"/>
        <v>0.34435196195005952</v>
      </c>
      <c r="D98" s="6">
        <v>3.1600000000000003E-2</v>
      </c>
      <c r="E98" s="4">
        <f t="shared" si="11"/>
        <v>1.8471970538376105E-2</v>
      </c>
      <c r="F98" s="1">
        <v>0.12559999999999999</v>
      </c>
      <c r="G98" s="4">
        <f t="shared" si="12"/>
        <v>7.8128887783030607E-2</v>
      </c>
      <c r="H98" s="1">
        <v>0.52900000000000003</v>
      </c>
      <c r="I98" s="4">
        <f t="shared" si="13"/>
        <v>0.33877275141215663</v>
      </c>
      <c r="J98" s="1">
        <v>0.20380000000000001</v>
      </c>
      <c r="K98" s="4">
        <f t="shared" si="14"/>
        <v>9.6482507219618444E-2</v>
      </c>
      <c r="L98" s="1">
        <v>55.790199999999999</v>
      </c>
      <c r="M98" s="4">
        <f t="shared" si="15"/>
        <v>30.214558371328593</v>
      </c>
      <c r="N98" s="1">
        <v>3.0642999999999998</v>
      </c>
      <c r="O98" s="4">
        <f t="shared" si="16"/>
        <v>4.0980589022757696</v>
      </c>
      <c r="Q98" s="4" t="str">
        <f t="shared" si="17"/>
        <v/>
      </c>
      <c r="S98" s="4" t="str">
        <f t="shared" si="18"/>
        <v/>
      </c>
      <c r="T98" s="1" t="s">
        <v>165</v>
      </c>
      <c r="U98" s="1">
        <v>0.34435196195005952</v>
      </c>
      <c r="V98" s="1">
        <v>1.8471970538376105E-2</v>
      </c>
      <c r="W98" s="1">
        <v>7.8128887783030607E-2</v>
      </c>
      <c r="X98" s="1">
        <v>0.33877275141215663</v>
      </c>
      <c r="Y98" s="1">
        <v>9.6482507219618444E-2</v>
      </c>
      <c r="Z98" s="1">
        <v>30.214558371328593</v>
      </c>
      <c r="AA98" s="1">
        <v>4.0980589022757696</v>
      </c>
      <c r="AB98" s="1" t="s">
        <v>402</v>
      </c>
      <c r="AC98" s="1" t="s">
        <v>402</v>
      </c>
    </row>
    <row r="99" spans="1:29">
      <c r="A99" s="1" t="s">
        <v>166</v>
      </c>
      <c r="B99" s="1">
        <v>7.8773999999999997</v>
      </c>
      <c r="C99" s="4">
        <f t="shared" si="10"/>
        <v>17.341777777777779</v>
      </c>
      <c r="D99" s="6"/>
      <c r="E99" s="4">
        <f t="shared" si="11"/>
        <v>0</v>
      </c>
      <c r="G99" s="4">
        <f t="shared" si="12"/>
        <v>0</v>
      </c>
      <c r="I99" s="4" t="str">
        <f t="shared" si="13"/>
        <v/>
      </c>
      <c r="K99" s="4">
        <f t="shared" si="14"/>
        <v>0</v>
      </c>
      <c r="L99" s="1">
        <v>2.2496999999999998</v>
      </c>
      <c r="M99" s="4">
        <f t="shared" si="15"/>
        <v>1.8291803626338667</v>
      </c>
      <c r="N99" s="1">
        <v>1.3547</v>
      </c>
      <c r="O99" s="4">
        <f t="shared" si="16"/>
        <v>2.1908746095493083</v>
      </c>
      <c r="Q99" s="4" t="str">
        <f t="shared" si="17"/>
        <v/>
      </c>
      <c r="S99" s="4" t="str">
        <f t="shared" si="18"/>
        <v/>
      </c>
      <c r="T99" s="1" t="s">
        <v>166</v>
      </c>
      <c r="U99" s="1">
        <v>17.341777777777779</v>
      </c>
      <c r="V99" s="1">
        <v>0</v>
      </c>
      <c r="W99" s="1">
        <v>0</v>
      </c>
      <c r="X99" s="1" t="s">
        <v>402</v>
      </c>
      <c r="Y99" s="1">
        <v>0</v>
      </c>
      <c r="Z99" s="1">
        <v>1.8291803626338667</v>
      </c>
      <c r="AA99" s="1">
        <v>2.1908746095493083</v>
      </c>
      <c r="AB99" s="1" t="s">
        <v>402</v>
      </c>
      <c r="AC99" s="1" t="s">
        <v>402</v>
      </c>
    </row>
    <row r="100" spans="1:29">
      <c r="A100" s="1" t="s">
        <v>167</v>
      </c>
      <c r="B100" s="1">
        <v>2.4045000000000001</v>
      </c>
      <c r="C100" s="4">
        <f t="shared" si="10"/>
        <v>5.1797777777777778</v>
      </c>
      <c r="D100" s="6">
        <v>3.8600000000000002E-2</v>
      </c>
      <c r="E100" s="4">
        <f t="shared" si="11"/>
        <v>2.2563862746244227E-2</v>
      </c>
      <c r="F100" s="1">
        <v>2.3699999999999999E-2</v>
      </c>
      <c r="G100" s="4">
        <f t="shared" si="12"/>
        <v>1.4742473252052749E-2</v>
      </c>
      <c r="H100" s="1">
        <v>1.01E-2</v>
      </c>
      <c r="I100" s="4">
        <f t="shared" si="13"/>
        <v>8.8253753681262967E-2</v>
      </c>
      <c r="K100" s="4">
        <f t="shared" si="14"/>
        <v>0</v>
      </c>
      <c r="L100" s="1">
        <v>5.1569000000000003</v>
      </c>
      <c r="M100" s="4">
        <f t="shared" si="15"/>
        <v>3.3704803308238787</v>
      </c>
      <c r="N100" s="1">
        <v>1.147</v>
      </c>
      <c r="O100" s="4">
        <f t="shared" si="16"/>
        <v>1.9591700133868808</v>
      </c>
      <c r="Q100" s="4" t="str">
        <f t="shared" si="17"/>
        <v/>
      </c>
      <c r="S100" s="4" t="str">
        <f t="shared" si="18"/>
        <v/>
      </c>
      <c r="T100" s="1" t="s">
        <v>167</v>
      </c>
      <c r="U100" s="1">
        <v>5.1797777777777778</v>
      </c>
      <c r="V100" s="1">
        <v>2.2563862746244227E-2</v>
      </c>
      <c r="W100" s="1">
        <v>1.4742473252052749E-2</v>
      </c>
      <c r="X100" s="1">
        <v>8.8253753681262967E-2</v>
      </c>
      <c r="Y100" s="1">
        <v>0</v>
      </c>
      <c r="Z100" s="1">
        <v>3.3704803308238787</v>
      </c>
      <c r="AA100" s="1">
        <v>1.9591700133868808</v>
      </c>
      <c r="AB100" s="1" t="s">
        <v>402</v>
      </c>
      <c r="AC100" s="1" t="s">
        <v>402</v>
      </c>
    </row>
    <row r="101" spans="1:29">
      <c r="A101" s="1" t="s">
        <v>168</v>
      </c>
      <c r="B101" s="1">
        <v>3.1867000000000001</v>
      </c>
      <c r="C101" s="4">
        <f t="shared" si="10"/>
        <v>6.9180000000000001</v>
      </c>
      <c r="E101" s="4">
        <f t="shared" si="11"/>
        <v>0</v>
      </c>
      <c r="G101" s="4">
        <f t="shared" si="12"/>
        <v>0</v>
      </c>
      <c r="I101" s="4" t="str">
        <f t="shared" si="13"/>
        <v/>
      </c>
      <c r="K101" s="4">
        <f t="shared" si="14"/>
        <v>0</v>
      </c>
      <c r="L101" s="1">
        <v>1.2258</v>
      </c>
      <c r="M101" s="4">
        <f t="shared" si="15"/>
        <v>1.2863429116742655</v>
      </c>
      <c r="N101" s="1">
        <v>8.8099999999999998E-2</v>
      </c>
      <c r="O101" s="4">
        <f t="shared" si="16"/>
        <v>0.77788933511825076</v>
      </c>
      <c r="Q101" s="4" t="str">
        <f t="shared" si="17"/>
        <v/>
      </c>
      <c r="S101" s="4" t="str">
        <f t="shared" si="18"/>
        <v/>
      </c>
      <c r="T101" s="1" t="s">
        <v>168</v>
      </c>
      <c r="U101" s="1">
        <v>6.9180000000000001</v>
      </c>
      <c r="V101" s="1">
        <v>0</v>
      </c>
      <c r="W101" s="1">
        <v>0</v>
      </c>
      <c r="X101" s="1" t="s">
        <v>402</v>
      </c>
      <c r="Y101" s="1">
        <v>0</v>
      </c>
      <c r="Z101" s="1">
        <v>1.2863429116742655</v>
      </c>
      <c r="AA101" s="1">
        <v>0.77788933511825076</v>
      </c>
      <c r="AB101" s="1" t="s">
        <v>402</v>
      </c>
      <c r="AC101" s="1" t="s">
        <v>402</v>
      </c>
    </row>
    <row r="102" spans="1:29">
      <c r="A102" s="1" t="s">
        <v>169</v>
      </c>
      <c r="B102" s="1">
        <v>0.8427</v>
      </c>
      <c r="C102" s="4">
        <f t="shared" si="10"/>
        <v>1.709111111111111</v>
      </c>
      <c r="E102" s="4">
        <f t="shared" si="11"/>
        <v>0</v>
      </c>
      <c r="F102" s="1">
        <v>1.1599999999999999E-2</v>
      </c>
      <c r="G102" s="4">
        <f t="shared" si="12"/>
        <v>7.2157253048021897E-3</v>
      </c>
      <c r="H102" s="1">
        <v>7.0999999999999994E-2</v>
      </c>
      <c r="I102" s="4">
        <f t="shared" si="13"/>
        <v>0.11765557862212137</v>
      </c>
      <c r="J102" s="1">
        <v>9.69E-2</v>
      </c>
      <c r="K102" s="4">
        <f t="shared" si="14"/>
        <v>4.5874165601477064E-2</v>
      </c>
      <c r="L102" s="1">
        <v>8.0632000000000001</v>
      </c>
      <c r="M102" s="4">
        <f t="shared" si="15"/>
        <v>4.9113031491888455</v>
      </c>
      <c r="N102" s="1">
        <v>0.314</v>
      </c>
      <c r="O102" s="4">
        <f t="shared" si="16"/>
        <v>1.0298973672467648</v>
      </c>
      <c r="Q102" s="4" t="str">
        <f t="shared" si="17"/>
        <v/>
      </c>
      <c r="S102" s="4" t="str">
        <f t="shared" si="18"/>
        <v/>
      </c>
      <c r="T102" s="1" t="s">
        <v>169</v>
      </c>
      <c r="U102" s="1">
        <v>1.709111111111111</v>
      </c>
      <c r="V102" s="1">
        <v>0</v>
      </c>
      <c r="W102" s="1">
        <v>7.2157253048021897E-3</v>
      </c>
      <c r="X102" s="1">
        <v>0.11765557862212137</v>
      </c>
      <c r="Y102" s="1">
        <v>4.5874165601477064E-2</v>
      </c>
      <c r="Z102" s="1">
        <v>4.9113031491888455</v>
      </c>
      <c r="AA102" s="1">
        <v>1.0298973672467648</v>
      </c>
      <c r="AB102" s="1" t="s">
        <v>402</v>
      </c>
      <c r="AC102" s="1" t="s">
        <v>402</v>
      </c>
    </row>
  </sheetData>
  <sortState xmlns:xlrd2="http://schemas.microsoft.com/office/spreadsheetml/2017/richdata2" ref="I2:N288">
    <sortCondition ref="M2:M288"/>
    <sortCondition ref="I2:I288"/>
  </sortState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91"/>
  <sheetViews>
    <sheetView zoomScale="75" workbookViewId="0">
      <selection activeCell="E11" sqref="E11"/>
    </sheetView>
  </sheetViews>
  <sheetFormatPr defaultColWidth="9.08984375" defaultRowHeight="14.5"/>
  <cols>
    <col min="1" max="1" width="12.453125" style="1" bestFit="1" customWidth="1"/>
    <col min="2" max="2" width="7.54296875" style="1" bestFit="1" customWidth="1"/>
    <col min="3" max="3" width="12.453125" style="1" bestFit="1" customWidth="1"/>
    <col min="4" max="4" width="7.54296875" style="1" bestFit="1" customWidth="1"/>
    <col min="5" max="5" width="12.453125" style="1" bestFit="1" customWidth="1"/>
    <col min="6" max="6" width="7.54296875" style="1" bestFit="1" customWidth="1"/>
    <col min="7" max="7" width="12.453125" style="1" bestFit="1" customWidth="1"/>
    <col min="8" max="8" width="8.54296875" style="1" bestFit="1" customWidth="1"/>
    <col min="9" max="9" width="12.453125" style="1" bestFit="1" customWidth="1"/>
    <col min="10" max="10" width="7.54296875" style="1" bestFit="1" customWidth="1"/>
    <col min="11" max="11" width="12.453125" style="1" bestFit="1" customWidth="1"/>
    <col min="12" max="12" width="8.54296875" style="1" bestFit="1" customWidth="1"/>
    <col min="13" max="13" width="12.453125" style="1" bestFit="1" customWidth="1"/>
    <col min="14" max="14" width="11.81640625" style="1" bestFit="1" customWidth="1"/>
    <col min="15" max="15" width="12.453125" style="1" bestFit="1" customWidth="1"/>
    <col min="16" max="16" width="8.54296875" style="1" bestFit="1" customWidth="1"/>
    <col min="17" max="17" width="12.453125" style="1" bestFit="1" customWidth="1"/>
    <col min="18" max="18" width="8.54296875" style="1" bestFit="1" customWidth="1"/>
    <col min="19" max="19" width="12.453125" style="1" bestFit="1" customWidth="1"/>
    <col min="20" max="20" width="14.453125" style="1" bestFit="1" customWidth="1"/>
    <col min="21" max="21" width="16.453125" style="1" bestFit="1" customWidth="1"/>
    <col min="22" max="24" width="12.54296875" style="1" bestFit="1" customWidth="1"/>
    <col min="25" max="25" width="12.08984375" style="1" bestFit="1" customWidth="1"/>
    <col min="26" max="26" width="12.54296875" style="1" bestFit="1" customWidth="1"/>
    <col min="27" max="27" width="12.08984375" style="1" bestFit="1" customWidth="1"/>
    <col min="28" max="28" width="12.54296875" style="1" bestFit="1" customWidth="1"/>
    <col min="29" max="29" width="12.08984375" style="1" bestFit="1" customWidth="1"/>
    <col min="30" max="30" width="12.54296875" style="1" bestFit="1" customWidth="1"/>
    <col min="31" max="31" width="7.54296875" style="1" bestFit="1" customWidth="1"/>
    <col min="32" max="16384" width="9.08984375" style="1"/>
  </cols>
  <sheetData>
    <row r="1" spans="1:30">
      <c r="A1" s="1" t="s">
        <v>406</v>
      </c>
      <c r="C1" s="1" t="s">
        <v>407</v>
      </c>
      <c r="E1" s="1" t="s">
        <v>408</v>
      </c>
      <c r="G1" s="1" t="s">
        <v>409</v>
      </c>
      <c r="I1" s="1" t="s">
        <v>451</v>
      </c>
      <c r="K1" s="1" t="s">
        <v>411</v>
      </c>
      <c r="M1" s="1" t="s">
        <v>412</v>
      </c>
      <c r="O1" s="1" t="s">
        <v>413</v>
      </c>
      <c r="Q1" s="1" t="s">
        <v>414</v>
      </c>
      <c r="S1" s="1" t="s">
        <v>448</v>
      </c>
      <c r="U1" s="1" t="s">
        <v>415</v>
      </c>
      <c r="W1" s="1" t="s">
        <v>416</v>
      </c>
    </row>
    <row r="2" spans="1:30" ht="29">
      <c r="A2" s="1" t="s">
        <v>447</v>
      </c>
      <c r="B2" s="1" t="s">
        <v>446</v>
      </c>
      <c r="C2" s="1" t="s">
        <v>447</v>
      </c>
      <c r="D2" s="1" t="s">
        <v>446</v>
      </c>
      <c r="E2" s="1" t="s">
        <v>447</v>
      </c>
      <c r="F2" s="1" t="s">
        <v>446</v>
      </c>
      <c r="G2" s="1" t="s">
        <v>447</v>
      </c>
      <c r="H2" s="1" t="s">
        <v>446</v>
      </c>
      <c r="I2" s="1" t="s">
        <v>447</v>
      </c>
      <c r="J2" s="1" t="s">
        <v>446</v>
      </c>
      <c r="K2" s="1" t="s">
        <v>447</v>
      </c>
      <c r="L2" s="1" t="s">
        <v>446</v>
      </c>
      <c r="M2" s="1" t="s">
        <v>447</v>
      </c>
      <c r="N2" s="1" t="s">
        <v>446</v>
      </c>
      <c r="O2" s="1" t="s">
        <v>447</v>
      </c>
      <c r="P2" s="1" t="s">
        <v>446</v>
      </c>
      <c r="Q2" s="1" t="s">
        <v>447</v>
      </c>
      <c r="R2" s="1" t="s">
        <v>446</v>
      </c>
      <c r="S2" s="1" t="s">
        <v>447</v>
      </c>
      <c r="T2" s="1" t="s">
        <v>446</v>
      </c>
      <c r="U2" s="1" t="s">
        <v>447</v>
      </c>
      <c r="V2" s="1" t="s">
        <v>446</v>
      </c>
      <c r="W2" s="1" t="s">
        <v>447</v>
      </c>
      <c r="X2" s="1" t="s">
        <v>446</v>
      </c>
    </row>
    <row r="3" spans="1:30">
      <c r="A3" s="1">
        <v>0.1</v>
      </c>
      <c r="B3" s="1">
        <v>5.0000000000000001E-3</v>
      </c>
      <c r="C3" s="1">
        <v>0.2</v>
      </c>
      <c r="D3" s="1">
        <v>0.17549999999999999</v>
      </c>
      <c r="E3" s="1">
        <v>0.2</v>
      </c>
      <c r="F3" s="1">
        <v>0.18479999999999999</v>
      </c>
      <c r="G3" s="1">
        <v>0.2</v>
      </c>
      <c r="H3" s="1">
        <v>0.1729</v>
      </c>
      <c r="I3" s="1">
        <v>0.2</v>
      </c>
      <c r="J3" s="1">
        <v>0.26219999999999999</v>
      </c>
      <c r="K3" s="1">
        <v>0.2</v>
      </c>
      <c r="L3" s="1">
        <v>1.66E-2</v>
      </c>
      <c r="M3" s="1">
        <v>0.2</v>
      </c>
      <c r="O3" s="1">
        <v>0.2</v>
      </c>
      <c r="Q3" s="1">
        <v>0.2</v>
      </c>
      <c r="S3" s="1">
        <v>0.2</v>
      </c>
      <c r="T3" s="1">
        <v>9.8799999999999999E-2</v>
      </c>
      <c r="U3" s="4">
        <f>U5/5</f>
        <v>0.17384615384615382</v>
      </c>
      <c r="V3" s="1">
        <v>0.1273</v>
      </c>
      <c r="W3" s="1">
        <v>0.2</v>
      </c>
    </row>
    <row r="4" spans="1:30">
      <c r="A4" s="1">
        <v>0.25</v>
      </c>
      <c r="B4" s="1">
        <v>2.1399999999999999E-2</v>
      </c>
      <c r="C4" s="1">
        <v>0.5</v>
      </c>
      <c r="D4" s="1">
        <v>0.66200000000000003</v>
      </c>
      <c r="E4" s="1">
        <v>0.5</v>
      </c>
      <c r="F4" s="1">
        <v>0.61729999999999996</v>
      </c>
      <c r="G4" s="1">
        <v>0.5</v>
      </c>
      <c r="H4" s="1">
        <v>0.70389999999999997</v>
      </c>
      <c r="I4" s="1">
        <v>0.5</v>
      </c>
      <c r="J4" s="1">
        <v>0.83379999999999999</v>
      </c>
      <c r="K4" s="1">
        <v>0.5</v>
      </c>
      <c r="L4" s="1">
        <v>0.14610000000000001</v>
      </c>
      <c r="M4" s="1">
        <v>0.5</v>
      </c>
      <c r="N4" s="1">
        <v>8.1500000000000003E-2</v>
      </c>
      <c r="O4" s="1">
        <v>0.5</v>
      </c>
      <c r="P4" s="1">
        <v>5.67E-2</v>
      </c>
      <c r="Q4" s="1">
        <v>0.5</v>
      </c>
      <c r="S4" s="1">
        <v>0.5</v>
      </c>
      <c r="T4" s="1">
        <v>0.32800000000000001</v>
      </c>
      <c r="U4" s="4">
        <f>U5/2</f>
        <v>0.43461538461538457</v>
      </c>
      <c r="V4" s="1">
        <v>0.36130000000000001</v>
      </c>
      <c r="W4" s="1">
        <v>0.5</v>
      </c>
      <c r="X4" s="1">
        <v>9.5600000000000004E-2</v>
      </c>
    </row>
    <row r="5" spans="1:30">
      <c r="A5" s="1">
        <v>0.5</v>
      </c>
      <c r="B5" s="1">
        <v>8.3699999999999997E-2</v>
      </c>
      <c r="C5" s="1">
        <v>1</v>
      </c>
      <c r="D5" s="1">
        <v>1.5619000000000001</v>
      </c>
      <c r="E5" s="1">
        <v>1</v>
      </c>
      <c r="F5" s="1">
        <v>1.4248000000000001</v>
      </c>
      <c r="G5" s="1">
        <v>1</v>
      </c>
      <c r="H5" s="1">
        <v>1.7362</v>
      </c>
      <c r="I5" s="1">
        <v>1</v>
      </c>
      <c r="J5" s="1">
        <v>1.9285000000000001</v>
      </c>
      <c r="K5" s="1">
        <v>1</v>
      </c>
      <c r="L5" s="1">
        <v>0.52390000000000003</v>
      </c>
      <c r="M5" s="1">
        <v>1</v>
      </c>
      <c r="N5" s="1">
        <v>0.24379999999999999</v>
      </c>
      <c r="O5" s="1">
        <v>1</v>
      </c>
      <c r="P5" s="1">
        <v>0.14249999999999999</v>
      </c>
      <c r="Q5" s="1">
        <v>1</v>
      </c>
      <c r="R5" s="1">
        <v>7.1499999999999994E-2</v>
      </c>
      <c r="S5" s="1">
        <v>1</v>
      </c>
      <c r="T5" s="1">
        <v>0.82589999999999997</v>
      </c>
      <c r="U5" s="4">
        <f>U6/5</f>
        <v>0.86923076923076914</v>
      </c>
      <c r="V5" s="1">
        <v>0.87860000000000005</v>
      </c>
      <c r="W5" s="1">
        <v>1</v>
      </c>
      <c r="X5" s="1">
        <v>0.33029999999999998</v>
      </c>
    </row>
    <row r="6" spans="1:30">
      <c r="A6" s="1">
        <v>2.5</v>
      </c>
      <c r="B6" s="1">
        <v>1.3250999999999999</v>
      </c>
      <c r="C6" s="1">
        <v>5</v>
      </c>
      <c r="D6" s="1">
        <v>8.2494999999999994</v>
      </c>
      <c r="E6" s="1">
        <v>5</v>
      </c>
      <c r="F6" s="1">
        <v>7.7462</v>
      </c>
      <c r="G6" s="1">
        <v>5</v>
      </c>
      <c r="H6" s="1">
        <v>10.090400000000001</v>
      </c>
      <c r="I6" s="1">
        <v>5</v>
      </c>
      <c r="J6" s="1">
        <v>11.0113</v>
      </c>
      <c r="K6" s="1">
        <v>5</v>
      </c>
      <c r="L6" s="1">
        <v>6.5721999999999996</v>
      </c>
      <c r="M6" s="1">
        <v>5</v>
      </c>
      <c r="N6" s="1">
        <v>2.7614999999999998</v>
      </c>
      <c r="O6" s="1">
        <v>5</v>
      </c>
      <c r="P6" s="1">
        <v>2.2673000000000001</v>
      </c>
      <c r="Q6" s="1">
        <v>5</v>
      </c>
      <c r="R6" s="1">
        <v>1.3922000000000001</v>
      </c>
      <c r="S6" s="1">
        <v>5</v>
      </c>
      <c r="T6" s="1">
        <v>4.9333</v>
      </c>
      <c r="U6" s="4">
        <f>U7/5</f>
        <v>4.3461538461538458</v>
      </c>
      <c r="V6" s="1">
        <v>4.4424999999999999</v>
      </c>
      <c r="W6" s="1">
        <v>5</v>
      </c>
      <c r="X6" s="1">
        <v>4.2948000000000004</v>
      </c>
    </row>
    <row r="7" spans="1:30">
      <c r="A7" s="1">
        <v>12.5</v>
      </c>
      <c r="B7" s="1">
        <v>8.9600000000000009</v>
      </c>
      <c r="C7" s="1">
        <v>25</v>
      </c>
      <c r="D7" s="1">
        <v>33.2607</v>
      </c>
      <c r="E7" s="1">
        <v>25</v>
      </c>
      <c r="F7" s="1">
        <v>34.3825</v>
      </c>
      <c r="G7" s="1">
        <v>25</v>
      </c>
      <c r="H7" s="1">
        <v>45.366300000000003</v>
      </c>
      <c r="I7" s="1">
        <v>25</v>
      </c>
      <c r="J7" s="1">
        <v>48.994799999999998</v>
      </c>
      <c r="K7" s="1">
        <v>25</v>
      </c>
      <c r="L7" s="1">
        <v>40.689700000000002</v>
      </c>
      <c r="M7" s="1">
        <v>25</v>
      </c>
      <c r="N7" s="1">
        <v>19.896999999999998</v>
      </c>
      <c r="O7" s="1">
        <v>25</v>
      </c>
      <c r="P7" s="1">
        <v>15.538</v>
      </c>
      <c r="Q7" s="1">
        <v>25</v>
      </c>
      <c r="R7" s="1">
        <v>14.038</v>
      </c>
      <c r="S7" s="1">
        <v>25</v>
      </c>
      <c r="T7" s="1">
        <v>23.340900000000001</v>
      </c>
      <c r="U7" s="4">
        <f>U8/2</f>
        <v>21.73076923076923</v>
      </c>
      <c r="V7" s="1">
        <v>18.956099999999999</v>
      </c>
      <c r="W7" s="1">
        <v>25</v>
      </c>
      <c r="X7" s="1">
        <v>24.6204</v>
      </c>
    </row>
    <row r="8" spans="1:30">
      <c r="A8" s="1">
        <v>25</v>
      </c>
      <c r="B8" s="1">
        <v>14.5261</v>
      </c>
      <c r="C8" s="1">
        <v>50</v>
      </c>
      <c r="D8" s="1">
        <v>48.564999999999998</v>
      </c>
      <c r="E8" s="1">
        <v>50</v>
      </c>
      <c r="F8" s="1">
        <v>53.927799999999998</v>
      </c>
      <c r="G8" s="1">
        <v>50</v>
      </c>
      <c r="H8" s="1">
        <v>70.786900000000003</v>
      </c>
      <c r="I8" s="1">
        <v>50</v>
      </c>
      <c r="J8" s="1">
        <v>77.028000000000006</v>
      </c>
      <c r="K8" s="1">
        <v>50</v>
      </c>
      <c r="L8" s="1">
        <v>72.403899999999993</v>
      </c>
      <c r="M8" s="1">
        <v>50</v>
      </c>
      <c r="N8" s="1">
        <v>34.729500000000002</v>
      </c>
      <c r="O8" s="1">
        <v>50</v>
      </c>
      <c r="P8" s="1">
        <v>26.532</v>
      </c>
      <c r="Q8" s="1">
        <v>50</v>
      </c>
      <c r="R8" s="1">
        <v>26.646599999999999</v>
      </c>
      <c r="S8" s="1">
        <v>50</v>
      </c>
      <c r="T8" s="1">
        <v>38.349200000000003</v>
      </c>
      <c r="U8" s="4">
        <f>AB10/4</f>
        <v>43.46153846153846</v>
      </c>
      <c r="V8" s="1">
        <v>30.406300000000002</v>
      </c>
      <c r="W8" s="1">
        <v>50</v>
      </c>
      <c r="X8" s="1">
        <v>41.7941</v>
      </c>
    </row>
    <row r="10" spans="1:30">
      <c r="Z10" s="1">
        <v>200</v>
      </c>
      <c r="AB10" s="1">
        <f>11300/1.3/50</f>
        <v>173.84615384615384</v>
      </c>
      <c r="AD10" s="1">
        <v>200</v>
      </c>
    </row>
    <row r="14" spans="1:30">
      <c r="L14" s="2"/>
      <c r="M14" s="2"/>
    </row>
    <row r="39" spans="1:32"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</row>
    <row r="40" spans="1:32" ht="29">
      <c r="B40" s="1" t="s">
        <v>406</v>
      </c>
      <c r="D40" s="1" t="s">
        <v>407</v>
      </c>
      <c r="F40" s="1" t="s">
        <v>408</v>
      </c>
      <c r="H40" s="1" t="s">
        <v>409</v>
      </c>
      <c r="J40" s="1" t="s">
        <v>452</v>
      </c>
      <c r="L40" s="1" t="s">
        <v>411</v>
      </c>
      <c r="N40" s="1" t="s">
        <v>412</v>
      </c>
      <c r="P40" s="1" t="s">
        <v>413</v>
      </c>
      <c r="R40" s="1" t="s">
        <v>414</v>
      </c>
    </row>
    <row r="41" spans="1:32" ht="29">
      <c r="A41" s="1" t="s">
        <v>170</v>
      </c>
      <c r="B41" s="1" t="s">
        <v>446</v>
      </c>
      <c r="C41" s="1" t="s">
        <v>447</v>
      </c>
      <c r="D41" s="1" t="s">
        <v>446</v>
      </c>
      <c r="E41" s="1" t="s">
        <v>447</v>
      </c>
      <c r="F41" s="1" t="s">
        <v>446</v>
      </c>
      <c r="G41" s="1" t="s">
        <v>447</v>
      </c>
      <c r="H41" s="1" t="s">
        <v>446</v>
      </c>
      <c r="I41" s="1" t="s">
        <v>447</v>
      </c>
      <c r="J41" s="1" t="s">
        <v>446</v>
      </c>
      <c r="K41" s="1" t="s">
        <v>447</v>
      </c>
      <c r="L41" s="1" t="s">
        <v>446</v>
      </c>
      <c r="M41" s="1" t="s">
        <v>447</v>
      </c>
      <c r="N41" s="1" t="s">
        <v>446</v>
      </c>
      <c r="O41" s="1" t="s">
        <v>447</v>
      </c>
      <c r="P41" s="1" t="s">
        <v>446</v>
      </c>
      <c r="Q41" s="1" t="s">
        <v>447</v>
      </c>
      <c r="R41" s="1" t="s">
        <v>446</v>
      </c>
      <c r="S41" s="1" t="s">
        <v>447</v>
      </c>
      <c r="U41" s="1" t="s">
        <v>170</v>
      </c>
      <c r="V41" s="1" t="s">
        <v>171</v>
      </c>
      <c r="W41" s="1" t="s">
        <v>172</v>
      </c>
      <c r="X41" s="1" t="s">
        <v>173</v>
      </c>
      <c r="Y41" s="1" t="s">
        <v>174</v>
      </c>
      <c r="Z41" s="1" t="s">
        <v>175</v>
      </c>
      <c r="AA41" s="1" t="s">
        <v>176</v>
      </c>
      <c r="AB41" s="1" t="s">
        <v>177</v>
      </c>
      <c r="AC41" s="1" t="s">
        <v>178</v>
      </c>
      <c r="AD41" s="1" t="s">
        <v>179</v>
      </c>
    </row>
    <row r="42" spans="1:32">
      <c r="A42" s="1" t="s">
        <v>180</v>
      </c>
      <c r="B42" s="1">
        <v>5.9799999999999999E-2</v>
      </c>
      <c r="C42" s="4">
        <f>IF(B42,(B42+0.2414)/0.732,"")</f>
        <v>0.41147540983606562</v>
      </c>
      <c r="D42" s="1">
        <f>0.0885*2</f>
        <v>0.17699999999999999</v>
      </c>
      <c r="E42" s="4">
        <f>IF(D42,(D42+0.1546)/1.6817,"")</f>
        <v>0.19718142355949336</v>
      </c>
      <c r="F42" s="1">
        <v>3.4599999999999999E-2</v>
      </c>
      <c r="G42" s="4">
        <f>IF(F42,(F42+0.1521)/1.5793,"")</f>
        <v>0.11821693155195341</v>
      </c>
      <c r="H42" s="1">
        <v>0.72109999999999996</v>
      </c>
      <c r="I42" s="4">
        <f>IF(H42,(H42+0.3033)/2.0771,"")</f>
        <v>0.49318761735111449</v>
      </c>
      <c r="J42" s="1">
        <v>1.2867</v>
      </c>
      <c r="K42" s="4">
        <f>IF(J42,(J42+0.2645)/2.2528,"")</f>
        <v>0.68856534090909083</v>
      </c>
      <c r="L42" s="1">
        <v>98.222700000000003</v>
      </c>
      <c r="M42" s="4">
        <f>IF(L42,(L42+0.1919)/1.4872,"")</f>
        <v>66.174421732114041</v>
      </c>
      <c r="N42" s="1">
        <v>51.245399999999997</v>
      </c>
      <c r="O42" s="4">
        <f>IF(N42,(N42+0.1473)/0.7172,"")</f>
        <v>71.657417735638603</v>
      </c>
      <c r="Q42" s="4" t="str">
        <f>IF(P42,(P42+0.5415)/0.6403,"")</f>
        <v/>
      </c>
      <c r="S42" s="4" t="str">
        <f>IF(R42,(R42+0.6795)/0.5539,"")</f>
        <v/>
      </c>
      <c r="U42" s="1" t="s">
        <v>304</v>
      </c>
      <c r="V42" s="1">
        <v>0.41147540983606562</v>
      </c>
      <c r="W42" s="1">
        <v>0.19718142355949336</v>
      </c>
      <c r="X42" s="1">
        <v>0.11821693155195341</v>
      </c>
      <c r="Y42" s="1">
        <v>0.49318761735111449</v>
      </c>
      <c r="Z42" s="1">
        <v>0.68856534090909083</v>
      </c>
      <c r="AA42" s="1">
        <v>66.174421732114041</v>
      </c>
      <c r="AB42" s="1">
        <v>71.657417735638603</v>
      </c>
      <c r="AC42" s="1" t="s">
        <v>402</v>
      </c>
      <c r="AD42" s="1" t="s">
        <v>402</v>
      </c>
    </row>
    <row r="43" spans="1:32">
      <c r="A43" s="1" t="s">
        <v>181</v>
      </c>
      <c r="B43" s="1">
        <v>0.151</v>
      </c>
      <c r="C43" s="4">
        <f t="shared" ref="C43:C101" si="0">IF(B43,(B43+0.2414)/0.732,"")</f>
        <v>0.5360655737704918</v>
      </c>
      <c r="D43" s="1">
        <f>0.0552*2</f>
        <v>0.1104</v>
      </c>
      <c r="E43" s="4">
        <f t="shared" ref="E43:E101" si="1">IF(D43,(D43+0.1546)/1.6817,"")</f>
        <v>0.15757864066123567</v>
      </c>
      <c r="G43" s="4" t="str">
        <f t="shared" ref="G43:G101" si="2">IF(F43,(F43+0.1521)/1.5793,"")</f>
        <v/>
      </c>
      <c r="H43" s="1">
        <v>0.74360000000000004</v>
      </c>
      <c r="I43" s="4">
        <f t="shared" ref="I43:I101" si="3">IF(H43,(H43+0.3033)/2.0771,"")</f>
        <v>0.50402002792354716</v>
      </c>
      <c r="J43" s="1">
        <v>0.70960000000000001</v>
      </c>
      <c r="K43" s="4">
        <f t="shared" ref="K43:K101" si="4">IF(J43,(J43+0.2645)/2.2528,"")</f>
        <v>0.43239524147727271</v>
      </c>
      <c r="L43" s="1">
        <v>34.9069</v>
      </c>
      <c r="M43" s="4">
        <f t="shared" ref="M43:M101" si="5">IF(L43,(L43+0.1919)/1.4872,"")</f>
        <v>23.600591715976329</v>
      </c>
      <c r="N43" s="1">
        <v>20.613199999999999</v>
      </c>
      <c r="O43" s="4">
        <f t="shared" ref="O43:O101" si="6">IF(N43,(N43+0.1473)/0.7172,"")</f>
        <v>28.946597880646962</v>
      </c>
      <c r="Q43" s="4" t="str">
        <f t="shared" ref="Q43:Q101" si="7">IF(P43,(P43+0.5415)/0.6403,"")</f>
        <v/>
      </c>
      <c r="S43" s="4" t="str">
        <f t="shared" ref="S43:S101" si="8">IF(R43,(R43+0.6795)/0.5539,"")</f>
        <v/>
      </c>
      <c r="U43" s="1" t="s">
        <v>305</v>
      </c>
      <c r="V43" s="1">
        <v>0.5360655737704918</v>
      </c>
      <c r="W43" s="1">
        <v>0.15757864066123567</v>
      </c>
      <c r="X43" s="1" t="s">
        <v>402</v>
      </c>
      <c r="Y43" s="1">
        <v>0.50402002792354716</v>
      </c>
      <c r="Z43" s="1">
        <v>0.43239524147727271</v>
      </c>
      <c r="AA43" s="1">
        <v>23.600591715976329</v>
      </c>
      <c r="AB43" s="1">
        <v>28.946597880646962</v>
      </c>
      <c r="AC43" s="1" t="s">
        <v>402</v>
      </c>
      <c r="AD43" s="1" t="s">
        <v>402</v>
      </c>
    </row>
    <row r="44" spans="1:32">
      <c r="A44" s="1" t="s">
        <v>182</v>
      </c>
      <c r="B44" s="1">
        <v>9.0700000000000003E-2</v>
      </c>
      <c r="C44" s="4">
        <f t="shared" si="0"/>
        <v>0.45368852459016396</v>
      </c>
      <c r="D44" s="1">
        <f>0.0207*2</f>
        <v>4.1399999999999999E-2</v>
      </c>
      <c r="E44" s="4">
        <f t="shared" si="1"/>
        <v>0.11654873045132901</v>
      </c>
      <c r="G44" s="4" t="str">
        <f t="shared" si="2"/>
        <v/>
      </c>
      <c r="H44" s="1">
        <v>3.6299999999999999E-2</v>
      </c>
      <c r="I44" s="4">
        <f t="shared" si="3"/>
        <v>0.16349718357325116</v>
      </c>
      <c r="J44" s="1">
        <v>0.13900000000000001</v>
      </c>
      <c r="K44" s="4">
        <f t="shared" si="4"/>
        <v>0.17911044034090909</v>
      </c>
      <c r="L44" s="1">
        <v>34.441600000000001</v>
      </c>
      <c r="M44" s="4">
        <f t="shared" si="5"/>
        <v>23.287721893491121</v>
      </c>
      <c r="N44" s="1">
        <v>17.598600000000001</v>
      </c>
      <c r="O44" s="4">
        <f t="shared" si="6"/>
        <v>24.743307306190747</v>
      </c>
      <c r="Q44" s="4" t="str">
        <f t="shared" si="7"/>
        <v/>
      </c>
      <c r="S44" s="4" t="str">
        <f t="shared" si="8"/>
        <v/>
      </c>
      <c r="U44" s="1" t="s">
        <v>306</v>
      </c>
      <c r="V44" s="1">
        <v>0.45368852459016396</v>
      </c>
      <c r="W44" s="1">
        <v>0.11654873045132901</v>
      </c>
      <c r="X44" s="1" t="s">
        <v>402</v>
      </c>
      <c r="Y44" s="1">
        <v>0.16349718357325116</v>
      </c>
      <c r="Z44" s="1">
        <v>0.17911044034090909</v>
      </c>
      <c r="AA44" s="1">
        <v>23.287721893491121</v>
      </c>
      <c r="AB44" s="1">
        <v>24.743307306190747</v>
      </c>
      <c r="AC44" s="1" t="s">
        <v>402</v>
      </c>
      <c r="AD44" s="1" t="s">
        <v>402</v>
      </c>
    </row>
    <row r="45" spans="1:32">
      <c r="A45" s="1" t="s">
        <v>183</v>
      </c>
      <c r="C45" s="4" t="str">
        <f t="shared" si="0"/>
        <v/>
      </c>
      <c r="D45" s="1">
        <f>0.0688*2</f>
        <v>0.1376</v>
      </c>
      <c r="E45" s="4">
        <f t="shared" si="1"/>
        <v>0.17375275019325684</v>
      </c>
      <c r="G45" s="4" t="str">
        <f t="shared" si="2"/>
        <v/>
      </c>
      <c r="I45" s="4" t="str">
        <f t="shared" si="3"/>
        <v/>
      </c>
      <c r="J45" s="1">
        <v>0.83299999999999996</v>
      </c>
      <c r="K45" s="4">
        <f t="shared" si="4"/>
        <v>0.48717151988636359</v>
      </c>
      <c r="L45" s="1">
        <v>1.5598000000000001</v>
      </c>
      <c r="M45" s="4">
        <f t="shared" si="5"/>
        <v>1.1778509951586875</v>
      </c>
      <c r="N45" s="1">
        <v>7.0599999999999996E-2</v>
      </c>
      <c r="O45" s="4">
        <f t="shared" si="6"/>
        <v>0.30382041271611826</v>
      </c>
      <c r="Q45" s="4" t="str">
        <f t="shared" si="7"/>
        <v/>
      </c>
      <c r="S45" s="4" t="str">
        <f t="shared" si="8"/>
        <v/>
      </c>
      <c r="U45" s="1" t="s">
        <v>307</v>
      </c>
      <c r="V45" s="1" t="s">
        <v>402</v>
      </c>
      <c r="W45" s="1">
        <v>0.17375275019325684</v>
      </c>
      <c r="X45" s="1" t="s">
        <v>402</v>
      </c>
      <c r="Y45" s="1" t="s">
        <v>402</v>
      </c>
      <c r="Z45" s="1">
        <v>0.48717151988636359</v>
      </c>
      <c r="AA45" s="1">
        <v>1.1778509951586875</v>
      </c>
      <c r="AB45" s="1">
        <v>0.30382041271611826</v>
      </c>
      <c r="AC45" s="1" t="s">
        <v>402</v>
      </c>
      <c r="AD45" s="1" t="s">
        <v>402</v>
      </c>
    </row>
    <row r="46" spans="1:32">
      <c r="A46" s="1" t="s">
        <v>184</v>
      </c>
      <c r="C46" s="4" t="str">
        <f t="shared" si="0"/>
        <v/>
      </c>
      <c r="D46" s="1">
        <f>0.065*2</f>
        <v>0.13</v>
      </c>
      <c r="E46" s="4">
        <f t="shared" si="1"/>
        <v>0.16923351370636855</v>
      </c>
      <c r="G46" s="4" t="str">
        <f t="shared" si="2"/>
        <v/>
      </c>
      <c r="H46" s="1">
        <v>4.9799999999999997E-2</v>
      </c>
      <c r="I46" s="4">
        <f t="shared" si="3"/>
        <v>0.1699966299167108</v>
      </c>
      <c r="J46" s="1">
        <v>0.61639999999999995</v>
      </c>
      <c r="K46" s="4">
        <f t="shared" si="4"/>
        <v>0.39102450284090906</v>
      </c>
      <c r="L46" s="1">
        <v>39.125700000000002</v>
      </c>
      <c r="M46" s="4">
        <f t="shared" si="5"/>
        <v>26.437331898870358</v>
      </c>
      <c r="N46" s="1">
        <v>8.6439000000000004</v>
      </c>
      <c r="O46" s="4">
        <f t="shared" si="6"/>
        <v>12.257668711656443</v>
      </c>
      <c r="Q46" s="4" t="str">
        <f t="shared" si="7"/>
        <v/>
      </c>
      <c r="S46" s="4" t="str">
        <f t="shared" si="8"/>
        <v/>
      </c>
      <c r="U46" s="1" t="s">
        <v>308</v>
      </c>
      <c r="V46" s="1" t="s">
        <v>402</v>
      </c>
      <c r="W46" s="1">
        <v>0.16923351370636855</v>
      </c>
      <c r="X46" s="1" t="s">
        <v>402</v>
      </c>
      <c r="Y46" s="1">
        <v>0.1699966299167108</v>
      </c>
      <c r="Z46" s="1">
        <v>0.39102450284090906</v>
      </c>
      <c r="AA46" s="1">
        <v>26.437331898870358</v>
      </c>
      <c r="AB46" s="1">
        <v>12.257668711656443</v>
      </c>
      <c r="AC46" s="1" t="s">
        <v>402</v>
      </c>
      <c r="AD46" s="1" t="s">
        <v>402</v>
      </c>
    </row>
    <row r="47" spans="1:32">
      <c r="A47" s="1" t="s">
        <v>185</v>
      </c>
      <c r="C47" s="4" t="str">
        <f t="shared" si="0"/>
        <v/>
      </c>
      <c r="D47" s="1">
        <v>3.6900000000000002E-2</v>
      </c>
      <c r="E47" s="4">
        <f t="shared" si="1"/>
        <v>0.11387286674198728</v>
      </c>
      <c r="G47" s="4" t="str">
        <f t="shared" si="2"/>
        <v/>
      </c>
      <c r="I47" s="4" t="str">
        <f t="shared" si="3"/>
        <v/>
      </c>
      <c r="J47" s="1">
        <v>0.1469</v>
      </c>
      <c r="K47" s="4">
        <f t="shared" si="4"/>
        <v>0.18261718749999997</v>
      </c>
      <c r="L47" s="1">
        <v>0.79930000000000001</v>
      </c>
      <c r="M47" s="4">
        <f t="shared" si="5"/>
        <v>0.66648735879505105</v>
      </c>
      <c r="N47" s="1">
        <v>0.44769999999999999</v>
      </c>
      <c r="O47" s="4">
        <f t="shared" si="6"/>
        <v>0.82961517010596764</v>
      </c>
      <c r="Q47" s="4" t="str">
        <f t="shared" si="7"/>
        <v/>
      </c>
      <c r="R47" s="1">
        <f>0.4517*2</f>
        <v>0.90339999999999998</v>
      </c>
      <c r="S47" s="4">
        <f t="shared" si="8"/>
        <v>2.8577360534392491</v>
      </c>
      <c r="U47" s="1" t="s">
        <v>309</v>
      </c>
      <c r="V47" s="1" t="s">
        <v>402</v>
      </c>
      <c r="W47" s="1">
        <v>0.11387286674198728</v>
      </c>
      <c r="X47" s="1" t="s">
        <v>402</v>
      </c>
      <c r="Y47" s="1" t="s">
        <v>402</v>
      </c>
      <c r="Z47" s="1">
        <v>0.18261718749999997</v>
      </c>
      <c r="AA47" s="1">
        <v>0.66648735879505105</v>
      </c>
      <c r="AB47" s="1">
        <v>0.82961517010596764</v>
      </c>
      <c r="AC47" s="1" t="s">
        <v>402</v>
      </c>
      <c r="AD47" s="1">
        <v>2.8577360534392491</v>
      </c>
    </row>
    <row r="48" spans="1:32">
      <c r="A48" s="1" t="s">
        <v>186</v>
      </c>
      <c r="B48" s="1">
        <v>5.8700000000000002E-2</v>
      </c>
      <c r="C48" s="4">
        <f t="shared" si="0"/>
        <v>0.40997267759562844</v>
      </c>
      <c r="E48" s="4" t="str">
        <f t="shared" si="1"/>
        <v/>
      </c>
      <c r="G48" s="4" t="str">
        <f t="shared" si="2"/>
        <v/>
      </c>
      <c r="I48" s="4" t="str">
        <f t="shared" si="3"/>
        <v/>
      </c>
      <c r="J48" s="1">
        <v>0.37569999999999998</v>
      </c>
      <c r="K48" s="4">
        <f t="shared" si="4"/>
        <v>0.2841796875</v>
      </c>
      <c r="L48" s="1">
        <v>110.86490000000001</v>
      </c>
      <c r="M48" s="4">
        <f t="shared" si="5"/>
        <v>74.675094136632595</v>
      </c>
      <c r="N48" s="1">
        <v>32.361400000000003</v>
      </c>
      <c r="O48" s="4">
        <f t="shared" si="6"/>
        <v>45.327244841048532</v>
      </c>
      <c r="Q48" s="4" t="str">
        <f t="shared" si="7"/>
        <v/>
      </c>
      <c r="R48" s="1">
        <v>9.9835999999999991</v>
      </c>
      <c r="S48" s="4">
        <f t="shared" si="8"/>
        <v>19.250947824517063</v>
      </c>
      <c r="U48" s="1" t="s">
        <v>310</v>
      </c>
      <c r="V48" s="1">
        <v>0.40997267759562844</v>
      </c>
      <c r="W48" s="1" t="s">
        <v>402</v>
      </c>
      <c r="X48" s="1" t="s">
        <v>402</v>
      </c>
      <c r="Y48" s="1" t="s">
        <v>402</v>
      </c>
      <c r="Z48" s="1">
        <v>0.2841796875</v>
      </c>
      <c r="AA48" s="1">
        <v>74.675094136632595</v>
      </c>
      <c r="AB48" s="1">
        <v>45.327244841048532</v>
      </c>
      <c r="AC48" s="1" t="s">
        <v>402</v>
      </c>
      <c r="AD48" s="1">
        <v>19.250947824517063</v>
      </c>
    </row>
    <row r="49" spans="1:30">
      <c r="A49" s="1" t="s">
        <v>187</v>
      </c>
      <c r="C49" s="4" t="str">
        <f t="shared" si="0"/>
        <v/>
      </c>
      <c r="D49" s="1">
        <f>0.2249*2</f>
        <v>0.44979999999999998</v>
      </c>
      <c r="E49" s="4">
        <f t="shared" si="1"/>
        <v>0.359398227983588</v>
      </c>
      <c r="F49" s="1">
        <f>0.3558*2</f>
        <v>0.71160000000000001</v>
      </c>
      <c r="G49" s="4">
        <f t="shared" si="2"/>
        <v>0.54688786171088466</v>
      </c>
      <c r="H49" s="1">
        <v>0.78849999999999998</v>
      </c>
      <c r="I49" s="4">
        <f t="shared" si="3"/>
        <v>0.52563670502142412</v>
      </c>
      <c r="J49" s="1">
        <v>1.3169999999999999</v>
      </c>
      <c r="K49" s="4">
        <f t="shared" si="4"/>
        <v>0.70201526988636354</v>
      </c>
      <c r="L49" s="1">
        <v>139.44550000000001</v>
      </c>
      <c r="M49" s="4">
        <f t="shared" si="5"/>
        <v>93.892818719741797</v>
      </c>
      <c r="N49" s="1">
        <v>51.508099999999999</v>
      </c>
      <c r="O49" s="4">
        <f t="shared" si="6"/>
        <v>72.02370329057446</v>
      </c>
      <c r="Q49" s="4" t="str">
        <f t="shared" si="7"/>
        <v/>
      </c>
      <c r="R49" s="1">
        <f>0.2592*2</f>
        <v>0.51839999999999997</v>
      </c>
      <c r="S49" s="4">
        <f t="shared" si="8"/>
        <v>2.1626647409279656</v>
      </c>
      <c r="U49" s="1" t="s">
        <v>311</v>
      </c>
      <c r="V49" s="1" t="s">
        <v>402</v>
      </c>
      <c r="W49" s="1">
        <v>0.359398227983588</v>
      </c>
      <c r="X49" s="1">
        <v>0.54688786171088466</v>
      </c>
      <c r="Y49" s="1">
        <v>0.52563670502142412</v>
      </c>
      <c r="Z49" s="1">
        <v>0.70201526988636354</v>
      </c>
      <c r="AA49" s="1">
        <v>93.892818719741797</v>
      </c>
      <c r="AB49" s="1">
        <v>72.02370329057446</v>
      </c>
      <c r="AC49" s="1" t="s">
        <v>402</v>
      </c>
      <c r="AD49" s="1">
        <v>2.1626647409279656</v>
      </c>
    </row>
    <row r="50" spans="1:30">
      <c r="A50" s="1" t="s">
        <v>188</v>
      </c>
      <c r="C50" s="4" t="str">
        <f t="shared" si="0"/>
        <v/>
      </c>
      <c r="D50" s="1">
        <f>0.1147*2</f>
        <v>0.22939999999999999</v>
      </c>
      <c r="E50" s="4">
        <f t="shared" si="1"/>
        <v>0.22834036986382827</v>
      </c>
      <c r="F50" s="1">
        <f>0.3141*2</f>
        <v>0.62819999999999998</v>
      </c>
      <c r="G50" s="4">
        <f t="shared" si="2"/>
        <v>0.49407965554359529</v>
      </c>
      <c r="H50" s="1">
        <v>0.20399999999999999</v>
      </c>
      <c r="I50" s="4">
        <f t="shared" si="3"/>
        <v>0.24423475037311634</v>
      </c>
      <c r="J50" s="1">
        <v>0.55379999999999996</v>
      </c>
      <c r="K50" s="4">
        <f t="shared" si="4"/>
        <v>0.36323686079545453</v>
      </c>
      <c r="L50" s="1">
        <v>45.021900000000002</v>
      </c>
      <c r="M50" s="4">
        <f t="shared" si="5"/>
        <v>30.401963421194189</v>
      </c>
      <c r="N50" s="1">
        <v>23.3004</v>
      </c>
      <c r="O50" s="4">
        <f t="shared" si="6"/>
        <v>32.693390964863362</v>
      </c>
      <c r="Q50" s="4" t="str">
        <f t="shared" si="7"/>
        <v/>
      </c>
      <c r="S50" s="4" t="str">
        <f t="shared" si="8"/>
        <v/>
      </c>
      <c r="U50" s="1" t="s">
        <v>312</v>
      </c>
      <c r="V50" s="1" t="s">
        <v>402</v>
      </c>
      <c r="W50" s="1">
        <v>0.22834036986382827</v>
      </c>
      <c r="X50" s="1">
        <v>0.49407965554359529</v>
      </c>
      <c r="Y50" s="1">
        <v>0.24423475037311634</v>
      </c>
      <c r="Z50" s="1">
        <v>0.36323686079545453</v>
      </c>
      <c r="AA50" s="1">
        <v>30.401963421194189</v>
      </c>
      <c r="AB50" s="1">
        <v>32.693390964863362</v>
      </c>
      <c r="AC50" s="1" t="s">
        <v>402</v>
      </c>
      <c r="AD50" s="1" t="s">
        <v>402</v>
      </c>
    </row>
    <row r="51" spans="1:30">
      <c r="A51" s="1" t="s">
        <v>189</v>
      </c>
      <c r="C51" s="4" t="str">
        <f t="shared" si="0"/>
        <v/>
      </c>
      <c r="D51" s="1">
        <f>0.1018*2</f>
        <v>0.2036</v>
      </c>
      <c r="E51" s="4">
        <f t="shared" si="1"/>
        <v>0.21299875126360229</v>
      </c>
      <c r="F51" s="1">
        <v>5.6500000000000002E-2</v>
      </c>
      <c r="G51" s="4">
        <f t="shared" si="2"/>
        <v>0.13208383461027037</v>
      </c>
      <c r="H51" s="1">
        <v>0.16309999999999999</v>
      </c>
      <c r="I51" s="4">
        <f t="shared" si="3"/>
        <v>0.2245438351547831</v>
      </c>
      <c r="J51" s="1">
        <v>1.6713</v>
      </c>
      <c r="K51" s="4">
        <f t="shared" si="4"/>
        <v>0.85928622159090906</v>
      </c>
      <c r="L51" s="1">
        <v>62.3367</v>
      </c>
      <c r="M51" s="4">
        <f t="shared" si="5"/>
        <v>42.044513179128558</v>
      </c>
      <c r="N51" s="1">
        <v>8.9062000000000001</v>
      </c>
      <c r="O51" s="4">
        <f t="shared" si="6"/>
        <v>12.6233965421082</v>
      </c>
      <c r="Q51" s="4" t="str">
        <f t="shared" si="7"/>
        <v/>
      </c>
      <c r="S51" s="4" t="str">
        <f t="shared" si="8"/>
        <v/>
      </c>
      <c r="U51" s="1" t="s">
        <v>313</v>
      </c>
      <c r="V51" s="1" t="s">
        <v>402</v>
      </c>
      <c r="W51" s="1">
        <v>0.21299875126360229</v>
      </c>
      <c r="X51" s="1">
        <v>0.13208383461027037</v>
      </c>
      <c r="Y51" s="1">
        <v>0.2245438351547831</v>
      </c>
      <c r="Z51" s="1">
        <v>0.85928622159090906</v>
      </c>
      <c r="AA51" s="1">
        <v>42.044513179128558</v>
      </c>
      <c r="AB51" s="1">
        <v>12.6233965421082</v>
      </c>
      <c r="AC51" s="1" t="s">
        <v>402</v>
      </c>
      <c r="AD51" s="1" t="s">
        <v>402</v>
      </c>
    </row>
    <row r="52" spans="1:30">
      <c r="A52" s="1" t="s">
        <v>190</v>
      </c>
      <c r="C52" s="4" t="str">
        <f t="shared" si="0"/>
        <v/>
      </c>
      <c r="D52" s="1">
        <f>0.02*2</f>
        <v>0.04</v>
      </c>
      <c r="E52" s="4">
        <f t="shared" si="1"/>
        <v>0.1157162395195338</v>
      </c>
      <c r="G52" s="4" t="str">
        <f t="shared" si="2"/>
        <v/>
      </c>
      <c r="I52" s="4" t="str">
        <f t="shared" si="3"/>
        <v/>
      </c>
      <c r="J52" s="1">
        <v>0.1968</v>
      </c>
      <c r="K52" s="4">
        <f t="shared" si="4"/>
        <v>0.20476740056818182</v>
      </c>
      <c r="L52" s="1">
        <v>51.377299999999998</v>
      </c>
      <c r="M52" s="4">
        <f t="shared" si="5"/>
        <v>34.675363098440016</v>
      </c>
      <c r="N52" s="1">
        <v>10.6532</v>
      </c>
      <c r="O52" s="4">
        <f t="shared" si="6"/>
        <v>15.059258226436141</v>
      </c>
      <c r="Q52" s="4" t="str">
        <f t="shared" si="7"/>
        <v/>
      </c>
      <c r="R52" s="1">
        <v>0.3231</v>
      </c>
      <c r="S52" s="4">
        <f t="shared" si="8"/>
        <v>1.8100740205813324</v>
      </c>
      <c r="U52" s="1" t="s">
        <v>314</v>
      </c>
      <c r="V52" s="1" t="s">
        <v>402</v>
      </c>
      <c r="W52" s="1">
        <v>0.1157162395195338</v>
      </c>
      <c r="X52" s="1" t="s">
        <v>402</v>
      </c>
      <c r="Y52" s="1" t="s">
        <v>402</v>
      </c>
      <c r="Z52" s="1">
        <v>0.20476740056818182</v>
      </c>
      <c r="AA52" s="1">
        <v>34.675363098440016</v>
      </c>
      <c r="AB52" s="1">
        <v>15.059258226436141</v>
      </c>
      <c r="AC52" s="1" t="s">
        <v>402</v>
      </c>
      <c r="AD52" s="1">
        <v>1.8100740205813324</v>
      </c>
    </row>
    <row r="53" spans="1:30">
      <c r="A53" s="1" t="s">
        <v>191</v>
      </c>
      <c r="C53" s="4" t="str">
        <f t="shared" si="0"/>
        <v/>
      </c>
      <c r="D53" s="1">
        <f>0.053*2</f>
        <v>0.106</v>
      </c>
      <c r="E53" s="4">
        <f t="shared" si="1"/>
        <v>0.15496224058987929</v>
      </c>
      <c r="G53" s="4" t="str">
        <f t="shared" si="2"/>
        <v/>
      </c>
      <c r="H53" s="1">
        <v>9.3399999999999997E-2</v>
      </c>
      <c r="I53" s="4">
        <f t="shared" si="3"/>
        <v>0.19098743440373597</v>
      </c>
      <c r="J53" s="1">
        <v>0.27379999999999999</v>
      </c>
      <c r="K53" s="4">
        <f t="shared" si="4"/>
        <v>0.2389470880681818</v>
      </c>
      <c r="L53" s="1">
        <v>121.30540000000001</v>
      </c>
      <c r="M53" s="4">
        <f t="shared" si="5"/>
        <v>81.695333512641213</v>
      </c>
      <c r="N53" s="1">
        <v>28.872900000000001</v>
      </c>
      <c r="O53" s="4">
        <f t="shared" si="6"/>
        <v>40.46319018404909</v>
      </c>
      <c r="Q53" s="4" t="str">
        <f t="shared" si="7"/>
        <v/>
      </c>
      <c r="R53" s="1">
        <f>0.4336*2</f>
        <v>0.86719999999999997</v>
      </c>
      <c r="S53" s="4">
        <f t="shared" si="8"/>
        <v>2.7923812962628634</v>
      </c>
      <c r="U53" s="1" t="s">
        <v>315</v>
      </c>
      <c r="V53" s="1" t="s">
        <v>402</v>
      </c>
      <c r="W53" s="1">
        <v>0.15496224058987929</v>
      </c>
      <c r="X53" s="1" t="s">
        <v>402</v>
      </c>
      <c r="Y53" s="1">
        <v>0.19098743440373597</v>
      </c>
      <c r="Z53" s="1">
        <v>0.2389470880681818</v>
      </c>
      <c r="AA53" s="1">
        <v>81.695333512641213</v>
      </c>
      <c r="AB53" s="1">
        <v>40.46319018404909</v>
      </c>
      <c r="AC53" s="1" t="s">
        <v>402</v>
      </c>
      <c r="AD53" s="1">
        <v>2.7923812962628634</v>
      </c>
    </row>
    <row r="54" spans="1:30">
      <c r="A54" s="1" t="s">
        <v>192</v>
      </c>
      <c r="C54" s="4" t="str">
        <f t="shared" si="0"/>
        <v/>
      </c>
      <c r="D54" s="1">
        <f>0.1173*2</f>
        <v>0.2346</v>
      </c>
      <c r="E54" s="4">
        <f t="shared" si="1"/>
        <v>0.23143247903906761</v>
      </c>
      <c r="G54" s="4" t="str">
        <f t="shared" si="2"/>
        <v/>
      </c>
      <c r="H54" s="1">
        <v>0.2263</v>
      </c>
      <c r="I54" s="4">
        <f t="shared" si="3"/>
        <v>0.25497087285157194</v>
      </c>
      <c r="J54" s="1">
        <v>0.93169999999999997</v>
      </c>
      <c r="K54" s="4">
        <f t="shared" si="4"/>
        <v>0.53098366477272718</v>
      </c>
      <c r="L54" s="1">
        <v>76.336100000000002</v>
      </c>
      <c r="M54" s="4">
        <f t="shared" si="5"/>
        <v>51.457772996234539</v>
      </c>
      <c r="N54" s="1">
        <v>27.1174</v>
      </c>
      <c r="O54" s="4">
        <f t="shared" si="6"/>
        <v>38.015476854433913</v>
      </c>
      <c r="Q54" s="4" t="str">
        <f t="shared" si="7"/>
        <v/>
      </c>
      <c r="S54" s="4" t="str">
        <f t="shared" si="8"/>
        <v/>
      </c>
      <c r="U54" s="1" t="s">
        <v>316</v>
      </c>
      <c r="V54" s="1" t="s">
        <v>402</v>
      </c>
      <c r="W54" s="1">
        <v>0.23143247903906761</v>
      </c>
      <c r="X54" s="1" t="s">
        <v>402</v>
      </c>
      <c r="Y54" s="1">
        <v>0.25497087285157194</v>
      </c>
      <c r="Z54" s="1">
        <v>0.53098366477272718</v>
      </c>
      <c r="AA54" s="1">
        <v>51.457772996234539</v>
      </c>
      <c r="AB54" s="1">
        <v>38.015476854433913</v>
      </c>
      <c r="AC54" s="1" t="s">
        <v>402</v>
      </c>
      <c r="AD54" s="1" t="s">
        <v>402</v>
      </c>
    </row>
    <row r="55" spans="1:30">
      <c r="A55" s="1" t="s">
        <v>193</v>
      </c>
      <c r="C55" s="4" t="str">
        <f t="shared" si="0"/>
        <v/>
      </c>
      <c r="E55" s="4" t="str">
        <f t="shared" si="1"/>
        <v/>
      </c>
      <c r="G55" s="4" t="str">
        <f t="shared" si="2"/>
        <v/>
      </c>
      <c r="I55" s="4" t="str">
        <f t="shared" si="3"/>
        <v/>
      </c>
      <c r="J55" s="1">
        <v>0.38990000000000002</v>
      </c>
      <c r="K55" s="4">
        <f t="shared" si="4"/>
        <v>0.29048295454545459</v>
      </c>
      <c r="L55" s="1">
        <v>93.167199999999994</v>
      </c>
      <c r="M55" s="4">
        <f t="shared" si="5"/>
        <v>62.775080688542225</v>
      </c>
      <c r="N55" s="1">
        <v>6.3407999999999998</v>
      </c>
      <c r="O55" s="4">
        <f t="shared" si="6"/>
        <v>9.0464305633017279</v>
      </c>
      <c r="Q55" s="4" t="str">
        <f t="shared" si="7"/>
        <v/>
      </c>
      <c r="R55" s="1">
        <f>0.2309*2</f>
        <v>0.46179999999999999</v>
      </c>
      <c r="S55" s="4">
        <f t="shared" si="8"/>
        <v>2.0604802310886443</v>
      </c>
      <c r="U55" s="1" t="s">
        <v>317</v>
      </c>
      <c r="V55" s="1" t="s">
        <v>402</v>
      </c>
      <c r="W55" s="1" t="s">
        <v>402</v>
      </c>
      <c r="X55" s="1" t="s">
        <v>402</v>
      </c>
      <c r="Y55" s="1" t="s">
        <v>402</v>
      </c>
      <c r="Z55" s="1">
        <v>0.29048295454545459</v>
      </c>
      <c r="AA55" s="1">
        <v>62.775080688542225</v>
      </c>
      <c r="AB55" s="1">
        <v>9.0464305633017279</v>
      </c>
      <c r="AC55" s="1" t="s">
        <v>402</v>
      </c>
      <c r="AD55" s="1">
        <v>2.0604802310886443</v>
      </c>
    </row>
    <row r="56" spans="1:30">
      <c r="A56" s="1" t="s">
        <v>194</v>
      </c>
      <c r="C56" s="4" t="str">
        <f t="shared" si="0"/>
        <v/>
      </c>
      <c r="E56" s="4" t="str">
        <f t="shared" si="1"/>
        <v/>
      </c>
      <c r="G56" s="4" t="str">
        <f t="shared" si="2"/>
        <v/>
      </c>
      <c r="I56" s="4" t="str">
        <f t="shared" si="3"/>
        <v/>
      </c>
      <c r="J56" s="1">
        <v>0.40339999999999998</v>
      </c>
      <c r="K56" s="4">
        <f t="shared" si="4"/>
        <v>0.29647549715909088</v>
      </c>
      <c r="L56" s="1">
        <v>59.506599999999999</v>
      </c>
      <c r="M56" s="4">
        <f t="shared" si="5"/>
        <v>40.141541151156531</v>
      </c>
      <c r="N56" s="1">
        <v>2.9003000000000001</v>
      </c>
      <c r="O56" s="4">
        <f t="shared" si="6"/>
        <v>4.2493028443948697</v>
      </c>
      <c r="Q56" s="4" t="str">
        <f t="shared" si="7"/>
        <v/>
      </c>
      <c r="R56" s="1">
        <f>0.3279*2</f>
        <v>0.65580000000000005</v>
      </c>
      <c r="S56" s="4">
        <f t="shared" si="8"/>
        <v>2.4107239573930319</v>
      </c>
      <c r="U56" s="1" t="s">
        <v>318</v>
      </c>
      <c r="V56" s="1" t="s">
        <v>402</v>
      </c>
      <c r="W56" s="1" t="s">
        <v>402</v>
      </c>
      <c r="X56" s="1" t="s">
        <v>402</v>
      </c>
      <c r="Y56" s="1" t="s">
        <v>402</v>
      </c>
      <c r="Z56" s="1">
        <v>0.29647549715909088</v>
      </c>
      <c r="AA56" s="1">
        <v>40.141541151156531</v>
      </c>
      <c r="AB56" s="1">
        <v>4.2493028443948697</v>
      </c>
      <c r="AC56" s="1" t="s">
        <v>402</v>
      </c>
      <c r="AD56" s="1">
        <v>2.4107239573930319</v>
      </c>
    </row>
    <row r="57" spans="1:30">
      <c r="A57" s="1" t="s">
        <v>195</v>
      </c>
      <c r="C57" s="4" t="str">
        <f t="shared" si="0"/>
        <v/>
      </c>
      <c r="D57" s="1">
        <v>0.156</v>
      </c>
      <c r="E57" s="4">
        <f t="shared" si="1"/>
        <v>0.18469405958256527</v>
      </c>
      <c r="G57" s="4" t="str">
        <f t="shared" si="2"/>
        <v/>
      </c>
      <c r="H57" s="1">
        <v>0.39829999999999999</v>
      </c>
      <c r="I57" s="4">
        <f t="shared" si="3"/>
        <v>0.33777863367194644</v>
      </c>
      <c r="J57" s="1">
        <v>0.39589999999999997</v>
      </c>
      <c r="K57" s="4">
        <f t="shared" si="4"/>
        <v>0.29314630681818177</v>
      </c>
      <c r="L57" s="1">
        <v>91.9602</v>
      </c>
      <c r="M57" s="4">
        <f t="shared" si="5"/>
        <v>61.963488434642279</v>
      </c>
      <c r="N57" s="1">
        <v>48.111199999999997</v>
      </c>
      <c r="O57" s="4">
        <f t="shared" si="6"/>
        <v>67.287367540435028</v>
      </c>
      <c r="Q57" s="4" t="str">
        <f t="shared" si="7"/>
        <v/>
      </c>
      <c r="R57" s="1">
        <f>0.2373*2</f>
        <v>0.47460000000000002</v>
      </c>
      <c r="S57" s="4">
        <f t="shared" si="8"/>
        <v>2.0835890955046041</v>
      </c>
      <c r="U57" s="1" t="s">
        <v>319</v>
      </c>
      <c r="V57" s="1" t="s">
        <v>402</v>
      </c>
      <c r="W57" s="1">
        <v>0.18469405958256527</v>
      </c>
      <c r="X57" s="1" t="s">
        <v>402</v>
      </c>
      <c r="Y57" s="1">
        <v>0.33777863367194644</v>
      </c>
      <c r="Z57" s="1">
        <v>0.29314630681818177</v>
      </c>
      <c r="AA57" s="1">
        <v>61.963488434642279</v>
      </c>
      <c r="AB57" s="1">
        <v>67.287367540435028</v>
      </c>
      <c r="AC57" s="1" t="s">
        <v>402</v>
      </c>
      <c r="AD57" s="1">
        <v>2.0835890955046041</v>
      </c>
    </row>
    <row r="58" spans="1:30">
      <c r="A58" s="1" t="s">
        <v>196</v>
      </c>
      <c r="B58" s="1">
        <f>0.0083*2</f>
        <v>1.66E-2</v>
      </c>
      <c r="C58" s="4">
        <f t="shared" si="0"/>
        <v>0.35245901639344263</v>
      </c>
      <c r="D58" s="1">
        <f>0.0288*2</f>
        <v>5.7599999999999998E-2</v>
      </c>
      <c r="E58" s="4">
        <f t="shared" si="1"/>
        <v>0.12618183980495926</v>
      </c>
      <c r="G58" s="4" t="str">
        <f t="shared" si="2"/>
        <v/>
      </c>
      <c r="H58" s="1">
        <v>1.6799999999999999E-2</v>
      </c>
      <c r="I58" s="4">
        <f t="shared" si="3"/>
        <v>0.15410909441047613</v>
      </c>
      <c r="J58" s="1">
        <v>0.62050000000000005</v>
      </c>
      <c r="K58" s="4">
        <f t="shared" si="4"/>
        <v>0.39284446022727271</v>
      </c>
      <c r="L58" s="1">
        <v>22.170400000000001</v>
      </c>
      <c r="M58" s="4">
        <f t="shared" si="5"/>
        <v>15.036511565357719</v>
      </c>
      <c r="N58" s="1">
        <v>11.055899999999999</v>
      </c>
      <c r="O58" s="4">
        <f t="shared" si="6"/>
        <v>15.620747350808701</v>
      </c>
      <c r="Q58" s="4" t="str">
        <f t="shared" si="7"/>
        <v/>
      </c>
      <c r="R58" s="1">
        <f>0.1867*2</f>
        <v>0.37340000000000001</v>
      </c>
      <c r="S58" s="4">
        <f t="shared" si="8"/>
        <v>1.9008846362159235</v>
      </c>
      <c r="U58" s="1" t="s">
        <v>320</v>
      </c>
      <c r="V58" s="1">
        <v>0.35245901639344263</v>
      </c>
      <c r="W58" s="1">
        <v>0.12618183980495926</v>
      </c>
      <c r="X58" s="1" t="s">
        <v>402</v>
      </c>
      <c r="Y58" s="1">
        <v>0.15410909441047613</v>
      </c>
      <c r="Z58" s="1">
        <v>0.39284446022727271</v>
      </c>
      <c r="AA58" s="1">
        <v>15.036511565357719</v>
      </c>
      <c r="AB58" s="1">
        <v>15.620747350808701</v>
      </c>
      <c r="AC58" s="1" t="s">
        <v>402</v>
      </c>
      <c r="AD58" s="1">
        <v>1.9008846362159235</v>
      </c>
    </row>
    <row r="59" spans="1:30">
      <c r="A59" s="1" t="s">
        <v>197</v>
      </c>
      <c r="B59" s="1">
        <f>0.0101*2</f>
        <v>2.0199999999999999E-2</v>
      </c>
      <c r="C59" s="4">
        <f t="shared" si="0"/>
        <v>0.35737704918032787</v>
      </c>
      <c r="D59" s="1">
        <f>0.1141*2</f>
        <v>0.22819999999999999</v>
      </c>
      <c r="E59" s="4">
        <f t="shared" si="1"/>
        <v>0.2276268062080038</v>
      </c>
      <c r="G59" s="4" t="str">
        <f t="shared" si="2"/>
        <v/>
      </c>
      <c r="H59" s="1">
        <v>0.58599999999999997</v>
      </c>
      <c r="I59" s="4">
        <f t="shared" si="3"/>
        <v>0.42814500986952958</v>
      </c>
      <c r="J59" s="1">
        <v>0.71030000000000004</v>
      </c>
      <c r="K59" s="4">
        <f t="shared" si="4"/>
        <v>0.43270596590909094</v>
      </c>
      <c r="L59" s="1">
        <v>39.486499999999999</v>
      </c>
      <c r="M59" s="4">
        <f t="shared" si="5"/>
        <v>26.679935449166216</v>
      </c>
      <c r="N59" s="1">
        <v>24.056699999999999</v>
      </c>
      <c r="O59" s="4">
        <f t="shared" si="6"/>
        <v>33.747908533184614</v>
      </c>
      <c r="Q59" s="4" t="str">
        <f t="shared" si="7"/>
        <v/>
      </c>
      <c r="S59" s="4" t="str">
        <f t="shared" si="8"/>
        <v/>
      </c>
      <c r="U59" s="1" t="s">
        <v>321</v>
      </c>
      <c r="V59" s="1">
        <v>0.35737704918032787</v>
      </c>
      <c r="W59" s="1">
        <v>0.2276268062080038</v>
      </c>
      <c r="X59" s="1" t="s">
        <v>402</v>
      </c>
      <c r="Y59" s="1">
        <v>0.42814500986952958</v>
      </c>
      <c r="Z59" s="1">
        <v>0.43270596590909094</v>
      </c>
      <c r="AA59" s="1">
        <v>26.679935449166216</v>
      </c>
      <c r="AB59" s="1">
        <v>33.747908533184614</v>
      </c>
      <c r="AC59" s="1" t="s">
        <v>402</v>
      </c>
      <c r="AD59" s="1" t="s">
        <v>402</v>
      </c>
    </row>
    <row r="60" spans="1:30">
      <c r="A60" s="1" t="s">
        <v>198</v>
      </c>
      <c r="B60" s="1">
        <f>0.0118*2</f>
        <v>2.3599999999999999E-2</v>
      </c>
      <c r="C60" s="4">
        <f t="shared" si="0"/>
        <v>0.36202185792349728</v>
      </c>
      <c r="D60" s="1">
        <f>0.0773*2</f>
        <v>0.15459999999999999</v>
      </c>
      <c r="E60" s="4">
        <f t="shared" si="1"/>
        <v>0.18386156865077005</v>
      </c>
      <c r="G60" s="4" t="str">
        <f t="shared" si="2"/>
        <v/>
      </c>
      <c r="H60" s="1">
        <v>0.28860000000000002</v>
      </c>
      <c r="I60" s="4">
        <f t="shared" si="3"/>
        <v>0.28496461412546342</v>
      </c>
      <c r="J60" s="1">
        <v>1.0610999999999999</v>
      </c>
      <c r="K60" s="4">
        <f t="shared" si="4"/>
        <v>0.58842329545454541</v>
      </c>
      <c r="L60" s="1">
        <v>57.944600000000001</v>
      </c>
      <c r="M60" s="4">
        <f t="shared" si="5"/>
        <v>39.09124529316837</v>
      </c>
      <c r="N60" s="1">
        <v>26.440300000000001</v>
      </c>
      <c r="O60" s="4">
        <f t="shared" si="6"/>
        <v>37.071388733965428</v>
      </c>
      <c r="Q60" s="4" t="str">
        <f t="shared" si="7"/>
        <v/>
      </c>
      <c r="S60" s="4" t="str">
        <f t="shared" si="8"/>
        <v/>
      </c>
      <c r="U60" s="1" t="s">
        <v>322</v>
      </c>
      <c r="V60" s="1">
        <v>0.36202185792349728</v>
      </c>
      <c r="W60" s="1">
        <v>0.18386156865077005</v>
      </c>
      <c r="X60" s="1" t="s">
        <v>402</v>
      </c>
      <c r="Y60" s="1">
        <v>0.28496461412546342</v>
      </c>
      <c r="Z60" s="1">
        <v>0.58842329545454541</v>
      </c>
      <c r="AA60" s="1">
        <v>39.09124529316837</v>
      </c>
      <c r="AB60" s="1">
        <v>37.071388733965428</v>
      </c>
      <c r="AC60" s="1" t="s">
        <v>402</v>
      </c>
      <c r="AD60" s="1" t="s">
        <v>402</v>
      </c>
    </row>
    <row r="61" spans="1:30">
      <c r="A61" s="1" t="s">
        <v>199</v>
      </c>
      <c r="B61" s="1">
        <f>0.0078*2</f>
        <v>1.5599999999999999E-2</v>
      </c>
      <c r="C61" s="4">
        <f t="shared" si="0"/>
        <v>0.35109289617486339</v>
      </c>
      <c r="D61" s="1">
        <f>0.0995*2</f>
        <v>0.19900000000000001</v>
      </c>
      <c r="E61" s="4">
        <f t="shared" si="1"/>
        <v>0.21026342391627523</v>
      </c>
      <c r="G61" s="4" t="str">
        <f t="shared" si="2"/>
        <v/>
      </c>
      <c r="H61" s="1">
        <v>0.27160000000000001</v>
      </c>
      <c r="I61" s="4">
        <f t="shared" si="3"/>
        <v>0.27678012613740305</v>
      </c>
      <c r="J61" s="1">
        <v>0.55700000000000005</v>
      </c>
      <c r="K61" s="4">
        <f t="shared" si="4"/>
        <v>0.36465731534090912</v>
      </c>
      <c r="L61" s="1">
        <v>47.783299999999997</v>
      </c>
      <c r="M61" s="4">
        <f t="shared" si="5"/>
        <v>32.258741258741253</v>
      </c>
      <c r="N61" s="1">
        <v>23.689499999999999</v>
      </c>
      <c r="O61" s="4">
        <f t="shared" si="6"/>
        <v>33.235917456776356</v>
      </c>
      <c r="Q61" s="4" t="str">
        <f t="shared" si="7"/>
        <v/>
      </c>
      <c r="R61" s="1">
        <f>0.1754*2</f>
        <v>0.3508</v>
      </c>
      <c r="S61" s="4">
        <f t="shared" si="8"/>
        <v>1.8600830474814951</v>
      </c>
      <c r="U61" s="1" t="s">
        <v>323</v>
      </c>
      <c r="V61" s="1">
        <v>0.35109289617486339</v>
      </c>
      <c r="W61" s="1">
        <v>0.21026342391627523</v>
      </c>
      <c r="X61" s="1" t="s">
        <v>402</v>
      </c>
      <c r="Y61" s="1">
        <v>0.27678012613740305</v>
      </c>
      <c r="Z61" s="1">
        <v>0.36465731534090912</v>
      </c>
      <c r="AA61" s="1">
        <v>32.258741258741253</v>
      </c>
      <c r="AB61" s="1">
        <v>33.235917456776356</v>
      </c>
      <c r="AC61" s="1" t="s">
        <v>402</v>
      </c>
      <c r="AD61" s="1">
        <v>1.8600830474814951</v>
      </c>
    </row>
    <row r="62" spans="1:30">
      <c r="A62" s="1" t="s">
        <v>200</v>
      </c>
      <c r="B62" s="1">
        <f>0.0304*2</f>
        <v>6.08E-2</v>
      </c>
      <c r="C62" s="4">
        <f t="shared" si="0"/>
        <v>0.41284153005464486</v>
      </c>
      <c r="D62" s="1">
        <f>0.0194*2</f>
        <v>3.8800000000000001E-2</v>
      </c>
      <c r="E62" s="4">
        <f t="shared" si="1"/>
        <v>0.11500267586370934</v>
      </c>
      <c r="G62" s="4" t="str">
        <f t="shared" si="2"/>
        <v/>
      </c>
      <c r="H62" s="1">
        <v>0.27229999999999999</v>
      </c>
      <c r="I62" s="4">
        <f t="shared" si="3"/>
        <v>0.27711713446632319</v>
      </c>
      <c r="J62" s="1">
        <v>0.28789999999999999</v>
      </c>
      <c r="K62" s="4">
        <f t="shared" si="4"/>
        <v>0.24520596590909088</v>
      </c>
      <c r="L62" s="1">
        <v>27.097999999999999</v>
      </c>
      <c r="M62" s="4">
        <f t="shared" si="5"/>
        <v>18.349852071005916</v>
      </c>
      <c r="N62" s="1">
        <v>7.4755000000000003</v>
      </c>
      <c r="O62" s="4">
        <f t="shared" si="6"/>
        <v>10.62855549358617</v>
      </c>
      <c r="Q62" s="4" t="str">
        <f t="shared" si="7"/>
        <v/>
      </c>
      <c r="S62" s="4" t="str">
        <f t="shared" si="8"/>
        <v/>
      </c>
      <c r="U62" s="1" t="s">
        <v>324</v>
      </c>
      <c r="V62" s="1">
        <v>0.41284153005464486</v>
      </c>
      <c r="W62" s="1">
        <v>0.11500267586370934</v>
      </c>
      <c r="X62" s="1" t="s">
        <v>402</v>
      </c>
      <c r="Y62" s="1">
        <v>0.27711713446632319</v>
      </c>
      <c r="Z62" s="1">
        <v>0.24520596590909088</v>
      </c>
      <c r="AA62" s="1">
        <v>18.349852071005916</v>
      </c>
      <c r="AB62" s="1">
        <v>10.62855549358617</v>
      </c>
      <c r="AC62" s="1" t="s">
        <v>402</v>
      </c>
      <c r="AD62" s="1" t="s">
        <v>402</v>
      </c>
    </row>
    <row r="63" spans="1:30">
      <c r="A63" s="1" t="s">
        <v>201</v>
      </c>
      <c r="B63" s="1">
        <v>2.76E-2</v>
      </c>
      <c r="C63" s="4">
        <f t="shared" si="0"/>
        <v>0.36748633879781423</v>
      </c>
      <c r="D63" s="1">
        <f>0.0471*2</f>
        <v>9.4200000000000006E-2</v>
      </c>
      <c r="E63" s="4">
        <f t="shared" si="1"/>
        <v>0.1479455313076054</v>
      </c>
      <c r="G63" s="4" t="str">
        <f t="shared" si="2"/>
        <v/>
      </c>
      <c r="H63" s="1">
        <v>0.12889999999999999</v>
      </c>
      <c r="I63" s="4">
        <f t="shared" si="3"/>
        <v>0.20807857108468539</v>
      </c>
      <c r="J63" s="1">
        <v>0.50070000000000003</v>
      </c>
      <c r="K63" s="4">
        <f t="shared" si="4"/>
        <v>0.33966619318181823</v>
      </c>
      <c r="L63" s="1">
        <v>19.566700000000001</v>
      </c>
      <c r="M63" s="4">
        <f t="shared" si="5"/>
        <v>13.285771920387305</v>
      </c>
      <c r="N63" s="1">
        <v>12.5177</v>
      </c>
      <c r="O63" s="4">
        <f t="shared" si="6"/>
        <v>17.658951477969882</v>
      </c>
      <c r="Q63" s="4" t="str">
        <f t="shared" si="7"/>
        <v/>
      </c>
      <c r="R63" s="1">
        <f>0.1698*2</f>
        <v>0.33960000000000001</v>
      </c>
      <c r="S63" s="4">
        <f t="shared" si="8"/>
        <v>1.8398627911175303</v>
      </c>
      <c r="U63" s="1" t="s">
        <v>325</v>
      </c>
      <c r="V63" s="1">
        <v>0.36748633879781423</v>
      </c>
      <c r="W63" s="1">
        <v>0.1479455313076054</v>
      </c>
      <c r="X63" s="1" t="s">
        <v>402</v>
      </c>
      <c r="Y63" s="1">
        <v>0.20807857108468539</v>
      </c>
      <c r="Z63" s="1">
        <v>0.33966619318181823</v>
      </c>
      <c r="AA63" s="1">
        <v>13.285771920387305</v>
      </c>
      <c r="AB63" s="1">
        <v>17.658951477969882</v>
      </c>
      <c r="AC63" s="1" t="s">
        <v>402</v>
      </c>
      <c r="AD63" s="1">
        <v>1.8398627911175303</v>
      </c>
    </row>
    <row r="64" spans="1:30">
      <c r="A64" s="1" t="s">
        <v>202</v>
      </c>
      <c r="B64" s="1">
        <v>0.06</v>
      </c>
      <c r="C64" s="4">
        <f t="shared" si="0"/>
        <v>0.41174863387978144</v>
      </c>
      <c r="E64" s="4" t="str">
        <f t="shared" si="1"/>
        <v/>
      </c>
      <c r="G64" s="4" t="str">
        <f t="shared" si="2"/>
        <v/>
      </c>
      <c r="I64" s="4" t="str">
        <f t="shared" si="3"/>
        <v/>
      </c>
      <c r="K64" s="4" t="str">
        <f t="shared" si="4"/>
        <v/>
      </c>
      <c r="L64" s="1">
        <v>62.302599999999998</v>
      </c>
      <c r="M64" s="4">
        <f t="shared" si="5"/>
        <v>42.021584185045718</v>
      </c>
      <c r="N64" s="1">
        <v>40.906999999999996</v>
      </c>
      <c r="O64" s="4">
        <f t="shared" si="6"/>
        <v>57.242470719464585</v>
      </c>
      <c r="Q64" s="4" t="str">
        <f t="shared" si="7"/>
        <v/>
      </c>
      <c r="R64" s="1">
        <f>0.3139*2</f>
        <v>0.62780000000000002</v>
      </c>
      <c r="S64" s="4">
        <f t="shared" si="8"/>
        <v>2.3601733164831202</v>
      </c>
      <c r="U64" s="1" t="s">
        <v>102</v>
      </c>
      <c r="V64" s="1">
        <v>0.41174863387978144</v>
      </c>
      <c r="W64" s="1" t="s">
        <v>402</v>
      </c>
      <c r="X64" s="1" t="s">
        <v>402</v>
      </c>
      <c r="Y64" s="1" t="s">
        <v>402</v>
      </c>
      <c r="Z64" s="1" t="s">
        <v>402</v>
      </c>
      <c r="AA64" s="1">
        <v>42.021584185045718</v>
      </c>
      <c r="AB64" s="1">
        <v>57.242470719464585</v>
      </c>
      <c r="AC64" s="1" t="s">
        <v>402</v>
      </c>
      <c r="AD64" s="1">
        <v>2.3601733164831202</v>
      </c>
    </row>
    <row r="65" spans="1:30">
      <c r="A65" s="1" t="s">
        <v>203</v>
      </c>
      <c r="B65" s="1">
        <v>6.6299999999999998E-2</v>
      </c>
      <c r="C65" s="4">
        <f t="shared" si="0"/>
        <v>0.42035519125683057</v>
      </c>
      <c r="E65" s="4" t="str">
        <f t="shared" si="1"/>
        <v/>
      </c>
      <c r="G65" s="4" t="str">
        <f t="shared" si="2"/>
        <v/>
      </c>
      <c r="I65" s="4" t="str">
        <f t="shared" si="3"/>
        <v/>
      </c>
      <c r="K65" s="4" t="str">
        <f t="shared" si="4"/>
        <v/>
      </c>
      <c r="L65" s="1">
        <v>139.83959999999999</v>
      </c>
      <c r="M65" s="4">
        <f t="shared" si="5"/>
        <v>94.157813340505641</v>
      </c>
      <c r="N65" s="1">
        <v>88.575599999999994</v>
      </c>
      <c r="O65" s="4">
        <f t="shared" si="6"/>
        <v>123.70733407696598</v>
      </c>
      <c r="P65" s="1">
        <v>0.23730000000000001</v>
      </c>
      <c r="Q65" s="4">
        <f t="shared" si="7"/>
        <v>1.2163048570982351</v>
      </c>
      <c r="R65" s="1">
        <f>0.6208*2</f>
        <v>1.2416</v>
      </c>
      <c r="S65" s="4">
        <f t="shared" si="8"/>
        <v>3.4683155804296808</v>
      </c>
      <c r="U65" s="1" t="s">
        <v>107</v>
      </c>
      <c r="V65" s="1">
        <v>0.42035519125683057</v>
      </c>
      <c r="W65" s="1" t="s">
        <v>402</v>
      </c>
      <c r="X65" s="1" t="s">
        <v>402</v>
      </c>
      <c r="Y65" s="1" t="s">
        <v>402</v>
      </c>
      <c r="Z65" s="1" t="s">
        <v>402</v>
      </c>
      <c r="AA65" s="1">
        <v>94.157813340505641</v>
      </c>
      <c r="AB65" s="1">
        <v>123.70733407696598</v>
      </c>
      <c r="AC65" s="1">
        <v>1.2163048570982351</v>
      </c>
      <c r="AD65" s="1">
        <v>3.4683155804296808</v>
      </c>
    </row>
    <row r="66" spans="1:30">
      <c r="A66" s="1" t="s">
        <v>204</v>
      </c>
      <c r="B66" s="1">
        <v>7.6799999999999993E-2</v>
      </c>
      <c r="C66" s="4">
        <f t="shared" si="0"/>
        <v>0.43469945355191253</v>
      </c>
      <c r="E66" s="4" t="str">
        <f t="shared" si="1"/>
        <v/>
      </c>
      <c r="G66" s="4" t="str">
        <f t="shared" si="2"/>
        <v/>
      </c>
      <c r="H66" s="1">
        <v>4.6699999999999998E-2</v>
      </c>
      <c r="I66" s="4">
        <f t="shared" si="3"/>
        <v>0.16850416446006453</v>
      </c>
      <c r="J66" s="1">
        <v>0.33389999999999997</v>
      </c>
      <c r="K66" s="4">
        <f t="shared" si="4"/>
        <v>0.265625</v>
      </c>
      <c r="L66" s="1">
        <v>36.122300000000003</v>
      </c>
      <c r="M66" s="4">
        <f t="shared" si="5"/>
        <v>24.417832167832167</v>
      </c>
      <c r="N66" s="1">
        <v>27.892299999999999</v>
      </c>
      <c r="O66" s="4">
        <f t="shared" si="6"/>
        <v>39.095928611266039</v>
      </c>
      <c r="Q66" s="4" t="str">
        <f t="shared" si="7"/>
        <v/>
      </c>
      <c r="S66" s="4" t="str">
        <f t="shared" si="8"/>
        <v/>
      </c>
      <c r="U66" s="1" t="s">
        <v>326</v>
      </c>
      <c r="V66" s="1">
        <v>0.43469945355191253</v>
      </c>
      <c r="W66" s="1" t="s">
        <v>402</v>
      </c>
      <c r="X66" s="1" t="s">
        <v>402</v>
      </c>
      <c r="Y66" s="1">
        <v>0.16850416446006453</v>
      </c>
      <c r="Z66" s="1">
        <v>0.265625</v>
      </c>
      <c r="AA66" s="1">
        <v>24.417832167832167</v>
      </c>
      <c r="AB66" s="1">
        <v>39.095928611266039</v>
      </c>
      <c r="AC66" s="1" t="s">
        <v>402</v>
      </c>
      <c r="AD66" s="1" t="s">
        <v>402</v>
      </c>
    </row>
    <row r="67" spans="1:30">
      <c r="A67" s="1" t="s">
        <v>205</v>
      </c>
      <c r="B67" s="1">
        <v>0.15010000000000001</v>
      </c>
      <c r="C67" s="4">
        <f t="shared" si="0"/>
        <v>0.5348360655737705</v>
      </c>
      <c r="E67" s="4" t="str">
        <f t="shared" si="1"/>
        <v/>
      </c>
      <c r="F67" s="1">
        <v>0.42220000000000002</v>
      </c>
      <c r="G67" s="4">
        <f t="shared" si="2"/>
        <v>0.36364211992654977</v>
      </c>
      <c r="H67" s="1">
        <v>0.22109999999999999</v>
      </c>
      <c r="I67" s="4">
        <f t="shared" si="3"/>
        <v>0.25246738240816519</v>
      </c>
      <c r="J67" s="1">
        <v>1.2783</v>
      </c>
      <c r="K67" s="4">
        <f t="shared" si="4"/>
        <v>0.68483664772727271</v>
      </c>
      <c r="L67" s="1">
        <v>40.632899999999999</v>
      </c>
      <c r="M67" s="4">
        <f t="shared" si="5"/>
        <v>27.450779989241525</v>
      </c>
      <c r="N67" s="1">
        <v>16.607500000000002</v>
      </c>
      <c r="O67" s="4">
        <f t="shared" si="6"/>
        <v>23.361405465699949</v>
      </c>
      <c r="Q67" s="4" t="str">
        <f t="shared" si="7"/>
        <v/>
      </c>
      <c r="S67" s="4" t="str">
        <f t="shared" si="8"/>
        <v/>
      </c>
      <c r="U67" s="1" t="s">
        <v>327</v>
      </c>
      <c r="V67" s="1">
        <v>0.5348360655737705</v>
      </c>
      <c r="W67" s="1" t="s">
        <v>402</v>
      </c>
      <c r="X67" s="1">
        <v>0.36364211992654977</v>
      </c>
      <c r="Y67" s="1">
        <v>0.25246738240816519</v>
      </c>
      <c r="Z67" s="1">
        <v>0.68483664772727271</v>
      </c>
      <c r="AA67" s="1">
        <v>27.450779989241525</v>
      </c>
      <c r="AB67" s="1">
        <v>23.361405465699949</v>
      </c>
      <c r="AC67" s="1" t="s">
        <v>402</v>
      </c>
      <c r="AD67" s="1" t="s">
        <v>402</v>
      </c>
    </row>
    <row r="68" spans="1:30">
      <c r="A68" s="1" t="s">
        <v>206</v>
      </c>
      <c r="B68" s="1">
        <v>2.47E-2</v>
      </c>
      <c r="C68" s="4">
        <f t="shared" si="0"/>
        <v>0.36352459016393446</v>
      </c>
      <c r="D68" s="1">
        <f>0.0173*2</f>
        <v>3.4599999999999999E-2</v>
      </c>
      <c r="E68" s="4">
        <f t="shared" si="1"/>
        <v>0.11250520306832371</v>
      </c>
      <c r="G68" s="4" t="str">
        <f t="shared" si="2"/>
        <v/>
      </c>
      <c r="H68" s="1">
        <v>3.27E-2</v>
      </c>
      <c r="I68" s="4">
        <f t="shared" si="3"/>
        <v>0.16176399788166193</v>
      </c>
      <c r="J68" s="1">
        <v>0.50619999999999998</v>
      </c>
      <c r="K68" s="4">
        <f t="shared" si="4"/>
        <v>0.34210759943181812</v>
      </c>
      <c r="L68" s="1">
        <v>46.388300000000001</v>
      </c>
      <c r="M68" s="4">
        <f t="shared" si="5"/>
        <v>31.320736955352338</v>
      </c>
      <c r="N68" s="1">
        <v>33.301200000000001</v>
      </c>
      <c r="O68" s="4">
        <f t="shared" si="6"/>
        <v>46.637618516452882</v>
      </c>
      <c r="Q68" s="4" t="str">
        <f t="shared" si="7"/>
        <v/>
      </c>
      <c r="R68" s="1">
        <f>0.1472*2</f>
        <v>0.2944</v>
      </c>
      <c r="S68" s="4">
        <f t="shared" si="8"/>
        <v>1.7582596136486732</v>
      </c>
      <c r="U68" s="1" t="s">
        <v>328</v>
      </c>
      <c r="V68" s="1">
        <v>0.36352459016393446</v>
      </c>
      <c r="W68" s="1">
        <v>0.11250520306832371</v>
      </c>
      <c r="X68" s="1" t="s">
        <v>402</v>
      </c>
      <c r="Y68" s="1">
        <v>0.16176399788166193</v>
      </c>
      <c r="Z68" s="1">
        <v>0.34210759943181812</v>
      </c>
      <c r="AA68" s="1">
        <v>31.320736955352338</v>
      </c>
      <c r="AB68" s="1">
        <v>46.637618516452882</v>
      </c>
      <c r="AC68" s="1" t="s">
        <v>402</v>
      </c>
      <c r="AD68" s="1">
        <v>1.7582596136486732</v>
      </c>
    </row>
    <row r="69" spans="1:30">
      <c r="A69" s="1" t="s">
        <v>207</v>
      </c>
      <c r="C69" s="4" t="str">
        <f t="shared" si="0"/>
        <v/>
      </c>
      <c r="E69" s="4" t="str">
        <f t="shared" si="1"/>
        <v/>
      </c>
      <c r="G69" s="4" t="str">
        <f t="shared" si="2"/>
        <v/>
      </c>
      <c r="I69" s="4" t="str">
        <f t="shared" si="3"/>
        <v/>
      </c>
      <c r="K69" s="4" t="str">
        <f t="shared" si="4"/>
        <v/>
      </c>
      <c r="L69" s="1">
        <v>2.9874000000000001</v>
      </c>
      <c r="M69" s="4">
        <f t="shared" si="5"/>
        <v>2.1377756858526089</v>
      </c>
      <c r="N69" s="1">
        <v>1.0607</v>
      </c>
      <c r="O69" s="4">
        <f t="shared" si="6"/>
        <v>1.6843279419966537</v>
      </c>
      <c r="Q69" s="4" t="str">
        <f t="shared" si="7"/>
        <v/>
      </c>
      <c r="S69" s="4" t="str">
        <f t="shared" si="8"/>
        <v/>
      </c>
      <c r="U69" s="1" t="s">
        <v>329</v>
      </c>
      <c r="V69" s="1" t="s">
        <v>402</v>
      </c>
      <c r="W69" s="1" t="s">
        <v>402</v>
      </c>
      <c r="X69" s="1" t="s">
        <v>402</v>
      </c>
      <c r="Y69" s="1" t="s">
        <v>402</v>
      </c>
      <c r="Z69" s="1" t="s">
        <v>402</v>
      </c>
      <c r="AA69" s="1">
        <v>2.1377756858526089</v>
      </c>
      <c r="AB69" s="1">
        <v>1.6843279419966537</v>
      </c>
      <c r="AC69" s="1" t="s">
        <v>402</v>
      </c>
      <c r="AD69" s="1" t="s">
        <v>402</v>
      </c>
    </row>
    <row r="70" spans="1:30">
      <c r="A70" s="1" t="s">
        <v>208</v>
      </c>
      <c r="C70" s="4" t="str">
        <f t="shared" si="0"/>
        <v/>
      </c>
      <c r="E70" s="4" t="str">
        <f t="shared" si="1"/>
        <v/>
      </c>
      <c r="F70" s="1">
        <v>0.53400000000000003</v>
      </c>
      <c r="G70" s="4">
        <f t="shared" si="2"/>
        <v>0.43443297663521818</v>
      </c>
      <c r="H70" s="1">
        <v>0.16220000000000001</v>
      </c>
      <c r="I70" s="4">
        <f t="shared" si="3"/>
        <v>0.2241105387318858</v>
      </c>
      <c r="J70" s="1">
        <v>0.92010000000000003</v>
      </c>
      <c r="K70" s="4">
        <f t="shared" si="4"/>
        <v>0.52583451704545459</v>
      </c>
      <c r="L70" s="1">
        <v>27.894500000000001</v>
      </c>
      <c r="M70" s="4">
        <f t="shared" si="5"/>
        <v>18.885422270037655</v>
      </c>
      <c r="N70" s="1">
        <v>15.487299999999999</v>
      </c>
      <c r="O70" s="4">
        <f t="shared" si="6"/>
        <v>21.799498047964306</v>
      </c>
      <c r="Q70" s="4" t="str">
        <f t="shared" si="7"/>
        <v/>
      </c>
      <c r="S70" s="4" t="str">
        <f t="shared" si="8"/>
        <v/>
      </c>
      <c r="U70" s="1" t="s">
        <v>330</v>
      </c>
      <c r="V70" s="1" t="s">
        <v>402</v>
      </c>
      <c r="W70" s="1" t="s">
        <v>402</v>
      </c>
      <c r="X70" s="1">
        <v>0.43443297663521818</v>
      </c>
      <c r="Y70" s="1">
        <v>0.2241105387318858</v>
      </c>
      <c r="Z70" s="1">
        <v>0.52583451704545459</v>
      </c>
      <c r="AA70" s="1">
        <v>18.885422270037655</v>
      </c>
      <c r="AB70" s="1">
        <v>21.799498047964306</v>
      </c>
      <c r="AC70" s="1" t="s">
        <v>402</v>
      </c>
      <c r="AD70" s="1" t="s">
        <v>402</v>
      </c>
    </row>
    <row r="71" spans="1:30">
      <c r="A71" s="1" t="s">
        <v>209</v>
      </c>
      <c r="C71" s="4" t="str">
        <f t="shared" si="0"/>
        <v/>
      </c>
      <c r="E71" s="4" t="str">
        <f t="shared" si="1"/>
        <v/>
      </c>
      <c r="F71" s="1">
        <v>9.6600000000000005E-2</v>
      </c>
      <c r="G71" s="4">
        <f t="shared" si="2"/>
        <v>0.1574748306211613</v>
      </c>
      <c r="H71" s="1">
        <v>7.0300000000000001E-2</v>
      </c>
      <c r="I71" s="4">
        <f t="shared" si="3"/>
        <v>0.17986615954937174</v>
      </c>
      <c r="J71" s="1">
        <v>0.66159999999999997</v>
      </c>
      <c r="K71" s="4">
        <f t="shared" si="4"/>
        <v>0.41108842329545447</v>
      </c>
      <c r="L71" s="1">
        <v>4.3133999999999997</v>
      </c>
      <c r="M71" s="4">
        <f t="shared" si="5"/>
        <v>3.0293840774610006</v>
      </c>
      <c r="N71" s="1">
        <v>3.3448000000000002</v>
      </c>
      <c r="O71" s="4">
        <f t="shared" si="6"/>
        <v>4.8690741773563868</v>
      </c>
      <c r="Q71" s="4" t="str">
        <f t="shared" si="7"/>
        <v/>
      </c>
      <c r="S71" s="4" t="str">
        <f t="shared" si="8"/>
        <v/>
      </c>
      <c r="U71" s="1" t="s">
        <v>331</v>
      </c>
      <c r="V71" s="1" t="s">
        <v>402</v>
      </c>
      <c r="W71" s="1" t="s">
        <v>402</v>
      </c>
      <c r="X71" s="1">
        <v>0.1574748306211613</v>
      </c>
      <c r="Y71" s="1">
        <v>0.17986615954937174</v>
      </c>
      <c r="Z71" s="1">
        <v>0.41108842329545447</v>
      </c>
      <c r="AA71" s="1">
        <v>3.0293840774610006</v>
      </c>
      <c r="AB71" s="1">
        <v>4.8690741773563868</v>
      </c>
      <c r="AC71" s="1" t="s">
        <v>402</v>
      </c>
      <c r="AD71" s="1" t="s">
        <v>402</v>
      </c>
    </row>
    <row r="72" spans="1:30">
      <c r="A72" s="1" t="s">
        <v>210</v>
      </c>
      <c r="C72" s="4" t="str">
        <f t="shared" si="0"/>
        <v/>
      </c>
      <c r="E72" s="4" t="str">
        <f t="shared" si="1"/>
        <v/>
      </c>
      <c r="F72" s="1">
        <f>0.2542*2</f>
        <v>0.50839999999999996</v>
      </c>
      <c r="G72" s="4">
        <f t="shared" si="2"/>
        <v>0.41822326347115812</v>
      </c>
      <c r="H72" s="1">
        <v>0.28160000000000002</v>
      </c>
      <c r="I72" s="4">
        <f t="shared" si="3"/>
        <v>0.28159453083626207</v>
      </c>
      <c r="J72" s="1">
        <v>2.1837</v>
      </c>
      <c r="K72" s="4">
        <f t="shared" si="4"/>
        <v>1.0867365056818181</v>
      </c>
      <c r="L72" s="1">
        <v>144.83269999999999</v>
      </c>
      <c r="M72" s="4">
        <f t="shared" si="5"/>
        <v>97.51519634211941</v>
      </c>
      <c r="N72" s="1">
        <v>62.1586</v>
      </c>
      <c r="O72" s="4">
        <f t="shared" si="6"/>
        <v>86.873814835471279</v>
      </c>
      <c r="Q72" s="4" t="str">
        <f t="shared" si="7"/>
        <v/>
      </c>
      <c r="R72" s="1">
        <f>0.4712*2</f>
        <v>0.94240000000000002</v>
      </c>
      <c r="S72" s="4">
        <f t="shared" si="8"/>
        <v>2.928145874706626</v>
      </c>
      <c r="U72" s="1" t="s">
        <v>332</v>
      </c>
      <c r="V72" s="1" t="s">
        <v>402</v>
      </c>
      <c r="W72" s="1" t="s">
        <v>402</v>
      </c>
      <c r="X72" s="1">
        <v>0.41822326347115812</v>
      </c>
      <c r="Y72" s="1">
        <v>0.28159453083626207</v>
      </c>
      <c r="Z72" s="1">
        <v>1.0867365056818181</v>
      </c>
      <c r="AA72" s="1">
        <v>97.51519634211941</v>
      </c>
      <c r="AB72" s="1">
        <v>86.873814835471279</v>
      </c>
      <c r="AC72" s="1" t="s">
        <v>402</v>
      </c>
      <c r="AD72" s="1">
        <v>2.928145874706626</v>
      </c>
    </row>
    <row r="73" spans="1:30">
      <c r="A73" s="1" t="s">
        <v>211</v>
      </c>
      <c r="C73" s="4" t="str">
        <f t="shared" si="0"/>
        <v/>
      </c>
      <c r="E73" s="4" t="str">
        <f t="shared" si="1"/>
        <v/>
      </c>
      <c r="G73" s="4" t="str">
        <f t="shared" si="2"/>
        <v/>
      </c>
      <c r="I73" s="4" t="str">
        <f t="shared" si="3"/>
        <v/>
      </c>
      <c r="K73" s="4" t="str">
        <f t="shared" si="4"/>
        <v/>
      </c>
      <c r="L73" s="1">
        <v>25.870200000000001</v>
      </c>
      <c r="M73" s="4">
        <f t="shared" si="5"/>
        <v>17.524273803119957</v>
      </c>
      <c r="N73" s="1">
        <v>21.249199999999998</v>
      </c>
      <c r="O73" s="4">
        <f t="shared" si="6"/>
        <v>29.833379810373678</v>
      </c>
      <c r="P73" s="1">
        <v>0.15110000000000001</v>
      </c>
      <c r="Q73" s="4">
        <f t="shared" si="7"/>
        <v>1.0816804622833047</v>
      </c>
      <c r="R73" s="1">
        <v>0.23400000000000001</v>
      </c>
      <c r="S73" s="4">
        <f t="shared" si="8"/>
        <v>1.6492146596858639</v>
      </c>
      <c r="U73" s="1" t="s">
        <v>96</v>
      </c>
      <c r="V73" s="1" t="s">
        <v>402</v>
      </c>
      <c r="W73" s="1" t="s">
        <v>402</v>
      </c>
      <c r="X73" s="1" t="s">
        <v>402</v>
      </c>
      <c r="Y73" s="1" t="s">
        <v>402</v>
      </c>
      <c r="Z73" s="1" t="s">
        <v>402</v>
      </c>
      <c r="AA73" s="1">
        <v>17.524273803119957</v>
      </c>
      <c r="AB73" s="1">
        <v>29.833379810373678</v>
      </c>
      <c r="AC73" s="1">
        <v>1.0816804622833047</v>
      </c>
      <c r="AD73" s="1">
        <v>1.6492146596858639</v>
      </c>
    </row>
    <row r="74" spans="1:30">
      <c r="A74" s="1" t="s">
        <v>203</v>
      </c>
      <c r="C74" s="4" t="str">
        <f t="shared" si="0"/>
        <v/>
      </c>
      <c r="E74" s="4" t="str">
        <f t="shared" si="1"/>
        <v/>
      </c>
      <c r="G74" s="4" t="str">
        <f t="shared" si="2"/>
        <v/>
      </c>
      <c r="I74" s="4" t="str">
        <f t="shared" si="3"/>
        <v/>
      </c>
      <c r="K74" s="4" t="str">
        <f t="shared" si="4"/>
        <v/>
      </c>
      <c r="L74" s="1">
        <v>10.097899999999999</v>
      </c>
      <c r="M74" s="4">
        <f t="shared" si="5"/>
        <v>6.9189080150618603</v>
      </c>
      <c r="N74" s="1">
        <v>10.084199999999999</v>
      </c>
      <c r="O74" s="4">
        <f t="shared" si="6"/>
        <v>14.265895147796988</v>
      </c>
      <c r="Q74" s="4" t="str">
        <f t="shared" si="7"/>
        <v/>
      </c>
      <c r="R74" s="1">
        <v>0.13170000000000001</v>
      </c>
      <c r="S74" s="4">
        <f t="shared" si="8"/>
        <v>1.4645242823614373</v>
      </c>
      <c r="U74" s="1" t="s">
        <v>107</v>
      </c>
      <c r="V74" s="1" t="s">
        <v>402</v>
      </c>
      <c r="W74" s="1" t="s">
        <v>402</v>
      </c>
      <c r="X74" s="1" t="s">
        <v>402</v>
      </c>
      <c r="Y74" s="1" t="s">
        <v>402</v>
      </c>
      <c r="Z74" s="1" t="s">
        <v>402</v>
      </c>
      <c r="AA74" s="1">
        <v>6.9189080150618603</v>
      </c>
      <c r="AB74" s="1">
        <v>14.265895147796988</v>
      </c>
      <c r="AC74" s="1" t="s">
        <v>402</v>
      </c>
      <c r="AD74" s="1">
        <v>1.4645242823614373</v>
      </c>
    </row>
    <row r="75" spans="1:30">
      <c r="A75" s="1" t="s">
        <v>108</v>
      </c>
      <c r="C75" s="4" t="str">
        <f t="shared" si="0"/>
        <v/>
      </c>
      <c r="E75" s="4" t="str">
        <f t="shared" si="1"/>
        <v/>
      </c>
      <c r="G75" s="4" t="str">
        <f t="shared" si="2"/>
        <v/>
      </c>
      <c r="I75" s="4" t="str">
        <f t="shared" si="3"/>
        <v/>
      </c>
      <c r="K75" s="4" t="str">
        <f t="shared" si="4"/>
        <v/>
      </c>
      <c r="L75" s="1">
        <v>11.1435</v>
      </c>
      <c r="M75" s="4">
        <f t="shared" si="5"/>
        <v>7.6219741796664868</v>
      </c>
      <c r="N75" s="1">
        <v>10.9171</v>
      </c>
      <c r="O75" s="4">
        <f t="shared" si="6"/>
        <v>15.427216954824317</v>
      </c>
      <c r="Q75" s="4" t="str">
        <f t="shared" si="7"/>
        <v/>
      </c>
      <c r="R75" s="1">
        <v>0.10979999999999999</v>
      </c>
      <c r="S75" s="4">
        <f t="shared" si="8"/>
        <v>1.4249864596497563</v>
      </c>
      <c r="U75" s="1" t="s">
        <v>108</v>
      </c>
      <c r="V75" s="1" t="s">
        <v>402</v>
      </c>
      <c r="W75" s="1" t="s">
        <v>402</v>
      </c>
      <c r="X75" s="1" t="s">
        <v>402</v>
      </c>
      <c r="Y75" s="1" t="s">
        <v>402</v>
      </c>
      <c r="Z75" s="1" t="s">
        <v>402</v>
      </c>
      <c r="AA75" s="1">
        <v>7.6219741796664868</v>
      </c>
      <c r="AB75" s="1">
        <v>15.427216954824317</v>
      </c>
      <c r="AC75" s="1" t="s">
        <v>402</v>
      </c>
      <c r="AD75" s="1">
        <v>1.4249864596497563</v>
      </c>
    </row>
    <row r="76" spans="1:30">
      <c r="A76" s="1" t="s">
        <v>109</v>
      </c>
      <c r="C76" s="4" t="str">
        <f t="shared" si="0"/>
        <v/>
      </c>
      <c r="E76" s="4" t="str">
        <f t="shared" si="1"/>
        <v/>
      </c>
      <c r="G76" s="4" t="str">
        <f t="shared" si="2"/>
        <v/>
      </c>
      <c r="I76" s="4" t="str">
        <f t="shared" si="3"/>
        <v/>
      </c>
      <c r="K76" s="4" t="str">
        <f t="shared" si="4"/>
        <v/>
      </c>
      <c r="L76" s="1">
        <v>11.168200000000001</v>
      </c>
      <c r="M76" s="4">
        <f t="shared" si="5"/>
        <v>7.6385825712748794</v>
      </c>
      <c r="N76" s="1">
        <v>11.157</v>
      </c>
      <c r="O76" s="4">
        <f t="shared" si="6"/>
        <v>15.761712214166202</v>
      </c>
      <c r="Q76" s="4" t="str">
        <f t="shared" si="7"/>
        <v/>
      </c>
      <c r="R76" s="1">
        <v>0.14330000000000001</v>
      </c>
      <c r="S76" s="4">
        <f t="shared" si="8"/>
        <v>1.4854666907384004</v>
      </c>
      <c r="U76" s="1" t="s">
        <v>109</v>
      </c>
      <c r="V76" s="1" t="s">
        <v>402</v>
      </c>
      <c r="W76" s="1" t="s">
        <v>402</v>
      </c>
      <c r="X76" s="1" t="s">
        <v>402</v>
      </c>
      <c r="Y76" s="1" t="s">
        <v>402</v>
      </c>
      <c r="Z76" s="1" t="s">
        <v>402</v>
      </c>
      <c r="AA76" s="1">
        <v>7.6385825712748794</v>
      </c>
      <c r="AB76" s="1">
        <v>15.761712214166202</v>
      </c>
      <c r="AC76" s="1" t="s">
        <v>402</v>
      </c>
      <c r="AD76" s="1">
        <v>1.4854666907384004</v>
      </c>
    </row>
    <row r="77" spans="1:30">
      <c r="A77" s="1" t="s">
        <v>212</v>
      </c>
      <c r="C77" s="4" t="str">
        <f t="shared" si="0"/>
        <v/>
      </c>
      <c r="E77" s="4" t="str">
        <f t="shared" si="1"/>
        <v/>
      </c>
      <c r="G77" s="4" t="str">
        <f t="shared" si="2"/>
        <v/>
      </c>
      <c r="I77" s="4" t="str">
        <f t="shared" si="3"/>
        <v/>
      </c>
      <c r="K77" s="4" t="str">
        <f t="shared" si="4"/>
        <v/>
      </c>
      <c r="L77" s="1">
        <v>58.395499999999998</v>
      </c>
      <c r="M77" s="4">
        <f t="shared" si="5"/>
        <v>39.394432490586333</v>
      </c>
      <c r="N77" s="1">
        <v>40.930799999999998</v>
      </c>
      <c r="O77" s="4">
        <f t="shared" si="6"/>
        <v>57.275655326268826</v>
      </c>
      <c r="P77" s="1">
        <v>0.82499999999999996</v>
      </c>
      <c r="Q77" s="4">
        <f t="shared" si="7"/>
        <v>2.1341558644385441</v>
      </c>
      <c r="R77" s="1">
        <v>0.25669999999999998</v>
      </c>
      <c r="S77" s="4">
        <f t="shared" si="8"/>
        <v>1.6901967864235421</v>
      </c>
      <c r="U77" s="1" t="s">
        <v>98</v>
      </c>
      <c r="V77" s="1" t="s">
        <v>402</v>
      </c>
      <c r="W77" s="1" t="s">
        <v>402</v>
      </c>
      <c r="X77" s="1" t="s">
        <v>402</v>
      </c>
      <c r="Y77" s="1" t="s">
        <v>402</v>
      </c>
      <c r="Z77" s="1" t="s">
        <v>402</v>
      </c>
      <c r="AA77" s="1">
        <v>39.394432490586333</v>
      </c>
      <c r="AB77" s="1">
        <v>57.275655326268826</v>
      </c>
      <c r="AC77" s="1">
        <v>2.1341558644385441</v>
      </c>
      <c r="AD77" s="1">
        <v>1.6901967864235421</v>
      </c>
    </row>
    <row r="78" spans="1:30">
      <c r="A78" s="1" t="s">
        <v>99</v>
      </c>
      <c r="C78" s="4" t="str">
        <f t="shared" si="0"/>
        <v/>
      </c>
      <c r="E78" s="4" t="str">
        <f t="shared" si="1"/>
        <v/>
      </c>
      <c r="G78" s="4" t="str">
        <f t="shared" si="2"/>
        <v/>
      </c>
      <c r="I78" s="4" t="str">
        <f t="shared" si="3"/>
        <v/>
      </c>
      <c r="K78" s="4" t="str">
        <f t="shared" si="4"/>
        <v/>
      </c>
      <c r="L78" s="1">
        <v>108.40049999999999</v>
      </c>
      <c r="M78" s="4">
        <f t="shared" si="5"/>
        <v>73.018020441097363</v>
      </c>
      <c r="N78" s="1">
        <v>70.480500000000006</v>
      </c>
      <c r="O78" s="4">
        <f t="shared" si="6"/>
        <v>98.47713329615172</v>
      </c>
      <c r="P78" s="1">
        <v>2.3115999999999999</v>
      </c>
      <c r="Q78" s="4">
        <f t="shared" si="7"/>
        <v>4.4558800562236449</v>
      </c>
      <c r="R78" s="1">
        <f>0.3573*2</f>
        <v>0.71460000000000001</v>
      </c>
      <c r="S78" s="4">
        <f t="shared" si="8"/>
        <v>2.5168803033038456</v>
      </c>
      <c r="U78" s="1" t="s">
        <v>99</v>
      </c>
      <c r="V78" s="1" t="s">
        <v>402</v>
      </c>
      <c r="W78" s="1" t="s">
        <v>402</v>
      </c>
      <c r="X78" s="1" t="s">
        <v>402</v>
      </c>
      <c r="Y78" s="1" t="s">
        <v>402</v>
      </c>
      <c r="Z78" s="1" t="s">
        <v>402</v>
      </c>
      <c r="AA78" s="1">
        <v>73.018020441097363</v>
      </c>
      <c r="AB78" s="1">
        <v>98.47713329615172</v>
      </c>
      <c r="AC78" s="1">
        <v>4.4558800562236449</v>
      </c>
      <c r="AD78" s="1">
        <v>2.5168803033038456</v>
      </c>
    </row>
    <row r="79" spans="1:30">
      <c r="A79" s="1" t="s">
        <v>100</v>
      </c>
      <c r="C79" s="4" t="str">
        <f t="shared" si="0"/>
        <v/>
      </c>
      <c r="E79" s="4" t="str">
        <f t="shared" si="1"/>
        <v/>
      </c>
      <c r="G79" s="4" t="str">
        <f t="shared" si="2"/>
        <v/>
      </c>
      <c r="I79" s="4" t="str">
        <f t="shared" si="3"/>
        <v/>
      </c>
      <c r="K79" s="4" t="str">
        <f t="shared" si="4"/>
        <v/>
      </c>
      <c r="L79" s="1">
        <v>47.367199999999997</v>
      </c>
      <c r="M79" s="4">
        <f t="shared" si="5"/>
        <v>31.978953738569118</v>
      </c>
      <c r="N79" s="1">
        <v>34.804200000000002</v>
      </c>
      <c r="O79" s="4">
        <f t="shared" si="6"/>
        <v>48.733268265476859</v>
      </c>
      <c r="P79" s="1">
        <v>0.89410000000000001</v>
      </c>
      <c r="Q79" s="4">
        <f t="shared" si="7"/>
        <v>2.2420740277994691</v>
      </c>
      <c r="R79" s="1">
        <v>0.18290000000000001</v>
      </c>
      <c r="S79" s="4">
        <f t="shared" si="8"/>
        <v>1.5569597400252755</v>
      </c>
      <c r="U79" s="1" t="s">
        <v>100</v>
      </c>
      <c r="V79" s="1" t="s">
        <v>402</v>
      </c>
      <c r="W79" s="1" t="s">
        <v>402</v>
      </c>
      <c r="X79" s="1" t="s">
        <v>402</v>
      </c>
      <c r="Y79" s="1" t="s">
        <v>402</v>
      </c>
      <c r="Z79" s="1" t="s">
        <v>402</v>
      </c>
      <c r="AA79" s="1">
        <v>31.978953738569118</v>
      </c>
      <c r="AB79" s="1">
        <v>48.733268265476859</v>
      </c>
      <c r="AC79" s="1">
        <v>2.2420740277994691</v>
      </c>
      <c r="AD79" s="1">
        <v>1.5569597400252755</v>
      </c>
    </row>
    <row r="80" spans="1:30">
      <c r="A80" s="1" t="s">
        <v>213</v>
      </c>
      <c r="C80" s="4" t="str">
        <f t="shared" si="0"/>
        <v/>
      </c>
      <c r="E80" s="4" t="str">
        <f t="shared" si="1"/>
        <v/>
      </c>
      <c r="G80" s="4" t="str">
        <f t="shared" si="2"/>
        <v/>
      </c>
      <c r="I80" s="4" t="str">
        <f t="shared" si="3"/>
        <v/>
      </c>
      <c r="K80" s="4" t="str">
        <f t="shared" si="4"/>
        <v/>
      </c>
      <c r="L80" s="1">
        <v>27.754200000000001</v>
      </c>
      <c r="M80" s="4">
        <f t="shared" si="5"/>
        <v>18.791083916083917</v>
      </c>
      <c r="N80" s="1">
        <v>22.662700000000001</v>
      </c>
      <c r="O80" s="4">
        <f t="shared" si="6"/>
        <v>31.804238706079204</v>
      </c>
      <c r="P80" s="1">
        <v>0.311</v>
      </c>
      <c r="Q80" s="4">
        <f t="shared" si="7"/>
        <v>1.3314071528970797</v>
      </c>
      <c r="R80" s="1">
        <v>0.1215</v>
      </c>
      <c r="S80" s="4">
        <f t="shared" si="8"/>
        <v>1.4461094060299693</v>
      </c>
      <c r="U80" s="1" t="s">
        <v>90</v>
      </c>
      <c r="V80" s="1" t="s">
        <v>402</v>
      </c>
      <c r="W80" s="1" t="s">
        <v>402</v>
      </c>
      <c r="X80" s="1" t="s">
        <v>402</v>
      </c>
      <c r="Y80" s="1" t="s">
        <v>402</v>
      </c>
      <c r="Z80" s="1" t="s">
        <v>402</v>
      </c>
      <c r="AA80" s="1">
        <v>18.791083916083917</v>
      </c>
      <c r="AB80" s="1">
        <v>31.804238706079204</v>
      </c>
      <c r="AC80" s="1">
        <v>1.3314071528970797</v>
      </c>
      <c r="AD80" s="1">
        <v>1.4461094060299693</v>
      </c>
    </row>
    <row r="81" spans="1:30">
      <c r="A81" s="1" t="s">
        <v>214</v>
      </c>
      <c r="C81" s="4" t="str">
        <f t="shared" si="0"/>
        <v/>
      </c>
      <c r="E81" s="4" t="str">
        <f t="shared" si="1"/>
        <v/>
      </c>
      <c r="G81" s="4" t="str">
        <f t="shared" si="2"/>
        <v/>
      </c>
      <c r="I81" s="4" t="str">
        <f t="shared" si="3"/>
        <v/>
      </c>
      <c r="K81" s="4" t="str">
        <f t="shared" si="4"/>
        <v/>
      </c>
      <c r="L81" s="1">
        <v>4.9432</v>
      </c>
      <c r="M81" s="4">
        <f t="shared" si="5"/>
        <v>3.4528644432490587</v>
      </c>
      <c r="N81" s="1">
        <v>5.7419000000000002</v>
      </c>
      <c r="O81" s="4">
        <f t="shared" si="6"/>
        <v>8.2113775794757409</v>
      </c>
      <c r="Q81" s="4" t="str">
        <f t="shared" si="7"/>
        <v/>
      </c>
      <c r="R81" s="1">
        <v>4.6699999999999998E-2</v>
      </c>
      <c r="S81" s="4">
        <f t="shared" si="8"/>
        <v>1.3110669795992056</v>
      </c>
      <c r="U81" s="1" t="s">
        <v>95</v>
      </c>
      <c r="V81" s="1" t="s">
        <v>402</v>
      </c>
      <c r="W81" s="1" t="s">
        <v>402</v>
      </c>
      <c r="X81" s="1" t="s">
        <v>402</v>
      </c>
      <c r="Y81" s="1" t="s">
        <v>402</v>
      </c>
      <c r="Z81" s="1" t="s">
        <v>402</v>
      </c>
      <c r="AA81" s="1">
        <v>3.4528644432490587</v>
      </c>
      <c r="AB81" s="1">
        <v>8.2113775794757409</v>
      </c>
      <c r="AC81" s="1" t="s">
        <v>402</v>
      </c>
      <c r="AD81" s="1">
        <v>1.3110669795992056</v>
      </c>
    </row>
    <row r="82" spans="1:30">
      <c r="A82" s="1" t="s">
        <v>215</v>
      </c>
      <c r="C82" s="4" t="str">
        <f t="shared" si="0"/>
        <v/>
      </c>
      <c r="E82" s="4" t="str">
        <f t="shared" si="1"/>
        <v/>
      </c>
      <c r="G82" s="4" t="str">
        <f t="shared" si="2"/>
        <v/>
      </c>
      <c r="I82" s="4" t="str">
        <f t="shared" si="3"/>
        <v/>
      </c>
      <c r="K82" s="4" t="str">
        <f t="shared" si="4"/>
        <v/>
      </c>
      <c r="L82" s="1">
        <v>19.562999999999999</v>
      </c>
      <c r="M82" s="4">
        <f t="shared" si="5"/>
        <v>13.283284023668639</v>
      </c>
      <c r="N82" s="1">
        <v>17.546299999999999</v>
      </c>
      <c r="O82" s="4">
        <f t="shared" si="6"/>
        <v>24.670384829894033</v>
      </c>
      <c r="P82" s="1">
        <v>0.12180000000000001</v>
      </c>
      <c r="Q82" s="4">
        <f t="shared" si="7"/>
        <v>1.0359206621895987</v>
      </c>
      <c r="R82" s="1">
        <v>0.23749999999999999</v>
      </c>
      <c r="S82" s="4">
        <f t="shared" si="8"/>
        <v>1.655533489799603</v>
      </c>
      <c r="U82" s="1" t="s">
        <v>105</v>
      </c>
      <c r="V82" s="1" t="s">
        <v>402</v>
      </c>
      <c r="W82" s="1" t="s">
        <v>402</v>
      </c>
      <c r="X82" s="1" t="s">
        <v>402</v>
      </c>
      <c r="Y82" s="1" t="s">
        <v>402</v>
      </c>
      <c r="Z82" s="1" t="s">
        <v>402</v>
      </c>
      <c r="AA82" s="1">
        <v>13.283284023668639</v>
      </c>
      <c r="AB82" s="1">
        <v>24.670384829894033</v>
      </c>
      <c r="AC82" s="1">
        <v>1.0359206621895987</v>
      </c>
      <c r="AD82" s="1">
        <v>1.655533489799603</v>
      </c>
    </row>
    <row r="83" spans="1:30">
      <c r="A83" s="1" t="s">
        <v>89</v>
      </c>
      <c r="C83" s="4" t="str">
        <f t="shared" si="0"/>
        <v/>
      </c>
      <c r="E83" s="4" t="str">
        <f t="shared" si="1"/>
        <v/>
      </c>
      <c r="G83" s="4" t="str">
        <f t="shared" si="2"/>
        <v/>
      </c>
      <c r="I83" s="4" t="str">
        <f t="shared" si="3"/>
        <v/>
      </c>
      <c r="K83" s="4" t="str">
        <f t="shared" si="4"/>
        <v/>
      </c>
      <c r="L83" s="1">
        <v>32.935699999999997</v>
      </c>
      <c r="M83" s="4">
        <f t="shared" si="5"/>
        <v>22.275147928994077</v>
      </c>
      <c r="N83" s="1">
        <v>26.308900000000001</v>
      </c>
      <c r="O83" s="4">
        <f t="shared" si="6"/>
        <v>36.888176240936986</v>
      </c>
      <c r="P83" s="1">
        <v>0.32290000000000002</v>
      </c>
      <c r="Q83" s="4">
        <f t="shared" si="7"/>
        <v>1.3499921911603936</v>
      </c>
      <c r="R83" s="1">
        <v>0.158</v>
      </c>
      <c r="S83" s="4">
        <f t="shared" si="8"/>
        <v>1.5120057772161042</v>
      </c>
      <c r="U83" s="1" t="s">
        <v>89</v>
      </c>
      <c r="V83" s="1" t="s">
        <v>402</v>
      </c>
      <c r="W83" s="1" t="s">
        <v>402</v>
      </c>
      <c r="X83" s="1" t="s">
        <v>402</v>
      </c>
      <c r="Y83" s="1" t="s">
        <v>402</v>
      </c>
      <c r="Z83" s="1" t="s">
        <v>402</v>
      </c>
      <c r="AA83" s="1">
        <v>22.275147928994077</v>
      </c>
      <c r="AB83" s="1">
        <v>36.888176240936986</v>
      </c>
      <c r="AC83" s="1">
        <v>1.3499921911603936</v>
      </c>
      <c r="AD83" s="1">
        <v>1.5120057772161042</v>
      </c>
    </row>
    <row r="84" spans="1:30">
      <c r="A84" s="1" t="s">
        <v>216</v>
      </c>
      <c r="C84" s="4" t="str">
        <f t="shared" si="0"/>
        <v/>
      </c>
      <c r="E84" s="4" t="str">
        <f t="shared" si="1"/>
        <v/>
      </c>
      <c r="F84" s="1">
        <f>0.1944*2</f>
        <v>0.38879999999999998</v>
      </c>
      <c r="G84" s="4">
        <f t="shared" si="2"/>
        <v>0.34249350978281512</v>
      </c>
      <c r="H84" s="1">
        <v>0.34050000000000002</v>
      </c>
      <c r="I84" s="4">
        <f t="shared" si="3"/>
        <v>0.30995137451254151</v>
      </c>
      <c r="J84" s="1">
        <v>2.4527000000000001</v>
      </c>
      <c r="K84" s="4">
        <f t="shared" si="4"/>
        <v>1.2061434659090908</v>
      </c>
      <c r="L84" s="1">
        <v>28.5473</v>
      </c>
      <c r="M84" s="4">
        <f t="shared" si="5"/>
        <v>19.324367939752555</v>
      </c>
      <c r="N84" s="1">
        <v>5.0599999999999996</v>
      </c>
      <c r="O84" s="4">
        <f t="shared" si="6"/>
        <v>7.2605967651979926</v>
      </c>
      <c r="Q84" s="4" t="str">
        <f t="shared" si="7"/>
        <v/>
      </c>
      <c r="S84" s="4" t="str">
        <f t="shared" si="8"/>
        <v/>
      </c>
      <c r="U84" s="1" t="s">
        <v>42</v>
      </c>
      <c r="V84" s="1" t="s">
        <v>402</v>
      </c>
      <c r="W84" s="1" t="s">
        <v>402</v>
      </c>
      <c r="X84" s="1">
        <v>0.34249350978281512</v>
      </c>
      <c r="Y84" s="1">
        <v>0.30995137451254151</v>
      </c>
      <c r="Z84" s="1">
        <v>1.2061434659090908</v>
      </c>
      <c r="AA84" s="1">
        <v>19.324367939752555</v>
      </c>
      <c r="AB84" s="1">
        <v>7.2605967651979926</v>
      </c>
      <c r="AC84" s="1" t="s">
        <v>402</v>
      </c>
      <c r="AD84" s="1" t="s">
        <v>402</v>
      </c>
    </row>
    <row r="85" spans="1:30">
      <c r="A85" s="1" t="s">
        <v>217</v>
      </c>
      <c r="C85" s="4" t="str">
        <f t="shared" si="0"/>
        <v/>
      </c>
      <c r="E85" s="4" t="str">
        <f t="shared" si="1"/>
        <v/>
      </c>
      <c r="G85" s="4" t="str">
        <f t="shared" si="2"/>
        <v/>
      </c>
      <c r="I85" s="4" t="str">
        <f t="shared" si="3"/>
        <v/>
      </c>
      <c r="K85" s="4" t="str">
        <f t="shared" si="4"/>
        <v/>
      </c>
      <c r="L85" s="1">
        <v>2.5600000000000001E-2</v>
      </c>
      <c r="M85" s="4">
        <f t="shared" si="5"/>
        <v>0.14624798278644432</v>
      </c>
      <c r="N85" s="1">
        <v>9.2200000000000004E-2</v>
      </c>
      <c r="O85" s="4">
        <f t="shared" si="6"/>
        <v>0.33393753485778027</v>
      </c>
      <c r="Q85" s="4" t="str">
        <f t="shared" si="7"/>
        <v/>
      </c>
      <c r="S85" s="4" t="str">
        <f t="shared" si="8"/>
        <v/>
      </c>
      <c r="U85" s="1" t="s">
        <v>21</v>
      </c>
      <c r="V85" s="1" t="s">
        <v>402</v>
      </c>
      <c r="W85" s="1" t="s">
        <v>402</v>
      </c>
      <c r="X85" s="1" t="s">
        <v>402</v>
      </c>
      <c r="Y85" s="1" t="s">
        <v>402</v>
      </c>
      <c r="Z85" s="1" t="s">
        <v>402</v>
      </c>
      <c r="AA85" s="1">
        <v>0.14624798278644432</v>
      </c>
      <c r="AB85" s="1">
        <v>0.33393753485778027</v>
      </c>
      <c r="AC85" s="1" t="s">
        <v>402</v>
      </c>
      <c r="AD85" s="1" t="s">
        <v>402</v>
      </c>
    </row>
    <row r="86" spans="1:30">
      <c r="A86" s="1" t="s">
        <v>218</v>
      </c>
      <c r="C86" s="4" t="str">
        <f t="shared" si="0"/>
        <v/>
      </c>
      <c r="E86" s="4" t="str">
        <f t="shared" si="1"/>
        <v/>
      </c>
      <c r="G86" s="4" t="str">
        <f t="shared" si="2"/>
        <v/>
      </c>
      <c r="I86" s="4" t="str">
        <f t="shared" si="3"/>
        <v/>
      </c>
      <c r="K86" s="4" t="str">
        <f t="shared" si="4"/>
        <v/>
      </c>
      <c r="L86" s="1">
        <v>4.5453999999999999</v>
      </c>
      <c r="M86" s="4">
        <f t="shared" si="5"/>
        <v>3.1853819257665412</v>
      </c>
      <c r="N86" s="1">
        <v>4.2645999999999997</v>
      </c>
      <c r="O86" s="4">
        <f t="shared" si="6"/>
        <v>6.151561628555493</v>
      </c>
      <c r="Q86" s="4" t="str">
        <f t="shared" si="7"/>
        <v/>
      </c>
      <c r="R86" s="1">
        <v>0.12920000000000001</v>
      </c>
      <c r="S86" s="4">
        <f t="shared" si="8"/>
        <v>1.460010832280195</v>
      </c>
      <c r="U86" s="1" t="s">
        <v>87</v>
      </c>
      <c r="V86" s="1" t="s">
        <v>402</v>
      </c>
      <c r="W86" s="1" t="s">
        <v>402</v>
      </c>
      <c r="X86" s="1" t="s">
        <v>402</v>
      </c>
      <c r="Y86" s="1" t="s">
        <v>402</v>
      </c>
      <c r="Z86" s="1" t="s">
        <v>402</v>
      </c>
      <c r="AA86" s="1">
        <v>3.1853819257665412</v>
      </c>
      <c r="AB86" s="1">
        <v>6.151561628555493</v>
      </c>
      <c r="AC86" s="1" t="s">
        <v>402</v>
      </c>
      <c r="AD86" s="1">
        <v>1.460010832280195</v>
      </c>
    </row>
    <row r="87" spans="1:30">
      <c r="A87" s="1" t="s">
        <v>219</v>
      </c>
      <c r="C87" s="4" t="str">
        <f t="shared" si="0"/>
        <v/>
      </c>
      <c r="E87" s="4" t="str">
        <f t="shared" si="1"/>
        <v/>
      </c>
      <c r="G87" s="4" t="str">
        <f t="shared" si="2"/>
        <v/>
      </c>
      <c r="I87" s="4" t="str">
        <f t="shared" si="3"/>
        <v/>
      </c>
      <c r="K87" s="4" t="str">
        <f t="shared" si="4"/>
        <v/>
      </c>
      <c r="L87" s="1">
        <v>24.9681</v>
      </c>
      <c r="M87" s="4">
        <f t="shared" si="5"/>
        <v>16.917697686928456</v>
      </c>
      <c r="N87" s="1">
        <v>20.6372</v>
      </c>
      <c r="O87" s="4">
        <f t="shared" si="6"/>
        <v>28.980061349693255</v>
      </c>
      <c r="P87" s="1">
        <v>0.31280000000000002</v>
      </c>
      <c r="Q87" s="4">
        <f t="shared" si="7"/>
        <v>1.334218335155396</v>
      </c>
      <c r="R87" s="1">
        <v>0.2326</v>
      </c>
      <c r="S87" s="4">
        <f t="shared" si="8"/>
        <v>1.6466871276403685</v>
      </c>
      <c r="U87" s="1" t="s">
        <v>333</v>
      </c>
      <c r="V87" s="1" t="s">
        <v>402</v>
      </c>
      <c r="W87" s="1" t="s">
        <v>402</v>
      </c>
      <c r="X87" s="1" t="s">
        <v>402</v>
      </c>
      <c r="Y87" s="1" t="s">
        <v>402</v>
      </c>
      <c r="Z87" s="1" t="s">
        <v>402</v>
      </c>
      <c r="AA87" s="1">
        <v>16.917697686928456</v>
      </c>
      <c r="AB87" s="1">
        <v>28.980061349693255</v>
      </c>
      <c r="AC87" s="1">
        <v>1.334218335155396</v>
      </c>
      <c r="AD87" s="1">
        <v>1.6466871276403685</v>
      </c>
    </row>
    <row r="88" spans="1:30">
      <c r="A88" s="1" t="s">
        <v>220</v>
      </c>
      <c r="C88" s="4" t="str">
        <f t="shared" si="0"/>
        <v/>
      </c>
      <c r="E88" s="4" t="str">
        <f t="shared" si="1"/>
        <v/>
      </c>
      <c r="G88" s="4" t="str">
        <f t="shared" si="2"/>
        <v/>
      </c>
      <c r="I88" s="4" t="str">
        <f t="shared" si="3"/>
        <v/>
      </c>
      <c r="J88" s="1">
        <v>1.55E-2</v>
      </c>
      <c r="K88" s="4">
        <f t="shared" si="4"/>
        <v>0.12428977272727273</v>
      </c>
      <c r="L88" s="1">
        <v>18.201799999999999</v>
      </c>
      <c r="M88" s="4">
        <f t="shared" si="5"/>
        <v>12.368006993006992</v>
      </c>
      <c r="N88" s="1">
        <v>15.872999999999999</v>
      </c>
      <c r="O88" s="4">
        <f t="shared" si="6"/>
        <v>22.33728388176241</v>
      </c>
      <c r="P88" s="1">
        <v>0.39800000000000002</v>
      </c>
      <c r="Q88" s="4">
        <f t="shared" si="7"/>
        <v>1.4672809620490395</v>
      </c>
      <c r="R88" s="1">
        <v>8.2699999999999996E-2</v>
      </c>
      <c r="S88" s="4">
        <f t="shared" si="8"/>
        <v>1.3760606607690919</v>
      </c>
      <c r="U88" s="1" t="s">
        <v>106</v>
      </c>
      <c r="V88" s="1" t="s">
        <v>402</v>
      </c>
      <c r="W88" s="1" t="s">
        <v>402</v>
      </c>
      <c r="X88" s="1" t="s">
        <v>402</v>
      </c>
      <c r="Y88" s="1" t="s">
        <v>402</v>
      </c>
      <c r="Z88" s="1">
        <v>0.12428977272727273</v>
      </c>
      <c r="AA88" s="1">
        <v>12.368006993006992</v>
      </c>
      <c r="AB88" s="1">
        <v>22.33728388176241</v>
      </c>
      <c r="AC88" s="1">
        <v>1.4672809620490395</v>
      </c>
      <c r="AD88" s="1">
        <v>1.3760606607690919</v>
      </c>
    </row>
    <row r="89" spans="1:30">
      <c r="A89" s="1" t="s">
        <v>221</v>
      </c>
      <c r="C89" s="4" t="str">
        <f t="shared" si="0"/>
        <v/>
      </c>
      <c r="E89" s="4" t="str">
        <f t="shared" si="1"/>
        <v/>
      </c>
      <c r="G89" s="4" t="str">
        <f t="shared" si="2"/>
        <v/>
      </c>
      <c r="I89" s="4" t="str">
        <f t="shared" si="3"/>
        <v/>
      </c>
      <c r="K89" s="4" t="str">
        <f t="shared" si="4"/>
        <v/>
      </c>
      <c r="L89" s="1">
        <v>6.5160999999999998</v>
      </c>
      <c r="M89" s="4">
        <f t="shared" si="5"/>
        <v>4.51048951048951</v>
      </c>
      <c r="N89" s="1">
        <v>7.7092999999999998</v>
      </c>
      <c r="O89" s="4">
        <f t="shared" si="6"/>
        <v>10.954545454545455</v>
      </c>
      <c r="Q89" s="4" t="str">
        <f t="shared" si="7"/>
        <v/>
      </c>
      <c r="R89" s="1">
        <v>5.2600000000000001E-2</v>
      </c>
      <c r="S89" s="4">
        <f t="shared" si="8"/>
        <v>1.321718721790937</v>
      </c>
      <c r="U89" s="1" t="s">
        <v>91</v>
      </c>
      <c r="V89" s="1" t="s">
        <v>402</v>
      </c>
      <c r="W89" s="1" t="s">
        <v>402</v>
      </c>
      <c r="X89" s="1" t="s">
        <v>402</v>
      </c>
      <c r="Y89" s="1" t="s">
        <v>402</v>
      </c>
      <c r="Z89" s="1" t="s">
        <v>402</v>
      </c>
      <c r="AA89" s="1">
        <v>4.51048951048951</v>
      </c>
      <c r="AB89" s="1">
        <v>10.954545454545455</v>
      </c>
      <c r="AC89" s="1" t="s">
        <v>402</v>
      </c>
      <c r="AD89" s="1">
        <v>1.321718721790937</v>
      </c>
    </row>
    <row r="90" spans="1:30">
      <c r="A90" s="1" t="s">
        <v>222</v>
      </c>
      <c r="C90" s="4" t="str">
        <f t="shared" si="0"/>
        <v/>
      </c>
      <c r="E90" s="4" t="str">
        <f t="shared" si="1"/>
        <v/>
      </c>
      <c r="G90" s="4" t="str">
        <f t="shared" si="2"/>
        <v/>
      </c>
      <c r="I90" s="4" t="str">
        <f t="shared" si="3"/>
        <v/>
      </c>
      <c r="K90" s="4" t="str">
        <f t="shared" si="4"/>
        <v/>
      </c>
      <c r="L90" s="1">
        <v>8.9491999999999994</v>
      </c>
      <c r="M90" s="4">
        <f t="shared" si="5"/>
        <v>6.1465169445938672</v>
      </c>
      <c r="N90" s="1">
        <v>10.0753</v>
      </c>
      <c r="O90" s="4">
        <f t="shared" si="6"/>
        <v>14.253485778025656</v>
      </c>
      <c r="Q90" s="4" t="str">
        <f t="shared" si="7"/>
        <v/>
      </c>
      <c r="R90" s="1">
        <v>0.10929999999999999</v>
      </c>
      <c r="S90" s="4">
        <f t="shared" si="8"/>
        <v>1.4240837696335078</v>
      </c>
      <c r="U90" s="1" t="s">
        <v>92</v>
      </c>
      <c r="V90" s="1" t="s">
        <v>402</v>
      </c>
      <c r="W90" s="1" t="s">
        <v>402</v>
      </c>
      <c r="X90" s="1" t="s">
        <v>402</v>
      </c>
      <c r="Y90" s="1" t="s">
        <v>402</v>
      </c>
      <c r="Z90" s="1" t="s">
        <v>402</v>
      </c>
      <c r="AA90" s="1">
        <v>6.1465169445938672</v>
      </c>
      <c r="AB90" s="1">
        <v>14.253485778025656</v>
      </c>
      <c r="AC90" s="1" t="s">
        <v>402</v>
      </c>
      <c r="AD90" s="1">
        <v>1.4240837696335078</v>
      </c>
    </row>
    <row r="91" spans="1:30">
      <c r="A91" s="1" t="s">
        <v>93</v>
      </c>
      <c r="C91" s="4" t="str">
        <f t="shared" si="0"/>
        <v/>
      </c>
      <c r="E91" s="4" t="str">
        <f t="shared" si="1"/>
        <v/>
      </c>
      <c r="G91" s="4" t="str">
        <f t="shared" si="2"/>
        <v/>
      </c>
      <c r="I91" s="4" t="str">
        <f t="shared" si="3"/>
        <v/>
      </c>
      <c r="K91" s="4" t="str">
        <f t="shared" si="4"/>
        <v/>
      </c>
      <c r="L91" s="1">
        <v>10.6624</v>
      </c>
      <c r="M91" s="4">
        <f t="shared" si="5"/>
        <v>7.2984803657880581</v>
      </c>
      <c r="N91" s="1">
        <v>11.355499999999999</v>
      </c>
      <c r="O91" s="4">
        <f t="shared" si="6"/>
        <v>16.038482989403235</v>
      </c>
      <c r="Q91" s="4" t="str">
        <f t="shared" si="7"/>
        <v/>
      </c>
      <c r="R91" s="1">
        <v>0.13009999999999999</v>
      </c>
      <c r="S91" s="4">
        <f t="shared" si="8"/>
        <v>1.4616356743094423</v>
      </c>
      <c r="U91" s="1" t="s">
        <v>93</v>
      </c>
      <c r="V91" s="1" t="s">
        <v>402</v>
      </c>
      <c r="W91" s="1" t="s">
        <v>402</v>
      </c>
      <c r="X91" s="1" t="s">
        <v>402</v>
      </c>
      <c r="Y91" s="1" t="s">
        <v>402</v>
      </c>
      <c r="Z91" s="1" t="s">
        <v>402</v>
      </c>
      <c r="AA91" s="1">
        <v>7.2984803657880581</v>
      </c>
      <c r="AB91" s="1">
        <v>16.038482989403235</v>
      </c>
      <c r="AC91" s="1" t="s">
        <v>402</v>
      </c>
      <c r="AD91" s="1">
        <v>1.4616356743094423</v>
      </c>
    </row>
    <row r="92" spans="1:30">
      <c r="A92" s="1" t="s">
        <v>110</v>
      </c>
      <c r="C92" s="4" t="str">
        <f t="shared" si="0"/>
        <v/>
      </c>
      <c r="E92" s="4" t="str">
        <f t="shared" si="1"/>
        <v/>
      </c>
      <c r="G92" s="4" t="str">
        <f t="shared" si="2"/>
        <v/>
      </c>
      <c r="I92" s="4" t="str">
        <f t="shared" si="3"/>
        <v/>
      </c>
      <c r="K92" s="4" t="str">
        <f t="shared" si="4"/>
        <v/>
      </c>
      <c r="L92" s="1">
        <v>10.731299999999999</v>
      </c>
      <c r="M92" s="4">
        <f t="shared" si="5"/>
        <v>7.3448090371167289</v>
      </c>
      <c r="N92" s="1">
        <v>11.450699999999999</v>
      </c>
      <c r="O92" s="4">
        <f t="shared" si="6"/>
        <v>16.171221416620188</v>
      </c>
      <c r="Q92" s="4" t="str">
        <f t="shared" si="7"/>
        <v/>
      </c>
      <c r="R92" s="1">
        <v>0.10979999999999999</v>
      </c>
      <c r="S92" s="4">
        <f t="shared" si="8"/>
        <v>1.4249864596497563</v>
      </c>
      <c r="U92" s="1" t="s">
        <v>110</v>
      </c>
      <c r="V92" s="1" t="s">
        <v>402</v>
      </c>
      <c r="W92" s="1" t="s">
        <v>402</v>
      </c>
      <c r="X92" s="1" t="s">
        <v>402</v>
      </c>
      <c r="Y92" s="1" t="s">
        <v>402</v>
      </c>
      <c r="Z92" s="1" t="s">
        <v>402</v>
      </c>
      <c r="AA92" s="1">
        <v>7.3448090371167289</v>
      </c>
      <c r="AB92" s="1">
        <v>16.171221416620188</v>
      </c>
      <c r="AC92" s="1" t="s">
        <v>402</v>
      </c>
      <c r="AD92" s="1">
        <v>1.4249864596497563</v>
      </c>
    </row>
    <row r="93" spans="1:30">
      <c r="A93" s="1" t="s">
        <v>94</v>
      </c>
      <c r="C93" s="4" t="str">
        <f t="shared" si="0"/>
        <v/>
      </c>
      <c r="E93" s="4" t="str">
        <f t="shared" si="1"/>
        <v/>
      </c>
      <c r="G93" s="4" t="str">
        <f t="shared" si="2"/>
        <v/>
      </c>
      <c r="I93" s="4" t="str">
        <f t="shared" si="3"/>
        <v/>
      </c>
      <c r="K93" s="4" t="str">
        <f t="shared" si="4"/>
        <v/>
      </c>
      <c r="L93" s="1">
        <v>18.164100000000001</v>
      </c>
      <c r="M93" s="4">
        <f t="shared" si="5"/>
        <v>12.342657342657343</v>
      </c>
      <c r="N93" s="1">
        <v>17.029</v>
      </c>
      <c r="O93" s="4">
        <f t="shared" si="6"/>
        <v>23.949107640825435</v>
      </c>
      <c r="Q93" s="4" t="str">
        <f t="shared" si="7"/>
        <v/>
      </c>
      <c r="R93" s="1">
        <v>0.1268</v>
      </c>
      <c r="S93" s="4">
        <f t="shared" si="8"/>
        <v>1.4556779202022028</v>
      </c>
      <c r="U93" s="1" t="s">
        <v>94</v>
      </c>
      <c r="V93" s="1" t="s">
        <v>402</v>
      </c>
      <c r="W93" s="1" t="s">
        <v>402</v>
      </c>
      <c r="X93" s="1" t="s">
        <v>402</v>
      </c>
      <c r="Y93" s="1" t="s">
        <v>402</v>
      </c>
      <c r="Z93" s="1" t="s">
        <v>402</v>
      </c>
      <c r="AA93" s="1">
        <v>12.342657342657343</v>
      </c>
      <c r="AB93" s="1">
        <v>23.949107640825435</v>
      </c>
      <c r="AC93" s="1" t="s">
        <v>402</v>
      </c>
      <c r="AD93" s="1">
        <v>1.4556779202022028</v>
      </c>
    </row>
    <row r="94" spans="1:30">
      <c r="A94" s="1" t="s">
        <v>202</v>
      </c>
      <c r="C94" s="4" t="str">
        <f t="shared" si="0"/>
        <v/>
      </c>
      <c r="E94" s="4" t="str">
        <f t="shared" si="1"/>
        <v/>
      </c>
      <c r="G94" s="4" t="str">
        <f t="shared" si="2"/>
        <v/>
      </c>
      <c r="I94" s="4" t="str">
        <f t="shared" si="3"/>
        <v/>
      </c>
      <c r="K94" s="4" t="str">
        <f t="shared" si="4"/>
        <v/>
      </c>
      <c r="L94" s="1">
        <v>6.2234999999999996</v>
      </c>
      <c r="M94" s="4">
        <f t="shared" si="5"/>
        <v>4.3137439483593329</v>
      </c>
      <c r="N94" s="1">
        <v>6.6092000000000004</v>
      </c>
      <c r="O94" s="4">
        <f t="shared" si="6"/>
        <v>9.4206636921360865</v>
      </c>
      <c r="Q94" s="4" t="str">
        <f t="shared" si="7"/>
        <v/>
      </c>
      <c r="R94" s="1">
        <v>6.8500000000000005E-2</v>
      </c>
      <c r="S94" s="4">
        <f t="shared" si="8"/>
        <v>1.350424264307637</v>
      </c>
      <c r="U94" s="1" t="s">
        <v>102</v>
      </c>
      <c r="V94" s="1" t="s">
        <v>402</v>
      </c>
      <c r="W94" s="1" t="s">
        <v>402</v>
      </c>
      <c r="X94" s="1" t="s">
        <v>402</v>
      </c>
      <c r="Y94" s="1" t="s">
        <v>402</v>
      </c>
      <c r="Z94" s="1" t="s">
        <v>402</v>
      </c>
      <c r="AA94" s="1">
        <v>4.3137439483593329</v>
      </c>
      <c r="AB94" s="1">
        <v>9.4206636921360865</v>
      </c>
      <c r="AC94" s="1" t="s">
        <v>402</v>
      </c>
      <c r="AD94" s="1">
        <v>1.350424264307637</v>
      </c>
    </row>
    <row r="95" spans="1:30">
      <c r="A95" s="1" t="s">
        <v>103</v>
      </c>
      <c r="C95" s="4" t="str">
        <f t="shared" si="0"/>
        <v/>
      </c>
      <c r="E95" s="4" t="str">
        <f t="shared" si="1"/>
        <v/>
      </c>
      <c r="G95" s="4" t="str">
        <f t="shared" si="2"/>
        <v/>
      </c>
      <c r="I95" s="4" t="str">
        <f t="shared" si="3"/>
        <v/>
      </c>
      <c r="K95" s="4" t="str">
        <f t="shared" si="4"/>
        <v/>
      </c>
      <c r="L95" s="1">
        <v>15.818</v>
      </c>
      <c r="M95" s="4">
        <f t="shared" si="5"/>
        <v>10.765129101667561</v>
      </c>
      <c r="N95" s="1">
        <v>15.132899999999999</v>
      </c>
      <c r="O95" s="4">
        <f t="shared" si="6"/>
        <v>21.305354155047407</v>
      </c>
      <c r="Q95" s="4" t="str">
        <f t="shared" si="7"/>
        <v/>
      </c>
      <c r="R95" s="1">
        <v>0.14779999999999999</v>
      </c>
      <c r="S95" s="4">
        <f t="shared" si="8"/>
        <v>1.4935909008846362</v>
      </c>
      <c r="U95" s="1" t="s">
        <v>103</v>
      </c>
      <c r="V95" s="1" t="s">
        <v>402</v>
      </c>
      <c r="W95" s="1" t="s">
        <v>402</v>
      </c>
      <c r="X95" s="1" t="s">
        <v>402</v>
      </c>
      <c r="Y95" s="1" t="s">
        <v>402</v>
      </c>
      <c r="Z95" s="1" t="s">
        <v>402</v>
      </c>
      <c r="AA95" s="1">
        <v>10.765129101667561</v>
      </c>
      <c r="AB95" s="1">
        <v>21.305354155047407</v>
      </c>
      <c r="AC95" s="1" t="s">
        <v>402</v>
      </c>
      <c r="AD95" s="1">
        <v>1.4935909008846362</v>
      </c>
    </row>
    <row r="96" spans="1:30">
      <c r="A96" s="1" t="s">
        <v>104</v>
      </c>
      <c r="C96" s="4" t="str">
        <f t="shared" si="0"/>
        <v/>
      </c>
      <c r="E96" s="4" t="str">
        <f t="shared" si="1"/>
        <v/>
      </c>
      <c r="G96" s="4" t="str">
        <f t="shared" si="2"/>
        <v/>
      </c>
      <c r="I96" s="4" t="str">
        <f t="shared" si="3"/>
        <v/>
      </c>
      <c r="K96" s="4" t="str">
        <f t="shared" si="4"/>
        <v/>
      </c>
      <c r="L96" s="1">
        <v>17.622399999999999</v>
      </c>
      <c r="M96" s="4">
        <f t="shared" si="5"/>
        <v>11.978415814954275</v>
      </c>
      <c r="N96" s="1">
        <v>16.772400000000001</v>
      </c>
      <c r="O96" s="4">
        <f t="shared" si="6"/>
        <v>23.591327384272173</v>
      </c>
      <c r="Q96" s="4" t="str">
        <f t="shared" si="7"/>
        <v/>
      </c>
      <c r="R96" s="1">
        <v>0.18959999999999999</v>
      </c>
      <c r="S96" s="4">
        <f t="shared" si="8"/>
        <v>1.5690557862430043</v>
      </c>
      <c r="U96" s="1" t="s">
        <v>104</v>
      </c>
      <c r="V96" s="1" t="s">
        <v>402</v>
      </c>
      <c r="W96" s="1" t="s">
        <v>402</v>
      </c>
      <c r="X96" s="1" t="s">
        <v>402</v>
      </c>
      <c r="Y96" s="1" t="s">
        <v>402</v>
      </c>
      <c r="Z96" s="1" t="s">
        <v>402</v>
      </c>
      <c r="AA96" s="1">
        <v>11.978415814954275</v>
      </c>
      <c r="AB96" s="1">
        <v>23.591327384272173</v>
      </c>
      <c r="AC96" s="1" t="s">
        <v>402</v>
      </c>
      <c r="AD96" s="1">
        <v>1.5690557862430043</v>
      </c>
    </row>
    <row r="97" spans="1:30">
      <c r="A97" s="1" t="s">
        <v>223</v>
      </c>
      <c r="C97" s="4" t="str">
        <f t="shared" si="0"/>
        <v/>
      </c>
      <c r="E97" s="4" t="str">
        <f t="shared" si="1"/>
        <v/>
      </c>
      <c r="G97" s="4" t="str">
        <f t="shared" si="2"/>
        <v/>
      </c>
      <c r="I97" s="4" t="str">
        <f t="shared" si="3"/>
        <v/>
      </c>
      <c r="K97" s="4" t="str">
        <f t="shared" si="4"/>
        <v/>
      </c>
      <c r="L97" s="1">
        <v>8.9791000000000007</v>
      </c>
      <c r="M97" s="4">
        <f t="shared" si="5"/>
        <v>6.1666218396987631</v>
      </c>
      <c r="N97" s="1">
        <v>10.000299999999999</v>
      </c>
      <c r="O97" s="4">
        <f t="shared" si="6"/>
        <v>14.148912437255994</v>
      </c>
      <c r="Q97" s="4" t="str">
        <f t="shared" si="7"/>
        <v/>
      </c>
      <c r="S97" s="4" t="str">
        <f t="shared" si="8"/>
        <v/>
      </c>
      <c r="U97" s="1" t="s">
        <v>82</v>
      </c>
      <c r="V97" s="1" t="s">
        <v>402</v>
      </c>
      <c r="W97" s="1" t="s">
        <v>402</v>
      </c>
      <c r="X97" s="1" t="s">
        <v>402</v>
      </c>
      <c r="Y97" s="1" t="s">
        <v>402</v>
      </c>
      <c r="Z97" s="1" t="s">
        <v>402</v>
      </c>
      <c r="AA97" s="1">
        <v>6.1666218396987631</v>
      </c>
      <c r="AB97" s="1">
        <v>14.148912437255994</v>
      </c>
      <c r="AC97" s="1" t="s">
        <v>402</v>
      </c>
      <c r="AD97" s="1" t="s">
        <v>402</v>
      </c>
    </row>
    <row r="98" spans="1:30">
      <c r="A98" s="1" t="s">
        <v>224</v>
      </c>
      <c r="C98" s="4" t="str">
        <f t="shared" si="0"/>
        <v/>
      </c>
      <c r="E98" s="4" t="str">
        <f t="shared" si="1"/>
        <v/>
      </c>
      <c r="G98" s="4" t="str">
        <f t="shared" si="2"/>
        <v/>
      </c>
      <c r="I98" s="4" t="str">
        <f t="shared" si="3"/>
        <v/>
      </c>
      <c r="K98" s="4" t="str">
        <f t="shared" si="4"/>
        <v/>
      </c>
      <c r="L98" s="1">
        <v>9.7077000000000009</v>
      </c>
      <c r="M98" s="4">
        <f t="shared" si="5"/>
        <v>6.6565357719203879</v>
      </c>
      <c r="N98" s="1">
        <v>9.0646000000000004</v>
      </c>
      <c r="O98" s="4">
        <f t="shared" si="6"/>
        <v>12.844255437813722</v>
      </c>
      <c r="Q98" s="4" t="str">
        <f t="shared" si="7"/>
        <v/>
      </c>
      <c r="S98" s="4" t="str">
        <f t="shared" si="8"/>
        <v/>
      </c>
      <c r="U98" s="1" t="s">
        <v>97</v>
      </c>
      <c r="V98" s="1" t="s">
        <v>402</v>
      </c>
      <c r="W98" s="1" t="s">
        <v>402</v>
      </c>
      <c r="X98" s="1" t="s">
        <v>402</v>
      </c>
      <c r="Y98" s="1" t="s">
        <v>402</v>
      </c>
      <c r="Z98" s="1" t="s">
        <v>402</v>
      </c>
      <c r="AA98" s="1">
        <v>6.6565357719203879</v>
      </c>
      <c r="AB98" s="1">
        <v>12.844255437813722</v>
      </c>
      <c r="AC98" s="1" t="s">
        <v>402</v>
      </c>
      <c r="AD98" s="1" t="s">
        <v>402</v>
      </c>
    </row>
    <row r="99" spans="1:30">
      <c r="A99" s="1" t="s">
        <v>225</v>
      </c>
      <c r="C99" s="4" t="str">
        <f t="shared" si="0"/>
        <v/>
      </c>
      <c r="E99" s="4" t="str">
        <f t="shared" si="1"/>
        <v/>
      </c>
      <c r="G99" s="4" t="str">
        <f t="shared" si="2"/>
        <v/>
      </c>
      <c r="I99" s="4" t="str">
        <f t="shared" si="3"/>
        <v/>
      </c>
      <c r="K99" s="4" t="str">
        <f t="shared" si="4"/>
        <v/>
      </c>
      <c r="L99" s="1">
        <v>13.379</v>
      </c>
      <c r="M99" s="4">
        <f t="shared" si="5"/>
        <v>9.1251344809037107</v>
      </c>
      <c r="N99" s="1">
        <v>11.6326</v>
      </c>
      <c r="O99" s="4">
        <f t="shared" si="6"/>
        <v>16.424846625766872</v>
      </c>
      <c r="Q99" s="4" t="str">
        <f t="shared" si="7"/>
        <v/>
      </c>
      <c r="S99" s="4" t="str">
        <f t="shared" si="8"/>
        <v/>
      </c>
      <c r="U99" s="1" t="s">
        <v>80</v>
      </c>
      <c r="V99" s="1" t="s">
        <v>402</v>
      </c>
      <c r="W99" s="1" t="s">
        <v>402</v>
      </c>
      <c r="X99" s="1" t="s">
        <v>402</v>
      </c>
      <c r="Y99" s="1" t="s">
        <v>402</v>
      </c>
      <c r="Z99" s="1" t="s">
        <v>402</v>
      </c>
      <c r="AA99" s="1">
        <v>9.1251344809037107</v>
      </c>
      <c r="AB99" s="1">
        <v>16.424846625766872</v>
      </c>
      <c r="AC99" s="1" t="s">
        <v>402</v>
      </c>
      <c r="AD99" s="1" t="s">
        <v>402</v>
      </c>
    </row>
    <row r="100" spans="1:30">
      <c r="A100" s="1" t="s">
        <v>226</v>
      </c>
      <c r="C100" s="4" t="str">
        <f t="shared" si="0"/>
        <v/>
      </c>
      <c r="E100" s="4" t="str">
        <f t="shared" si="1"/>
        <v/>
      </c>
      <c r="G100" s="4" t="str">
        <f t="shared" si="2"/>
        <v/>
      </c>
      <c r="I100" s="4" t="str">
        <f t="shared" si="3"/>
        <v/>
      </c>
      <c r="K100" s="4" t="str">
        <f t="shared" si="4"/>
        <v/>
      </c>
      <c r="L100" s="1">
        <v>4.7793000000000001</v>
      </c>
      <c r="M100" s="4">
        <f t="shared" si="5"/>
        <v>3.3426573426573429</v>
      </c>
      <c r="N100" s="1">
        <v>6.5228000000000002</v>
      </c>
      <c r="O100" s="4">
        <f t="shared" si="6"/>
        <v>9.3001952035694373</v>
      </c>
      <c r="Q100" s="4" t="str">
        <f t="shared" si="7"/>
        <v/>
      </c>
      <c r="S100" s="4" t="str">
        <f t="shared" si="8"/>
        <v/>
      </c>
      <c r="U100" s="1" t="s">
        <v>83</v>
      </c>
      <c r="V100" s="1" t="s">
        <v>402</v>
      </c>
      <c r="W100" s="1" t="s">
        <v>402</v>
      </c>
      <c r="X100" s="1" t="s">
        <v>402</v>
      </c>
      <c r="Y100" s="1" t="s">
        <v>402</v>
      </c>
      <c r="Z100" s="1" t="s">
        <v>402</v>
      </c>
      <c r="AA100" s="1">
        <v>3.3426573426573429</v>
      </c>
      <c r="AB100" s="1">
        <v>9.3001952035694373</v>
      </c>
      <c r="AC100" s="1" t="s">
        <v>402</v>
      </c>
      <c r="AD100" s="1" t="s">
        <v>402</v>
      </c>
    </row>
    <row r="101" spans="1:30">
      <c r="A101" s="1" t="s">
        <v>227</v>
      </c>
      <c r="C101" s="4" t="str">
        <f t="shared" si="0"/>
        <v/>
      </c>
      <c r="E101" s="4" t="str">
        <f t="shared" si="1"/>
        <v/>
      </c>
      <c r="G101" s="4" t="str">
        <f t="shared" si="2"/>
        <v/>
      </c>
      <c r="I101" s="4" t="str">
        <f t="shared" si="3"/>
        <v/>
      </c>
      <c r="K101" s="4" t="str">
        <f t="shared" si="4"/>
        <v/>
      </c>
      <c r="L101" s="1">
        <v>6.5048000000000004</v>
      </c>
      <c r="M101" s="4">
        <f t="shared" si="5"/>
        <v>4.5028913394298016</v>
      </c>
      <c r="N101" s="1">
        <v>6.4417</v>
      </c>
      <c r="O101" s="4">
        <f t="shared" si="6"/>
        <v>9.1871165644171793</v>
      </c>
      <c r="Q101" s="4" t="str">
        <f t="shared" si="7"/>
        <v/>
      </c>
      <c r="S101" s="4" t="str">
        <f t="shared" si="8"/>
        <v/>
      </c>
      <c r="U101" s="1" t="s">
        <v>81</v>
      </c>
      <c r="V101" s="1" t="s">
        <v>402</v>
      </c>
      <c r="W101" s="1" t="s">
        <v>402</v>
      </c>
      <c r="X101" s="1" t="s">
        <v>402</v>
      </c>
      <c r="Y101" s="1" t="s">
        <v>402</v>
      </c>
      <c r="Z101" s="1" t="s">
        <v>402</v>
      </c>
      <c r="AA101" s="1">
        <v>4.5028913394298016</v>
      </c>
      <c r="AB101" s="1">
        <v>9.1871165644171793</v>
      </c>
      <c r="AC101" s="1" t="s">
        <v>402</v>
      </c>
      <c r="AD101" s="1" t="s">
        <v>402</v>
      </c>
    </row>
    <row r="102" spans="1:30">
      <c r="A102" s="1" t="s">
        <v>228</v>
      </c>
      <c r="C102" s="4" t="str">
        <f t="shared" ref="C102:C159" si="9">IF(B102,(B102+0.2414)/0.732,"")</f>
        <v/>
      </c>
      <c r="E102" s="4" t="str">
        <f t="shared" ref="E102:E159" si="10">IF(D102,(D102+0.1546)/1.6817,"")</f>
        <v/>
      </c>
      <c r="G102" s="4" t="str">
        <f t="shared" ref="G102:G159" si="11">IF(F102,(F102+0.1521)/1.5793,"")</f>
        <v/>
      </c>
      <c r="H102" s="1">
        <v>0.24460000000000001</v>
      </c>
      <c r="I102" s="4">
        <f t="shared" ref="I102:I159" si="12">IF(H102,(H102+0.3033)/2.0771,"")</f>
        <v>0.26378123345048388</v>
      </c>
      <c r="J102" s="1">
        <v>0.35289999999999999</v>
      </c>
      <c r="K102" s="4">
        <f t="shared" ref="K102:K159" si="13">IF(J102,(J102+0.2645)/2.2528,"")</f>
        <v>0.2740589488636363</v>
      </c>
      <c r="L102" s="1">
        <v>27.3081</v>
      </c>
      <c r="M102" s="4">
        <f t="shared" ref="M102:M159" si="14">IF(L102,(L102+0.1919)/1.4872,"")</f>
        <v>18.491124260355029</v>
      </c>
      <c r="N102" s="1">
        <v>20.421800000000001</v>
      </c>
      <c r="O102" s="4">
        <f t="shared" ref="O102:O159" si="15">IF(N102,(N102+0.1473)/0.7172,"")</f>
        <v>28.679726715002793</v>
      </c>
      <c r="Q102" s="4" t="str">
        <f t="shared" ref="Q102:Q159" si="16">IF(P102,(P102+0.5415)/0.6403,"")</f>
        <v/>
      </c>
      <c r="S102" s="4" t="str">
        <f t="shared" ref="S102:S159" si="17">IF(R102,(R102+0.6795)/0.5539,"")</f>
        <v/>
      </c>
      <c r="U102" s="1" t="s">
        <v>334</v>
      </c>
      <c r="V102" s="1" t="s">
        <v>402</v>
      </c>
      <c r="W102" s="1" t="s">
        <v>402</v>
      </c>
      <c r="X102" s="1" t="s">
        <v>402</v>
      </c>
      <c r="Y102" s="1">
        <v>0.26378123345048388</v>
      </c>
      <c r="Z102" s="1">
        <v>0.2740589488636363</v>
      </c>
      <c r="AA102" s="1">
        <v>18.491124260355029</v>
      </c>
      <c r="AB102" s="1">
        <v>28.679726715002793</v>
      </c>
      <c r="AC102" s="1" t="s">
        <v>402</v>
      </c>
      <c r="AD102" s="1" t="s">
        <v>402</v>
      </c>
    </row>
    <row r="103" spans="1:30">
      <c r="A103" s="1" t="s">
        <v>229</v>
      </c>
      <c r="C103" s="4" t="str">
        <f t="shared" si="9"/>
        <v/>
      </c>
      <c r="E103" s="4" t="str">
        <f t="shared" si="10"/>
        <v/>
      </c>
      <c r="F103" s="1">
        <v>7.51E-2</v>
      </c>
      <c r="G103" s="4">
        <f t="shared" si="11"/>
        <v>0.14386120433103275</v>
      </c>
      <c r="H103" s="1">
        <v>2.3400000000000001E-2</v>
      </c>
      <c r="I103" s="4">
        <f t="shared" si="12"/>
        <v>0.15728660151172305</v>
      </c>
      <c r="J103" s="1">
        <v>8.4099999999999994E-2</v>
      </c>
      <c r="K103" s="4">
        <f t="shared" si="13"/>
        <v>0.15474076704545456</v>
      </c>
      <c r="L103" s="1">
        <v>50.301900000000003</v>
      </c>
      <c r="M103" s="4">
        <f t="shared" si="14"/>
        <v>33.952259279182357</v>
      </c>
      <c r="N103" s="1">
        <v>13.372400000000001</v>
      </c>
      <c r="O103" s="4">
        <f t="shared" si="15"/>
        <v>18.850669269380926</v>
      </c>
      <c r="Q103" s="4" t="str">
        <f t="shared" si="16"/>
        <v/>
      </c>
      <c r="R103" s="1">
        <v>0.21809999999999999</v>
      </c>
      <c r="S103" s="4">
        <f t="shared" si="17"/>
        <v>1.6205091171691641</v>
      </c>
      <c r="U103" s="1" t="s">
        <v>335</v>
      </c>
      <c r="V103" s="1" t="s">
        <v>402</v>
      </c>
      <c r="W103" s="1" t="s">
        <v>402</v>
      </c>
      <c r="X103" s="1">
        <v>0.14386120433103275</v>
      </c>
      <c r="Y103" s="1">
        <v>0.15728660151172305</v>
      </c>
      <c r="Z103" s="1">
        <v>0.15474076704545456</v>
      </c>
      <c r="AA103" s="1">
        <v>33.952259279182357</v>
      </c>
      <c r="AB103" s="1">
        <v>18.850669269380926</v>
      </c>
      <c r="AC103" s="1" t="s">
        <v>402</v>
      </c>
      <c r="AD103" s="1">
        <v>1.6205091171691641</v>
      </c>
    </row>
    <row r="104" spans="1:30">
      <c r="A104" s="1" t="s">
        <v>230</v>
      </c>
      <c r="C104" s="4" t="str">
        <f t="shared" si="9"/>
        <v/>
      </c>
      <c r="E104" s="4" t="str">
        <f t="shared" si="10"/>
        <v/>
      </c>
      <c r="G104" s="4" t="str">
        <f t="shared" si="11"/>
        <v/>
      </c>
      <c r="I104" s="4" t="str">
        <f t="shared" si="12"/>
        <v/>
      </c>
      <c r="J104" s="1">
        <v>4.6399999999999997E-2</v>
      </c>
      <c r="K104" s="4">
        <f t="shared" si="13"/>
        <v>0.13800603693181818</v>
      </c>
      <c r="L104" s="1">
        <v>22.447099999999999</v>
      </c>
      <c r="M104" s="4">
        <f t="shared" si="14"/>
        <v>15.222565895642818</v>
      </c>
      <c r="N104" s="1">
        <v>1.2173</v>
      </c>
      <c r="O104" s="4">
        <f t="shared" si="15"/>
        <v>1.9026770775237034</v>
      </c>
      <c r="Q104" s="4" t="str">
        <f t="shared" si="16"/>
        <v/>
      </c>
      <c r="R104" s="1">
        <f>0.0635*2</f>
        <v>0.127</v>
      </c>
      <c r="S104" s="4">
        <f t="shared" si="17"/>
        <v>1.4560389962087021</v>
      </c>
      <c r="U104" s="1" t="s">
        <v>336</v>
      </c>
      <c r="V104" s="1" t="s">
        <v>402</v>
      </c>
      <c r="W104" s="1" t="s">
        <v>402</v>
      </c>
      <c r="X104" s="1" t="s">
        <v>402</v>
      </c>
      <c r="Y104" s="1" t="s">
        <v>402</v>
      </c>
      <c r="Z104" s="1">
        <v>0.13800603693181818</v>
      </c>
      <c r="AA104" s="1">
        <v>15.222565895642818</v>
      </c>
      <c r="AB104" s="1">
        <v>1.9026770775237034</v>
      </c>
      <c r="AC104" s="1" t="s">
        <v>402</v>
      </c>
      <c r="AD104" s="1">
        <v>1.4560389962087021</v>
      </c>
    </row>
    <row r="105" spans="1:30">
      <c r="A105" s="1" t="s">
        <v>231</v>
      </c>
      <c r="C105" s="4" t="str">
        <f t="shared" si="9"/>
        <v/>
      </c>
      <c r="E105" s="4" t="str">
        <f t="shared" si="10"/>
        <v/>
      </c>
      <c r="F105" s="1">
        <v>0.23380000000000001</v>
      </c>
      <c r="G105" s="4">
        <f t="shared" si="11"/>
        <v>0.2443487621097955</v>
      </c>
      <c r="H105" s="1">
        <v>0.12909999999999999</v>
      </c>
      <c r="I105" s="4">
        <f t="shared" si="12"/>
        <v>0.20817485917866255</v>
      </c>
      <c r="J105" s="1">
        <v>4.5900000000000003E-2</v>
      </c>
      <c r="K105" s="4">
        <f t="shared" si="13"/>
        <v>0.13778409090909091</v>
      </c>
      <c r="L105" s="1">
        <v>20.7148</v>
      </c>
      <c r="M105" s="4">
        <f t="shared" si="14"/>
        <v>14.057759548144164</v>
      </c>
      <c r="N105" s="1">
        <v>17.702999999999999</v>
      </c>
      <c r="O105" s="4">
        <f t="shared" si="15"/>
        <v>24.88887339654211</v>
      </c>
      <c r="Q105" s="4" t="str">
        <f t="shared" si="16"/>
        <v/>
      </c>
      <c r="R105" s="1">
        <f>2*0.0859</f>
        <v>0.17180000000000001</v>
      </c>
      <c r="S105" s="4">
        <f t="shared" si="17"/>
        <v>1.5369200216645604</v>
      </c>
      <c r="U105" s="1" t="s">
        <v>337</v>
      </c>
      <c r="V105" s="1" t="s">
        <v>402</v>
      </c>
      <c r="W105" s="1" t="s">
        <v>402</v>
      </c>
      <c r="X105" s="1">
        <v>0.2443487621097955</v>
      </c>
      <c r="Y105" s="1">
        <v>0.20817485917866255</v>
      </c>
      <c r="Z105" s="1">
        <v>0.13778409090909091</v>
      </c>
      <c r="AA105" s="1">
        <v>14.057759548144164</v>
      </c>
      <c r="AB105" s="1">
        <v>24.88887339654211</v>
      </c>
      <c r="AC105" s="1" t="s">
        <v>402</v>
      </c>
      <c r="AD105" s="1">
        <v>1.5369200216645604</v>
      </c>
    </row>
    <row r="106" spans="1:30">
      <c r="A106" s="1" t="s">
        <v>232</v>
      </c>
      <c r="C106" s="4" t="str">
        <f t="shared" si="9"/>
        <v/>
      </c>
      <c r="E106" s="4" t="str">
        <f t="shared" si="10"/>
        <v/>
      </c>
      <c r="G106" s="4" t="str">
        <f t="shared" si="11"/>
        <v/>
      </c>
      <c r="I106" s="4" t="str">
        <f t="shared" si="12"/>
        <v/>
      </c>
      <c r="K106" s="4" t="str">
        <f t="shared" si="13"/>
        <v/>
      </c>
      <c r="L106" s="1">
        <v>7.3678999999999997</v>
      </c>
      <c r="M106" s="4">
        <f t="shared" si="14"/>
        <v>5.0832436793975253</v>
      </c>
      <c r="N106" s="1">
        <v>6.9371999999999998</v>
      </c>
      <c r="O106" s="4">
        <f t="shared" si="15"/>
        <v>9.8779977691020644</v>
      </c>
      <c r="P106" s="1">
        <v>4.9299999999999997E-2</v>
      </c>
      <c r="Q106" s="4">
        <f t="shared" si="16"/>
        <v>0.92269248789629865</v>
      </c>
      <c r="R106" s="1">
        <v>8.3799999999999999E-2</v>
      </c>
      <c r="S106" s="4">
        <f t="shared" si="17"/>
        <v>1.3780465788048386</v>
      </c>
      <c r="U106" s="1" t="s">
        <v>86</v>
      </c>
      <c r="V106" s="1" t="s">
        <v>402</v>
      </c>
      <c r="W106" s="1" t="s">
        <v>402</v>
      </c>
      <c r="X106" s="1" t="s">
        <v>402</v>
      </c>
      <c r="Y106" s="1" t="s">
        <v>402</v>
      </c>
      <c r="Z106" s="1" t="s">
        <v>402</v>
      </c>
      <c r="AA106" s="1">
        <v>5.0832436793975253</v>
      </c>
      <c r="AB106" s="1">
        <v>9.8779977691020644</v>
      </c>
      <c r="AC106" s="1">
        <v>0.92269248789629865</v>
      </c>
      <c r="AD106" s="1">
        <v>1.3780465788048386</v>
      </c>
    </row>
    <row r="107" spans="1:30">
      <c r="A107" s="1" t="s">
        <v>233</v>
      </c>
      <c r="C107" s="4" t="str">
        <f t="shared" si="9"/>
        <v/>
      </c>
      <c r="E107" s="4" t="str">
        <f t="shared" si="10"/>
        <v/>
      </c>
      <c r="G107" s="4" t="str">
        <f t="shared" si="11"/>
        <v/>
      </c>
      <c r="I107" s="4" t="str">
        <f t="shared" si="12"/>
        <v/>
      </c>
      <c r="K107" s="4" t="str">
        <f t="shared" si="13"/>
        <v/>
      </c>
      <c r="L107" s="1">
        <v>19.051100000000002</v>
      </c>
      <c r="M107" s="4">
        <f t="shared" si="14"/>
        <v>12.939080150618613</v>
      </c>
      <c r="N107" s="1">
        <v>17.547899999999998</v>
      </c>
      <c r="O107" s="4">
        <f t="shared" si="15"/>
        <v>24.672615727830454</v>
      </c>
      <c r="P107" s="1">
        <v>0.14860000000000001</v>
      </c>
      <c r="Q107" s="4">
        <f t="shared" si="16"/>
        <v>1.0777760424800873</v>
      </c>
      <c r="R107" s="1">
        <f>0.0999*2</f>
        <v>0.19980000000000001</v>
      </c>
      <c r="S107" s="4">
        <f t="shared" si="17"/>
        <v>1.5874706625744721</v>
      </c>
      <c r="U107" s="1" t="s">
        <v>88</v>
      </c>
      <c r="V107" s="1" t="s">
        <v>402</v>
      </c>
      <c r="W107" s="1" t="s">
        <v>402</v>
      </c>
      <c r="X107" s="1" t="s">
        <v>402</v>
      </c>
      <c r="Y107" s="1" t="s">
        <v>402</v>
      </c>
      <c r="Z107" s="1" t="s">
        <v>402</v>
      </c>
      <c r="AA107" s="1">
        <v>12.939080150618613</v>
      </c>
      <c r="AB107" s="1">
        <v>24.672615727830454</v>
      </c>
      <c r="AC107" s="1">
        <v>1.0777760424800873</v>
      </c>
      <c r="AD107" s="1">
        <v>1.5874706625744721</v>
      </c>
    </row>
    <row r="108" spans="1:30">
      <c r="A108" s="1" t="s">
        <v>234</v>
      </c>
      <c r="C108" s="4" t="str">
        <f t="shared" si="9"/>
        <v/>
      </c>
      <c r="E108" s="4" t="str">
        <f t="shared" si="10"/>
        <v/>
      </c>
      <c r="G108" s="4" t="str">
        <f t="shared" si="11"/>
        <v/>
      </c>
      <c r="I108" s="4" t="str">
        <f t="shared" si="12"/>
        <v/>
      </c>
      <c r="K108" s="4" t="str">
        <f t="shared" si="13"/>
        <v/>
      </c>
      <c r="L108" s="1">
        <v>7.3582000000000001</v>
      </c>
      <c r="M108" s="4">
        <f t="shared" si="14"/>
        <v>5.0767213555675097</v>
      </c>
      <c r="N108" s="1">
        <v>7.7183999999999999</v>
      </c>
      <c r="O108" s="4">
        <f t="shared" si="15"/>
        <v>10.967233686558842</v>
      </c>
      <c r="Q108" s="4" t="str">
        <f t="shared" si="16"/>
        <v/>
      </c>
      <c r="R108" s="1">
        <f>0.0494*2</f>
        <v>9.8799999999999999E-2</v>
      </c>
      <c r="S108" s="4">
        <f t="shared" si="17"/>
        <v>1.4051272792922911</v>
      </c>
      <c r="U108" s="1" t="s">
        <v>84</v>
      </c>
      <c r="V108" s="1" t="s">
        <v>402</v>
      </c>
      <c r="W108" s="1" t="s">
        <v>402</v>
      </c>
      <c r="X108" s="1" t="s">
        <v>402</v>
      </c>
      <c r="Y108" s="1" t="s">
        <v>402</v>
      </c>
      <c r="Z108" s="1" t="s">
        <v>402</v>
      </c>
      <c r="AA108" s="1">
        <v>5.0767213555675097</v>
      </c>
      <c r="AB108" s="1">
        <v>10.967233686558842</v>
      </c>
      <c r="AC108" s="1" t="s">
        <v>402</v>
      </c>
      <c r="AD108" s="1">
        <v>1.4051272792922911</v>
      </c>
    </row>
    <row r="109" spans="1:30">
      <c r="A109" s="1" t="s">
        <v>235</v>
      </c>
      <c r="C109" s="4" t="str">
        <f t="shared" si="9"/>
        <v/>
      </c>
      <c r="E109" s="4" t="str">
        <f t="shared" si="10"/>
        <v/>
      </c>
      <c r="G109" s="4" t="str">
        <f t="shared" si="11"/>
        <v/>
      </c>
      <c r="I109" s="4" t="str">
        <f t="shared" si="12"/>
        <v/>
      </c>
      <c r="K109" s="4" t="str">
        <f t="shared" si="13"/>
        <v/>
      </c>
      <c r="L109" s="1">
        <v>8.5424000000000007</v>
      </c>
      <c r="M109" s="4">
        <f t="shared" si="14"/>
        <v>5.8729827864443251</v>
      </c>
      <c r="N109" s="1">
        <v>8.7693999999999992</v>
      </c>
      <c r="O109" s="4">
        <f t="shared" si="15"/>
        <v>12.432654768544339</v>
      </c>
      <c r="P109" s="1">
        <v>6.3399999999999998E-2</v>
      </c>
      <c r="Q109" s="4">
        <f t="shared" si="16"/>
        <v>0.94471341558644384</v>
      </c>
      <c r="R109" s="1">
        <f>0.0516*2</f>
        <v>0.1032</v>
      </c>
      <c r="S109" s="4">
        <f t="shared" si="17"/>
        <v>1.4130709514352773</v>
      </c>
      <c r="U109" s="1" t="s">
        <v>101</v>
      </c>
      <c r="V109" s="1" t="s">
        <v>402</v>
      </c>
      <c r="W109" s="1" t="s">
        <v>402</v>
      </c>
      <c r="X109" s="1" t="s">
        <v>402</v>
      </c>
      <c r="Y109" s="1" t="s">
        <v>402</v>
      </c>
      <c r="Z109" s="1" t="s">
        <v>402</v>
      </c>
      <c r="AA109" s="1">
        <v>5.8729827864443251</v>
      </c>
      <c r="AB109" s="1">
        <v>12.432654768544339</v>
      </c>
      <c r="AC109" s="1">
        <v>0.94471341558644384</v>
      </c>
      <c r="AD109" s="1">
        <v>1.4130709514352773</v>
      </c>
    </row>
    <row r="110" spans="1:30">
      <c r="A110" s="1" t="s">
        <v>236</v>
      </c>
      <c r="C110" s="4" t="str">
        <f t="shared" si="9"/>
        <v/>
      </c>
      <c r="E110" s="4" t="str">
        <f t="shared" si="10"/>
        <v/>
      </c>
      <c r="G110" s="4" t="str">
        <f t="shared" si="11"/>
        <v/>
      </c>
      <c r="I110" s="4" t="str">
        <f t="shared" si="12"/>
        <v/>
      </c>
      <c r="K110" s="4" t="str">
        <f t="shared" si="13"/>
        <v/>
      </c>
      <c r="L110" s="1">
        <v>8.1242000000000001</v>
      </c>
      <c r="M110" s="4">
        <f t="shared" si="14"/>
        <v>5.5917832167832167</v>
      </c>
      <c r="N110" s="1">
        <v>7.9908999999999999</v>
      </c>
      <c r="O110" s="4">
        <f t="shared" si="15"/>
        <v>11.34718349135527</v>
      </c>
      <c r="P110" s="1">
        <v>5.7700000000000001E-2</v>
      </c>
      <c r="Q110" s="4">
        <f t="shared" si="16"/>
        <v>0.93581133843510855</v>
      </c>
      <c r="R110" s="1">
        <f>0.0366*2</f>
        <v>7.3200000000000001E-2</v>
      </c>
      <c r="S110" s="4">
        <f t="shared" si="17"/>
        <v>1.3589095504603721</v>
      </c>
      <c r="U110" s="1" t="s">
        <v>85</v>
      </c>
      <c r="V110" s="1" t="s">
        <v>402</v>
      </c>
      <c r="W110" s="1" t="s">
        <v>402</v>
      </c>
      <c r="X110" s="1" t="s">
        <v>402</v>
      </c>
      <c r="Y110" s="1" t="s">
        <v>402</v>
      </c>
      <c r="Z110" s="1" t="s">
        <v>402</v>
      </c>
      <c r="AA110" s="1">
        <v>5.5917832167832167</v>
      </c>
      <c r="AB110" s="1">
        <v>11.34718349135527</v>
      </c>
      <c r="AC110" s="1">
        <v>0.93581133843510855</v>
      </c>
      <c r="AD110" s="1">
        <v>1.3589095504603721</v>
      </c>
    </row>
    <row r="111" spans="1:30">
      <c r="A111" s="1" t="s">
        <v>237</v>
      </c>
      <c r="B111" s="1">
        <v>10.2111</v>
      </c>
      <c r="C111" s="4">
        <f t="shared" si="9"/>
        <v>14.279371584699454</v>
      </c>
      <c r="E111" s="4" t="str">
        <f t="shared" si="10"/>
        <v/>
      </c>
      <c r="G111" s="4" t="str">
        <f t="shared" si="11"/>
        <v/>
      </c>
      <c r="I111" s="4" t="str">
        <f t="shared" si="12"/>
        <v/>
      </c>
      <c r="K111" s="4" t="str">
        <f t="shared" si="13"/>
        <v/>
      </c>
      <c r="L111" s="1">
        <v>1.0293000000000001</v>
      </c>
      <c r="M111" s="4">
        <f t="shared" si="14"/>
        <v>0.82114039806347494</v>
      </c>
      <c r="N111" s="1">
        <v>0.1196</v>
      </c>
      <c r="O111" s="4">
        <f t="shared" si="15"/>
        <v>0.37214166201896259</v>
      </c>
      <c r="Q111" s="4" t="str">
        <f t="shared" si="16"/>
        <v/>
      </c>
      <c r="S111" s="4" t="str">
        <f t="shared" si="17"/>
        <v/>
      </c>
      <c r="U111" s="1" t="s">
        <v>24</v>
      </c>
      <c r="V111" s="1">
        <v>14.279371584699454</v>
      </c>
      <c r="W111" s="1" t="s">
        <v>402</v>
      </c>
      <c r="X111" s="1" t="s">
        <v>402</v>
      </c>
      <c r="Y111" s="1" t="s">
        <v>402</v>
      </c>
      <c r="Z111" s="1" t="s">
        <v>402</v>
      </c>
      <c r="AA111" s="1">
        <v>0.82114039806347494</v>
      </c>
      <c r="AB111" s="1">
        <v>0.37214166201896259</v>
      </c>
      <c r="AC111" s="1" t="s">
        <v>402</v>
      </c>
      <c r="AD111" s="1" t="s">
        <v>402</v>
      </c>
    </row>
    <row r="112" spans="1:30">
      <c r="A112" s="1" t="s">
        <v>238</v>
      </c>
      <c r="B112" s="1">
        <v>19.143899999999999</v>
      </c>
      <c r="C112" s="4">
        <f t="shared" si="9"/>
        <v>26.482650273224042</v>
      </c>
      <c r="E112" s="4" t="str">
        <f t="shared" si="10"/>
        <v/>
      </c>
      <c r="G112" s="4" t="str">
        <f t="shared" si="11"/>
        <v/>
      </c>
      <c r="I112" s="4" t="str">
        <f t="shared" si="12"/>
        <v/>
      </c>
      <c r="J112" s="1">
        <v>1.47E-2</v>
      </c>
      <c r="K112" s="4">
        <f t="shared" si="13"/>
        <v>0.12393465909090909</v>
      </c>
      <c r="L112" s="1">
        <v>13.5388</v>
      </c>
      <c r="M112" s="4">
        <f t="shared" si="14"/>
        <v>9.2325847229693387</v>
      </c>
      <c r="N112" s="1">
        <v>6.7161</v>
      </c>
      <c r="O112" s="4">
        <f t="shared" si="15"/>
        <v>9.5697155605131083</v>
      </c>
      <c r="Q112" s="4" t="str">
        <f t="shared" si="16"/>
        <v/>
      </c>
      <c r="R112" s="1">
        <v>8.2699999999999996E-2</v>
      </c>
      <c r="S112" s="4">
        <f t="shared" si="17"/>
        <v>1.3760606607690919</v>
      </c>
      <c r="U112" s="1" t="s">
        <v>7</v>
      </c>
      <c r="V112" s="1">
        <v>26.482650273224042</v>
      </c>
      <c r="W112" s="1" t="s">
        <v>402</v>
      </c>
      <c r="X112" s="1" t="s">
        <v>402</v>
      </c>
      <c r="Y112" s="1" t="s">
        <v>402</v>
      </c>
      <c r="Z112" s="1">
        <v>0.12393465909090909</v>
      </c>
      <c r="AA112" s="1">
        <v>9.2325847229693387</v>
      </c>
      <c r="AB112" s="1">
        <v>9.5697155605131083</v>
      </c>
      <c r="AC112" s="1" t="s">
        <v>402</v>
      </c>
      <c r="AD112" s="1">
        <v>1.3760606607690919</v>
      </c>
    </row>
    <row r="113" spans="1:30">
      <c r="A113" s="1" t="s">
        <v>239</v>
      </c>
      <c r="B113" s="1">
        <v>1.7898000000000001</v>
      </c>
      <c r="C113" s="4">
        <f t="shared" si="9"/>
        <v>2.7748633879781424</v>
      </c>
      <c r="E113" s="4" t="str">
        <f t="shared" si="10"/>
        <v/>
      </c>
      <c r="G113" s="4" t="str">
        <f t="shared" si="11"/>
        <v/>
      </c>
      <c r="I113" s="4" t="str">
        <f t="shared" si="12"/>
        <v/>
      </c>
      <c r="K113" s="4" t="str">
        <f t="shared" si="13"/>
        <v/>
      </c>
      <c r="L113" s="1">
        <v>33.789200000000001</v>
      </c>
      <c r="M113" s="4">
        <f t="shared" si="14"/>
        <v>22.849045185583645</v>
      </c>
      <c r="N113" s="1">
        <v>7.9508000000000001</v>
      </c>
      <c r="O113" s="4">
        <f t="shared" si="15"/>
        <v>11.29127161182376</v>
      </c>
      <c r="Q113" s="4" t="str">
        <f t="shared" si="16"/>
        <v/>
      </c>
      <c r="R113" s="1">
        <v>7.85E-2</v>
      </c>
      <c r="S113" s="4">
        <f t="shared" si="17"/>
        <v>1.3684780646326054</v>
      </c>
      <c r="U113" s="1" t="s">
        <v>25</v>
      </c>
      <c r="V113" s="1">
        <v>2.7748633879781424</v>
      </c>
      <c r="W113" s="1" t="s">
        <v>402</v>
      </c>
      <c r="X113" s="1" t="s">
        <v>402</v>
      </c>
      <c r="Y113" s="1" t="s">
        <v>402</v>
      </c>
      <c r="Z113" s="1" t="s">
        <v>402</v>
      </c>
      <c r="AA113" s="1">
        <v>22.849045185583645</v>
      </c>
      <c r="AB113" s="1">
        <v>11.29127161182376</v>
      </c>
      <c r="AC113" s="1" t="s">
        <v>402</v>
      </c>
      <c r="AD113" s="1">
        <v>1.3684780646326054</v>
      </c>
    </row>
    <row r="114" spans="1:30">
      <c r="A114" s="1" t="s">
        <v>240</v>
      </c>
      <c r="B114" s="1">
        <v>4.3528000000000002</v>
      </c>
      <c r="C114" s="4">
        <f t="shared" si="9"/>
        <v>6.276229508196721</v>
      </c>
      <c r="E114" s="4" t="str">
        <f t="shared" si="10"/>
        <v/>
      </c>
      <c r="F114" s="1">
        <v>3.7900000000000003E-2</v>
      </c>
      <c r="G114" s="4">
        <f t="shared" si="11"/>
        <v>0.12030646488950801</v>
      </c>
      <c r="H114" s="1">
        <v>2.93E-2</v>
      </c>
      <c r="I114" s="4">
        <f t="shared" si="12"/>
        <v>0.16012710028404986</v>
      </c>
      <c r="K114" s="4" t="str">
        <f t="shared" si="13"/>
        <v/>
      </c>
      <c r="L114" s="1">
        <v>3.0630000000000002</v>
      </c>
      <c r="M114" s="4">
        <f t="shared" si="14"/>
        <v>2.1886094674556213</v>
      </c>
      <c r="N114" s="1">
        <v>0.14610000000000001</v>
      </c>
      <c r="O114" s="4">
        <f t="shared" si="15"/>
        <v>0.40909090909090912</v>
      </c>
      <c r="Q114" s="4" t="str">
        <f t="shared" si="16"/>
        <v/>
      </c>
      <c r="R114" s="1">
        <f>0.1092*2</f>
        <v>0.21840000000000001</v>
      </c>
      <c r="S114" s="4">
        <f t="shared" si="17"/>
        <v>1.6210507311789133</v>
      </c>
      <c r="U114" s="1" t="s">
        <v>26</v>
      </c>
      <c r="V114" s="1">
        <v>6.276229508196721</v>
      </c>
      <c r="W114" s="1" t="s">
        <v>402</v>
      </c>
      <c r="X114" s="1">
        <v>0.12030646488950801</v>
      </c>
      <c r="Y114" s="1">
        <v>0.16012710028404986</v>
      </c>
      <c r="Z114" s="1" t="s">
        <v>402</v>
      </c>
      <c r="AA114" s="1">
        <v>2.1886094674556213</v>
      </c>
      <c r="AB114" s="1">
        <v>0.40909090909090912</v>
      </c>
      <c r="AC114" s="1" t="s">
        <v>402</v>
      </c>
      <c r="AD114" s="1">
        <v>1.6210507311789133</v>
      </c>
    </row>
    <row r="115" spans="1:30">
      <c r="A115" s="1" t="s">
        <v>241</v>
      </c>
      <c r="B115" s="1">
        <v>10.256399999999999</v>
      </c>
      <c r="C115" s="4">
        <f t="shared" si="9"/>
        <v>14.341256830601093</v>
      </c>
      <c r="E115" s="4" t="str">
        <f t="shared" si="10"/>
        <v/>
      </c>
      <c r="F115" s="1">
        <v>5.0500000000000003E-2</v>
      </c>
      <c r="G115" s="4">
        <f t="shared" si="11"/>
        <v>0.12828468308744381</v>
      </c>
      <c r="H115" s="1">
        <v>3.2099999999999997E-2</v>
      </c>
      <c r="I115" s="4">
        <f t="shared" si="12"/>
        <v>0.1614751335997304</v>
      </c>
      <c r="J115" s="1">
        <v>6.3500000000000001E-2</v>
      </c>
      <c r="K115" s="4">
        <f t="shared" si="13"/>
        <v>0.14559659090909091</v>
      </c>
      <c r="L115" s="1">
        <v>9.0493000000000006</v>
      </c>
      <c r="M115" s="4">
        <f t="shared" si="14"/>
        <v>6.2138246369015606</v>
      </c>
      <c r="N115" s="1">
        <v>0.81520000000000004</v>
      </c>
      <c r="O115" s="4">
        <f t="shared" si="15"/>
        <v>1.3420245398773007</v>
      </c>
      <c r="Q115" s="4" t="str">
        <f t="shared" si="16"/>
        <v/>
      </c>
      <c r="R115" s="1">
        <v>0.33960000000000001</v>
      </c>
      <c r="S115" s="4">
        <f t="shared" si="17"/>
        <v>1.8398627911175303</v>
      </c>
      <c r="U115" s="1" t="s">
        <v>27</v>
      </c>
      <c r="V115" s="1">
        <v>14.341256830601093</v>
      </c>
      <c r="W115" s="1" t="s">
        <v>402</v>
      </c>
      <c r="X115" s="1">
        <v>0.12828468308744381</v>
      </c>
      <c r="Y115" s="1">
        <v>0.1614751335997304</v>
      </c>
      <c r="Z115" s="1">
        <v>0.14559659090909091</v>
      </c>
      <c r="AA115" s="1">
        <v>6.2138246369015606</v>
      </c>
      <c r="AB115" s="1">
        <v>1.3420245398773007</v>
      </c>
      <c r="AC115" s="1" t="s">
        <v>402</v>
      </c>
      <c r="AD115" s="1">
        <v>1.8398627911175303</v>
      </c>
    </row>
    <row r="116" spans="1:30">
      <c r="A116" s="1" t="s">
        <v>242</v>
      </c>
      <c r="B116" s="1">
        <v>1.2468999999999999</v>
      </c>
      <c r="C116" s="4">
        <f t="shared" si="9"/>
        <v>2.0331967213114752</v>
      </c>
      <c r="E116" s="4" t="str">
        <f t="shared" si="10"/>
        <v/>
      </c>
      <c r="G116" s="4" t="str">
        <f t="shared" si="11"/>
        <v/>
      </c>
      <c r="I116" s="4" t="str">
        <f t="shared" si="12"/>
        <v/>
      </c>
      <c r="K116" s="4" t="str">
        <f t="shared" si="13"/>
        <v/>
      </c>
      <c r="L116" s="1">
        <v>0.251</v>
      </c>
      <c r="M116" s="4">
        <f t="shared" si="14"/>
        <v>0.29780796126949971</v>
      </c>
      <c r="N116" s="1">
        <v>1.0049999999999999</v>
      </c>
      <c r="O116" s="4">
        <f t="shared" si="15"/>
        <v>1.6066648075850529</v>
      </c>
      <c r="Q116" s="4" t="str">
        <f t="shared" si="16"/>
        <v/>
      </c>
      <c r="S116" s="4" t="str">
        <f t="shared" si="17"/>
        <v/>
      </c>
      <c r="U116" s="1" t="s">
        <v>9</v>
      </c>
      <c r="V116" s="1">
        <v>2.0331967213114752</v>
      </c>
      <c r="W116" s="1" t="s">
        <v>402</v>
      </c>
      <c r="X116" s="1" t="s">
        <v>402</v>
      </c>
      <c r="Y116" s="1" t="s">
        <v>402</v>
      </c>
      <c r="Z116" s="1" t="s">
        <v>402</v>
      </c>
      <c r="AA116" s="1">
        <v>0.29780796126949971</v>
      </c>
      <c r="AB116" s="1">
        <v>1.6066648075850529</v>
      </c>
      <c r="AC116" s="1" t="s">
        <v>402</v>
      </c>
      <c r="AD116" s="1" t="s">
        <v>402</v>
      </c>
    </row>
    <row r="117" spans="1:30">
      <c r="A117" s="1" t="s">
        <v>243</v>
      </c>
      <c r="B117" s="1">
        <v>0.78910000000000002</v>
      </c>
      <c r="C117" s="4">
        <f t="shared" si="9"/>
        <v>1.4077868852459017</v>
      </c>
      <c r="E117" s="4" t="str">
        <f t="shared" si="10"/>
        <v/>
      </c>
      <c r="G117" s="4" t="str">
        <f t="shared" si="11"/>
        <v/>
      </c>
      <c r="I117" s="4" t="str">
        <f t="shared" si="12"/>
        <v/>
      </c>
      <c r="K117" s="4" t="str">
        <f t="shared" si="13"/>
        <v/>
      </c>
      <c r="L117" s="1">
        <v>0.31109999999999999</v>
      </c>
      <c r="M117" s="4">
        <f t="shared" si="14"/>
        <v>0.33821947283485743</v>
      </c>
      <c r="N117" s="1">
        <v>0.38840000000000002</v>
      </c>
      <c r="O117" s="4">
        <f t="shared" si="15"/>
        <v>0.74693251533742344</v>
      </c>
      <c r="Q117" s="4" t="str">
        <f t="shared" si="16"/>
        <v/>
      </c>
      <c r="S117" s="4" t="str">
        <f t="shared" si="17"/>
        <v/>
      </c>
      <c r="U117" s="1" t="s">
        <v>1</v>
      </c>
      <c r="V117" s="1">
        <v>1.4077868852459017</v>
      </c>
      <c r="W117" s="1" t="s">
        <v>402</v>
      </c>
      <c r="X117" s="1" t="s">
        <v>402</v>
      </c>
      <c r="Y117" s="1" t="s">
        <v>402</v>
      </c>
      <c r="Z117" s="1" t="s">
        <v>402</v>
      </c>
      <c r="AA117" s="1">
        <v>0.33821947283485743</v>
      </c>
      <c r="AB117" s="1">
        <v>0.74693251533742344</v>
      </c>
      <c r="AC117" s="1" t="s">
        <v>402</v>
      </c>
      <c r="AD117" s="1" t="s">
        <v>402</v>
      </c>
    </row>
    <row r="118" spans="1:30">
      <c r="A118" s="1" t="s">
        <v>244</v>
      </c>
      <c r="B118" s="1">
        <v>6.9767999999999999</v>
      </c>
      <c r="C118" s="4">
        <f t="shared" si="9"/>
        <v>9.860928961748634</v>
      </c>
      <c r="D118" s="1">
        <v>4.2799999999999998E-2</v>
      </c>
      <c r="E118" s="4">
        <f t="shared" si="10"/>
        <v>0.11738122138312422</v>
      </c>
      <c r="F118" s="1">
        <v>6.4100000000000004E-2</v>
      </c>
      <c r="G118" s="4">
        <f t="shared" si="11"/>
        <v>0.13689609320585069</v>
      </c>
      <c r="I118" s="4" t="str">
        <f t="shared" si="12"/>
        <v/>
      </c>
      <c r="J118" s="1">
        <v>7.4399999999999994E-2</v>
      </c>
      <c r="K118" s="4">
        <f t="shared" si="13"/>
        <v>0.15043501420454544</v>
      </c>
      <c r="L118" s="1">
        <v>19.282599999999999</v>
      </c>
      <c r="M118" s="4">
        <f t="shared" si="14"/>
        <v>13.094741796664872</v>
      </c>
      <c r="N118" s="1">
        <v>0.56289999999999996</v>
      </c>
      <c r="O118" s="4">
        <f t="shared" si="15"/>
        <v>0.99023982152816503</v>
      </c>
      <c r="Q118" s="4" t="str">
        <f t="shared" si="16"/>
        <v/>
      </c>
      <c r="R118" s="1">
        <v>6.1699999999999998E-2</v>
      </c>
      <c r="S118" s="4">
        <f t="shared" si="17"/>
        <v>1.3381476800866583</v>
      </c>
      <c r="U118" s="1" t="s">
        <v>37</v>
      </c>
      <c r="V118" s="1">
        <v>9.860928961748634</v>
      </c>
      <c r="W118" s="1">
        <v>0.11738122138312422</v>
      </c>
      <c r="X118" s="1">
        <v>0.13689609320585069</v>
      </c>
      <c r="Y118" s="1" t="s">
        <v>402</v>
      </c>
      <c r="Z118" s="1">
        <v>0.15043501420454544</v>
      </c>
      <c r="AA118" s="1">
        <v>13.094741796664872</v>
      </c>
      <c r="AB118" s="1">
        <v>0.99023982152816503</v>
      </c>
      <c r="AC118" s="1" t="s">
        <v>402</v>
      </c>
      <c r="AD118" s="1">
        <v>1.3381476800866583</v>
      </c>
    </row>
    <row r="119" spans="1:30">
      <c r="A119" s="1" t="s">
        <v>245</v>
      </c>
      <c r="B119" s="1">
        <v>5.9222999999999999</v>
      </c>
      <c r="C119" s="4">
        <f t="shared" si="9"/>
        <v>8.4203551912568297</v>
      </c>
      <c r="E119" s="4" t="str">
        <f t="shared" si="10"/>
        <v/>
      </c>
      <c r="F119" s="1">
        <v>4.6399999999999997E-2</v>
      </c>
      <c r="G119" s="4">
        <f t="shared" si="11"/>
        <v>0.12568859621351233</v>
      </c>
      <c r="I119" s="4" t="str">
        <f t="shared" si="12"/>
        <v/>
      </c>
      <c r="J119" s="1">
        <v>2.5899999999999999E-2</v>
      </c>
      <c r="K119" s="4">
        <f t="shared" si="13"/>
        <v>0.12890625</v>
      </c>
      <c r="L119" s="1">
        <v>1.1192</v>
      </c>
      <c r="M119" s="4">
        <f t="shared" si="14"/>
        <v>0.88158956428187185</v>
      </c>
      <c r="N119" s="1">
        <v>0.70820000000000005</v>
      </c>
      <c r="O119" s="4">
        <f t="shared" si="15"/>
        <v>1.1928332403792528</v>
      </c>
      <c r="Q119" s="4" t="str">
        <f t="shared" si="16"/>
        <v/>
      </c>
      <c r="S119" s="4" t="str">
        <f t="shared" si="17"/>
        <v/>
      </c>
      <c r="U119" s="1" t="s">
        <v>36</v>
      </c>
      <c r="V119" s="1">
        <v>8.4203551912568297</v>
      </c>
      <c r="W119" s="1" t="s">
        <v>402</v>
      </c>
      <c r="X119" s="1">
        <v>0.12568859621351233</v>
      </c>
      <c r="Y119" s="1" t="s">
        <v>402</v>
      </c>
      <c r="Z119" s="1">
        <v>0.12890625</v>
      </c>
      <c r="AA119" s="1">
        <v>0.88158956428187185</v>
      </c>
      <c r="AB119" s="1">
        <v>1.1928332403792528</v>
      </c>
      <c r="AC119" s="1" t="s">
        <v>402</v>
      </c>
      <c r="AD119" s="1" t="s">
        <v>402</v>
      </c>
    </row>
    <row r="120" spans="1:30">
      <c r="A120" s="1" t="s">
        <v>246</v>
      </c>
      <c r="B120" s="1">
        <v>2.7132000000000001</v>
      </c>
      <c r="C120" s="4">
        <f t="shared" si="9"/>
        <v>4.0363387978142082</v>
      </c>
      <c r="E120" s="4" t="str">
        <f t="shared" si="10"/>
        <v/>
      </c>
      <c r="G120" s="4" t="str">
        <f t="shared" si="11"/>
        <v/>
      </c>
      <c r="I120" s="4" t="str">
        <f t="shared" si="12"/>
        <v/>
      </c>
      <c r="K120" s="4" t="str">
        <f t="shared" si="13"/>
        <v/>
      </c>
      <c r="L120" s="1">
        <v>5.62E-2</v>
      </c>
      <c r="M120" s="4">
        <f t="shared" si="14"/>
        <v>0.16682356105433027</v>
      </c>
      <c r="N120" s="1">
        <v>0.15329999999999999</v>
      </c>
      <c r="O120" s="4">
        <f t="shared" si="15"/>
        <v>0.41912994980479645</v>
      </c>
      <c r="Q120" s="4" t="str">
        <f t="shared" si="16"/>
        <v/>
      </c>
      <c r="S120" s="4" t="str">
        <f t="shared" si="17"/>
        <v/>
      </c>
      <c r="U120" s="1" t="s">
        <v>38</v>
      </c>
      <c r="V120" s="1">
        <v>4.0363387978142082</v>
      </c>
      <c r="W120" s="1" t="s">
        <v>402</v>
      </c>
      <c r="X120" s="1" t="s">
        <v>402</v>
      </c>
      <c r="Y120" s="1" t="s">
        <v>402</v>
      </c>
      <c r="Z120" s="1" t="s">
        <v>402</v>
      </c>
      <c r="AA120" s="1">
        <v>0.16682356105433027</v>
      </c>
      <c r="AB120" s="1">
        <v>0.41912994980479645</v>
      </c>
      <c r="AC120" s="1" t="s">
        <v>402</v>
      </c>
      <c r="AD120" s="1" t="s">
        <v>402</v>
      </c>
    </row>
    <row r="121" spans="1:30">
      <c r="A121" s="1" t="s">
        <v>247</v>
      </c>
      <c r="B121" s="1">
        <v>4.9462999999999999</v>
      </c>
      <c r="C121" s="4">
        <f t="shared" si="9"/>
        <v>7.0870218579234967</v>
      </c>
      <c r="E121" s="4" t="str">
        <f t="shared" si="10"/>
        <v/>
      </c>
      <c r="G121" s="4" t="str">
        <f t="shared" si="11"/>
        <v/>
      </c>
      <c r="I121" s="4" t="str">
        <f t="shared" si="12"/>
        <v/>
      </c>
      <c r="K121" s="4" t="str">
        <f t="shared" si="13"/>
        <v/>
      </c>
      <c r="L121" s="1">
        <v>0.1487</v>
      </c>
      <c r="M121" s="4">
        <f t="shared" si="14"/>
        <v>0.22902097902097901</v>
      </c>
      <c r="N121" s="1">
        <v>0.50609999999999999</v>
      </c>
      <c r="O121" s="4">
        <f t="shared" si="15"/>
        <v>0.91104294478527614</v>
      </c>
      <c r="Q121" s="4" t="str">
        <f t="shared" si="16"/>
        <v/>
      </c>
      <c r="S121" s="4" t="str">
        <f t="shared" si="17"/>
        <v/>
      </c>
      <c r="U121" s="1" t="s">
        <v>2</v>
      </c>
      <c r="V121" s="1">
        <v>7.0870218579234967</v>
      </c>
      <c r="W121" s="1" t="s">
        <v>402</v>
      </c>
      <c r="X121" s="1" t="s">
        <v>402</v>
      </c>
      <c r="Y121" s="1" t="s">
        <v>402</v>
      </c>
      <c r="Z121" s="1" t="s">
        <v>402</v>
      </c>
      <c r="AA121" s="1">
        <v>0.22902097902097901</v>
      </c>
      <c r="AB121" s="1">
        <v>0.91104294478527614</v>
      </c>
      <c r="AC121" s="1" t="s">
        <v>402</v>
      </c>
      <c r="AD121" s="1" t="s">
        <v>402</v>
      </c>
    </row>
    <row r="122" spans="1:30">
      <c r="A122" s="1" t="s">
        <v>248</v>
      </c>
      <c r="B122" s="1">
        <v>5.2605000000000004</v>
      </c>
      <c r="C122" s="4">
        <f t="shared" si="9"/>
        <v>7.5162568306010931</v>
      </c>
      <c r="E122" s="4" t="str">
        <f t="shared" si="10"/>
        <v/>
      </c>
      <c r="G122" s="4" t="str">
        <f t="shared" si="11"/>
        <v/>
      </c>
      <c r="I122" s="4" t="str">
        <f t="shared" si="12"/>
        <v/>
      </c>
      <c r="K122" s="4" t="str">
        <f t="shared" si="13"/>
        <v/>
      </c>
      <c r="L122" s="1">
        <v>0.34960000000000002</v>
      </c>
      <c r="M122" s="4">
        <f t="shared" si="14"/>
        <v>0.36410704679935446</v>
      </c>
      <c r="N122" s="1">
        <v>0.53849999999999998</v>
      </c>
      <c r="O122" s="4">
        <f t="shared" si="15"/>
        <v>0.95621862799776913</v>
      </c>
      <c r="Q122" s="4" t="str">
        <f t="shared" si="16"/>
        <v/>
      </c>
      <c r="S122" s="4" t="str">
        <f t="shared" si="17"/>
        <v/>
      </c>
      <c r="U122" s="1" t="s">
        <v>39</v>
      </c>
      <c r="V122" s="1">
        <v>7.5162568306010931</v>
      </c>
      <c r="W122" s="1" t="s">
        <v>402</v>
      </c>
      <c r="X122" s="1" t="s">
        <v>402</v>
      </c>
      <c r="Y122" s="1" t="s">
        <v>402</v>
      </c>
      <c r="Z122" s="1" t="s">
        <v>402</v>
      </c>
      <c r="AA122" s="1">
        <v>0.36410704679935446</v>
      </c>
      <c r="AB122" s="1">
        <v>0.95621862799776913</v>
      </c>
      <c r="AC122" s="1" t="s">
        <v>402</v>
      </c>
      <c r="AD122" s="1" t="s">
        <v>402</v>
      </c>
    </row>
    <row r="123" spans="1:30">
      <c r="A123" s="1" t="s">
        <v>249</v>
      </c>
      <c r="B123" s="1">
        <v>7.2450000000000001</v>
      </c>
      <c r="C123" s="4">
        <f t="shared" si="9"/>
        <v>10.227322404371584</v>
      </c>
      <c r="E123" s="4" t="str">
        <f t="shared" si="10"/>
        <v/>
      </c>
      <c r="G123" s="4" t="str">
        <f t="shared" si="11"/>
        <v/>
      </c>
      <c r="I123" s="4" t="str">
        <f t="shared" si="12"/>
        <v/>
      </c>
      <c r="K123" s="4" t="str">
        <f t="shared" si="13"/>
        <v/>
      </c>
      <c r="L123" s="1">
        <v>0.43419999999999997</v>
      </c>
      <c r="M123" s="4">
        <f t="shared" si="14"/>
        <v>0.42099246906939214</v>
      </c>
      <c r="N123" s="1">
        <v>1.0607</v>
      </c>
      <c r="O123" s="4">
        <f t="shared" si="15"/>
        <v>1.6843279419966537</v>
      </c>
      <c r="Q123" s="4" t="str">
        <f t="shared" si="16"/>
        <v/>
      </c>
      <c r="S123" s="4" t="str">
        <f t="shared" si="17"/>
        <v/>
      </c>
      <c r="U123" s="1" t="s">
        <v>40</v>
      </c>
      <c r="V123" s="1">
        <v>10.227322404371584</v>
      </c>
      <c r="W123" s="1" t="s">
        <v>402</v>
      </c>
      <c r="X123" s="1" t="s">
        <v>402</v>
      </c>
      <c r="Y123" s="1" t="s">
        <v>402</v>
      </c>
      <c r="Z123" s="1" t="s">
        <v>402</v>
      </c>
      <c r="AA123" s="1">
        <v>0.42099246906939214</v>
      </c>
      <c r="AB123" s="1">
        <v>1.6843279419966537</v>
      </c>
      <c r="AC123" s="1" t="s">
        <v>402</v>
      </c>
      <c r="AD123" s="1" t="s">
        <v>402</v>
      </c>
    </row>
    <row r="124" spans="1:30">
      <c r="A124" s="1" t="s">
        <v>250</v>
      </c>
      <c r="B124" s="1">
        <v>9.8756000000000004</v>
      </c>
      <c r="C124" s="4">
        <f t="shared" si="9"/>
        <v>13.821038251366122</v>
      </c>
      <c r="E124" s="4" t="str">
        <f t="shared" si="10"/>
        <v/>
      </c>
      <c r="G124" s="4" t="str">
        <f t="shared" si="11"/>
        <v/>
      </c>
      <c r="H124" s="1">
        <v>9.4299999999999995E-2</v>
      </c>
      <c r="I124" s="4">
        <f t="shared" si="12"/>
        <v>0.19142073082663327</v>
      </c>
      <c r="J124" s="1">
        <v>2.64E-2</v>
      </c>
      <c r="K124" s="4">
        <f t="shared" si="13"/>
        <v>0.12912819602272727</v>
      </c>
      <c r="L124" s="1">
        <v>3.3948</v>
      </c>
      <c r="M124" s="4">
        <f t="shared" si="14"/>
        <v>2.4117132867132867</v>
      </c>
      <c r="N124" s="1">
        <f>1.3616*2</f>
        <v>2.7231999999999998</v>
      </c>
      <c r="O124" s="4">
        <f t="shared" si="15"/>
        <v>4.0023703290574453</v>
      </c>
      <c r="Q124" s="4" t="str">
        <f t="shared" si="16"/>
        <v/>
      </c>
      <c r="S124" s="4" t="str">
        <f t="shared" si="17"/>
        <v/>
      </c>
      <c r="U124" s="1" t="s">
        <v>41</v>
      </c>
      <c r="V124" s="1">
        <v>13.821038251366122</v>
      </c>
      <c r="W124" s="1" t="s">
        <v>402</v>
      </c>
      <c r="X124" s="1" t="s">
        <v>402</v>
      </c>
      <c r="Y124" s="1">
        <v>0.19142073082663327</v>
      </c>
      <c r="Z124" s="1">
        <v>0.12912819602272727</v>
      </c>
      <c r="AA124" s="1">
        <v>2.4117132867132867</v>
      </c>
      <c r="AB124" s="1">
        <v>4.0023703290574453</v>
      </c>
      <c r="AC124" s="1" t="s">
        <v>402</v>
      </c>
      <c r="AD124" s="1" t="s">
        <v>402</v>
      </c>
    </row>
    <row r="125" spans="1:30">
      <c r="A125" s="1" t="s">
        <v>3</v>
      </c>
      <c r="B125" s="1">
        <v>7.0974000000000004</v>
      </c>
      <c r="C125" s="4">
        <f t="shared" si="9"/>
        <v>10.025683060109289</v>
      </c>
      <c r="E125" s="4" t="str">
        <f t="shared" si="10"/>
        <v/>
      </c>
      <c r="G125" s="4" t="str">
        <f t="shared" si="11"/>
        <v/>
      </c>
      <c r="H125" s="1">
        <v>1.67E-2</v>
      </c>
      <c r="I125" s="4">
        <f t="shared" si="12"/>
        <v>0.15406095036348755</v>
      </c>
      <c r="K125" s="4" t="str">
        <f t="shared" si="13"/>
        <v/>
      </c>
      <c r="L125" s="1">
        <v>5.7426000000000004</v>
      </c>
      <c r="M125" s="4">
        <f t="shared" si="14"/>
        <v>3.9903846153846159</v>
      </c>
      <c r="N125" s="1">
        <v>3.1164999999999998</v>
      </c>
      <c r="O125" s="4">
        <f t="shared" si="15"/>
        <v>4.5507529280535417</v>
      </c>
      <c r="Q125" s="4" t="str">
        <f t="shared" si="16"/>
        <v/>
      </c>
      <c r="S125" s="4" t="str">
        <f t="shared" si="17"/>
        <v/>
      </c>
      <c r="U125" s="1" t="s">
        <v>3</v>
      </c>
      <c r="V125" s="1">
        <v>10.025683060109289</v>
      </c>
      <c r="W125" s="1" t="s">
        <v>402</v>
      </c>
      <c r="X125" s="1" t="s">
        <v>402</v>
      </c>
      <c r="Y125" s="1">
        <v>0.15406095036348755</v>
      </c>
      <c r="Z125" s="1" t="s">
        <v>402</v>
      </c>
      <c r="AA125" s="1">
        <v>3.9903846153846159</v>
      </c>
      <c r="AB125" s="1">
        <v>4.5507529280535417</v>
      </c>
      <c r="AC125" s="1" t="s">
        <v>402</v>
      </c>
      <c r="AD125" s="1" t="s">
        <v>402</v>
      </c>
    </row>
    <row r="126" spans="1:30">
      <c r="A126" s="1" t="s">
        <v>251</v>
      </c>
      <c r="B126" s="1">
        <f>0.1583*2</f>
        <v>0.31659999999999999</v>
      </c>
      <c r="C126" s="4">
        <f t="shared" si="9"/>
        <v>0.76229508196721318</v>
      </c>
      <c r="E126" s="4" t="str">
        <f t="shared" si="10"/>
        <v/>
      </c>
      <c r="G126" s="4" t="str">
        <f t="shared" si="11"/>
        <v/>
      </c>
      <c r="I126" s="4" t="str">
        <f t="shared" si="12"/>
        <v/>
      </c>
      <c r="K126" s="4" t="str">
        <f t="shared" si="13"/>
        <v/>
      </c>
      <c r="L126" s="1">
        <v>4.3799999999999999E-2</v>
      </c>
      <c r="M126" s="4">
        <f t="shared" si="14"/>
        <v>0.15848574502420654</v>
      </c>
      <c r="N126" s="1">
        <v>0.1744</v>
      </c>
      <c r="O126" s="4">
        <f t="shared" si="15"/>
        <v>0.4485499163413274</v>
      </c>
      <c r="Q126" s="4" t="str">
        <f t="shared" si="16"/>
        <v/>
      </c>
      <c r="S126" s="4" t="str">
        <f t="shared" si="17"/>
        <v/>
      </c>
      <c r="U126" s="1" t="s">
        <v>22</v>
      </c>
      <c r="V126" s="1">
        <v>0.76229508196721318</v>
      </c>
      <c r="W126" s="1" t="s">
        <v>402</v>
      </c>
      <c r="X126" s="1" t="s">
        <v>402</v>
      </c>
      <c r="Y126" s="1" t="s">
        <v>402</v>
      </c>
      <c r="Z126" s="1" t="s">
        <v>402</v>
      </c>
      <c r="AA126" s="1">
        <v>0.15848574502420654</v>
      </c>
      <c r="AB126" s="1">
        <v>0.4485499163413274</v>
      </c>
      <c r="AC126" s="1" t="s">
        <v>402</v>
      </c>
      <c r="AD126" s="1" t="s">
        <v>402</v>
      </c>
    </row>
    <row r="127" spans="1:30">
      <c r="A127" s="1" t="s">
        <v>23</v>
      </c>
      <c r="B127" s="1">
        <v>3.59</v>
      </c>
      <c r="C127" s="4">
        <f t="shared" si="9"/>
        <v>5.2341530054644805</v>
      </c>
      <c r="E127" s="4" t="str">
        <f t="shared" si="10"/>
        <v/>
      </c>
      <c r="G127" s="4" t="str">
        <f t="shared" si="11"/>
        <v/>
      </c>
      <c r="H127" s="1">
        <v>1.5299999999999999E-2</v>
      </c>
      <c r="I127" s="4">
        <f t="shared" si="12"/>
        <v>0.15338693370564729</v>
      </c>
      <c r="K127" s="4" t="str">
        <f t="shared" si="13"/>
        <v/>
      </c>
      <c r="L127" s="1">
        <v>1.0185</v>
      </c>
      <c r="M127" s="4">
        <f t="shared" si="14"/>
        <v>0.81387842926304454</v>
      </c>
      <c r="N127" s="1">
        <v>1.1735</v>
      </c>
      <c r="O127" s="4">
        <f t="shared" si="15"/>
        <v>1.841606246514222</v>
      </c>
      <c r="Q127" s="4" t="str">
        <f t="shared" si="16"/>
        <v/>
      </c>
      <c r="S127" s="4" t="str">
        <f t="shared" si="17"/>
        <v/>
      </c>
      <c r="U127" s="1" t="s">
        <v>23</v>
      </c>
      <c r="V127" s="1">
        <v>5.2341530054644805</v>
      </c>
      <c r="W127" s="1" t="s">
        <v>402</v>
      </c>
      <c r="X127" s="1" t="s">
        <v>402</v>
      </c>
      <c r="Y127" s="1">
        <v>0.15338693370564729</v>
      </c>
      <c r="Z127" s="1" t="s">
        <v>402</v>
      </c>
      <c r="AA127" s="1">
        <v>0.81387842926304454</v>
      </c>
      <c r="AB127" s="1">
        <v>1.841606246514222</v>
      </c>
      <c r="AC127" s="1" t="s">
        <v>402</v>
      </c>
      <c r="AD127" s="1" t="s">
        <v>402</v>
      </c>
    </row>
    <row r="128" spans="1:30">
      <c r="A128" s="1" t="s">
        <v>252</v>
      </c>
      <c r="B128" s="1">
        <v>2.7780999999999998</v>
      </c>
      <c r="C128" s="4">
        <f t="shared" si="9"/>
        <v>4.125</v>
      </c>
      <c r="E128" s="4" t="str">
        <f t="shared" si="10"/>
        <v/>
      </c>
      <c r="F128" s="1">
        <v>2.6599999999999999E-2</v>
      </c>
      <c r="G128" s="4">
        <f t="shared" si="11"/>
        <v>0.11315139618818466</v>
      </c>
      <c r="H128" s="1">
        <v>0.16500000000000001</v>
      </c>
      <c r="I128" s="4">
        <f t="shared" si="12"/>
        <v>0.22545857204756634</v>
      </c>
      <c r="J128" s="1">
        <v>0.1249</v>
      </c>
      <c r="K128" s="4">
        <f t="shared" si="13"/>
        <v>0.1728515625</v>
      </c>
      <c r="L128" s="1">
        <v>17.931799999999999</v>
      </c>
      <c r="M128" s="4">
        <f t="shared" si="14"/>
        <v>12.186457772996233</v>
      </c>
      <c r="N128" s="1">
        <v>5.3098999999999998</v>
      </c>
      <c r="O128" s="4">
        <f t="shared" si="15"/>
        <v>7.6090351366424995</v>
      </c>
      <c r="P128" s="1">
        <v>5.2270000000000003</v>
      </c>
      <c r="Q128" s="4">
        <f t="shared" si="16"/>
        <v>9.0090582539434649</v>
      </c>
      <c r="R128" s="1">
        <v>0.17680000000000001</v>
      </c>
      <c r="S128" s="4">
        <f t="shared" si="17"/>
        <v>1.5459469218270447</v>
      </c>
      <c r="U128" s="1" t="s">
        <v>18</v>
      </c>
      <c r="V128" s="1">
        <v>4.125</v>
      </c>
      <c r="W128" s="1" t="s">
        <v>402</v>
      </c>
      <c r="X128" s="1">
        <v>0.11315139618818466</v>
      </c>
      <c r="Y128" s="1">
        <v>0.22545857204756634</v>
      </c>
      <c r="Z128" s="1">
        <v>0.1728515625</v>
      </c>
      <c r="AA128" s="1">
        <v>12.186457772996233</v>
      </c>
      <c r="AB128" s="1">
        <v>7.6090351366424995</v>
      </c>
      <c r="AC128" s="1">
        <v>9.0090582539434649</v>
      </c>
      <c r="AD128" s="1">
        <v>1.5459469218270447</v>
      </c>
    </row>
    <row r="129" spans="1:30">
      <c r="A129" s="1" t="s">
        <v>253</v>
      </c>
      <c r="B129" s="1">
        <v>2.7382</v>
      </c>
      <c r="C129" s="4">
        <f t="shared" si="9"/>
        <v>4.0704918032786885</v>
      </c>
      <c r="E129" s="4" t="str">
        <f t="shared" si="10"/>
        <v/>
      </c>
      <c r="F129" s="1">
        <v>5.11E-2</v>
      </c>
      <c r="G129" s="4">
        <f t="shared" si="11"/>
        <v>0.12866459823972648</v>
      </c>
      <c r="H129" s="1">
        <v>1.15E-2</v>
      </c>
      <c r="I129" s="4">
        <f t="shared" si="12"/>
        <v>0.15155745992008088</v>
      </c>
      <c r="K129" s="4" t="str">
        <f t="shared" si="13"/>
        <v/>
      </c>
      <c r="L129" s="1">
        <v>0.16389999999999999</v>
      </c>
      <c r="M129" s="4">
        <f t="shared" si="14"/>
        <v>0.23924152770306614</v>
      </c>
      <c r="N129" s="1">
        <v>0.52659999999999996</v>
      </c>
      <c r="O129" s="4">
        <f t="shared" si="15"/>
        <v>0.93962632459564976</v>
      </c>
      <c r="P129" s="1">
        <v>0.54859999999999998</v>
      </c>
      <c r="Q129" s="4">
        <f t="shared" si="16"/>
        <v>1.7024832109948462</v>
      </c>
      <c r="R129" s="1">
        <v>0.13070000000000001</v>
      </c>
      <c r="S129" s="4">
        <f t="shared" si="17"/>
        <v>1.4627189023289404</v>
      </c>
      <c r="U129" s="1" t="s">
        <v>19</v>
      </c>
      <c r="V129" s="1">
        <v>4.0704918032786885</v>
      </c>
      <c r="W129" s="1" t="s">
        <v>402</v>
      </c>
      <c r="X129" s="1">
        <v>0.12866459823972648</v>
      </c>
      <c r="Y129" s="1">
        <v>0.15155745992008088</v>
      </c>
      <c r="Z129" s="1" t="s">
        <v>402</v>
      </c>
      <c r="AA129" s="1">
        <v>0.23924152770306614</v>
      </c>
      <c r="AB129" s="1">
        <v>0.93962632459564976</v>
      </c>
      <c r="AC129" s="1">
        <v>1.7024832109948462</v>
      </c>
      <c r="AD129" s="1">
        <v>1.4627189023289404</v>
      </c>
    </row>
    <row r="130" spans="1:30">
      <c r="A130" s="1" t="s">
        <v>20</v>
      </c>
      <c r="B130" s="1">
        <v>6.2266000000000004</v>
      </c>
      <c r="C130" s="4">
        <f t="shared" si="9"/>
        <v>8.8360655737704921</v>
      </c>
      <c r="D130" s="1">
        <v>2.75E-2</v>
      </c>
      <c r="E130" s="4">
        <f t="shared" si="10"/>
        <v>0.1082832847713623</v>
      </c>
      <c r="F130" s="1">
        <v>4.0800000000000003E-2</v>
      </c>
      <c r="G130" s="4">
        <f t="shared" si="11"/>
        <v>0.1221427214588742</v>
      </c>
      <c r="H130" s="1">
        <v>7.4999999999999997E-2</v>
      </c>
      <c r="I130" s="4">
        <f t="shared" si="12"/>
        <v>0.18212892975783543</v>
      </c>
      <c r="J130" s="1">
        <v>8.3400000000000002E-2</v>
      </c>
      <c r="K130" s="4">
        <f t="shared" si="13"/>
        <v>0.15443004261363635</v>
      </c>
      <c r="L130" s="1">
        <v>0.57999999999999996</v>
      </c>
      <c r="M130" s="4">
        <f t="shared" si="14"/>
        <v>0.51902904787520165</v>
      </c>
      <c r="N130" s="1">
        <v>1.1501999999999999</v>
      </c>
      <c r="O130" s="4">
        <f t="shared" si="15"/>
        <v>1.8091187953151142</v>
      </c>
      <c r="P130" s="1">
        <v>0.88390000000000002</v>
      </c>
      <c r="Q130" s="4">
        <f t="shared" si="16"/>
        <v>2.2261439950023427</v>
      </c>
      <c r="R130" s="1">
        <v>0.38869999999999999</v>
      </c>
      <c r="S130" s="4">
        <f t="shared" si="17"/>
        <v>1.9285069507131254</v>
      </c>
      <c r="U130" s="1" t="s">
        <v>20</v>
      </c>
      <c r="V130" s="1">
        <v>8.8360655737704921</v>
      </c>
      <c r="W130" s="1">
        <v>0.1082832847713623</v>
      </c>
      <c r="X130" s="1">
        <v>0.1221427214588742</v>
      </c>
      <c r="Y130" s="1">
        <v>0.18212892975783543</v>
      </c>
      <c r="Z130" s="1">
        <v>0.15443004261363635</v>
      </c>
      <c r="AA130" s="1">
        <v>0.51902904787520165</v>
      </c>
      <c r="AB130" s="1">
        <v>1.8091187953151142</v>
      </c>
      <c r="AC130" s="1">
        <v>2.2261439950023427</v>
      </c>
      <c r="AD130" s="1">
        <v>1.9285069507131254</v>
      </c>
    </row>
    <row r="131" spans="1:30">
      <c r="A131" s="1" t="s">
        <v>254</v>
      </c>
      <c r="C131" s="4" t="str">
        <f t="shared" si="9"/>
        <v/>
      </c>
      <c r="D131" s="1">
        <v>0.73250000000000004</v>
      </c>
      <c r="E131" s="4">
        <f t="shared" si="10"/>
        <v>0.52750193256823452</v>
      </c>
      <c r="F131" s="1">
        <v>5.88</v>
      </c>
      <c r="G131" s="4">
        <f t="shared" si="11"/>
        <v>3.8194769834736908</v>
      </c>
      <c r="H131" s="1">
        <v>0.81530000000000002</v>
      </c>
      <c r="I131" s="4">
        <f t="shared" si="12"/>
        <v>0.53853930961436614</v>
      </c>
      <c r="J131" s="1">
        <v>0.91559999999999997</v>
      </c>
      <c r="K131" s="4">
        <f t="shared" si="13"/>
        <v>0.52383700284090906</v>
      </c>
      <c r="L131" s="1">
        <v>213.16739999999999</v>
      </c>
      <c r="M131" s="4">
        <f t="shared" si="14"/>
        <v>143.46375739644969</v>
      </c>
      <c r="N131" s="1">
        <v>153.82409999999999</v>
      </c>
      <c r="O131" s="4">
        <f t="shared" si="15"/>
        <v>214.6840490797546</v>
      </c>
      <c r="P131" s="1">
        <v>16.0015</v>
      </c>
      <c r="Q131" s="4">
        <f t="shared" si="16"/>
        <v>25.836326721849133</v>
      </c>
      <c r="S131" s="4" t="str">
        <f t="shared" si="17"/>
        <v/>
      </c>
      <c r="U131" s="1" t="s">
        <v>56</v>
      </c>
      <c r="V131" s="1" t="s">
        <v>402</v>
      </c>
      <c r="W131" s="1">
        <v>0.52750193256823452</v>
      </c>
      <c r="X131" s="1">
        <v>3.8194769834736908</v>
      </c>
      <c r="Y131" s="1">
        <v>0.53853930961436614</v>
      </c>
      <c r="Z131" s="1">
        <v>0.52383700284090906</v>
      </c>
      <c r="AA131" s="1">
        <v>143.46375739644969</v>
      </c>
      <c r="AB131" s="1">
        <v>214.6840490797546</v>
      </c>
      <c r="AC131" s="1">
        <v>25.836326721849133</v>
      </c>
      <c r="AD131" s="1" t="s">
        <v>402</v>
      </c>
    </row>
    <row r="132" spans="1:30">
      <c r="A132" s="1" t="s">
        <v>255</v>
      </c>
      <c r="C132" s="4" t="str">
        <f t="shared" si="9"/>
        <v/>
      </c>
      <c r="D132" s="1">
        <v>0.45760000000000001</v>
      </c>
      <c r="E132" s="4">
        <f t="shared" si="10"/>
        <v>0.36403639174644703</v>
      </c>
      <c r="F132" s="1">
        <v>2.2734000000000001</v>
      </c>
      <c r="G132" s="4">
        <f t="shared" si="11"/>
        <v>1.5358070031026405</v>
      </c>
      <c r="H132" s="1">
        <v>0.18079999999999999</v>
      </c>
      <c r="I132" s="4">
        <f t="shared" si="12"/>
        <v>0.23306533147176348</v>
      </c>
      <c r="J132" s="1">
        <v>0.34370000000000001</v>
      </c>
      <c r="K132" s="4">
        <f t="shared" si="13"/>
        <v>0.26997514204545459</v>
      </c>
      <c r="L132" s="1">
        <v>40.392600000000002</v>
      </c>
      <c r="M132" s="4">
        <f t="shared" si="14"/>
        <v>27.289201183431949</v>
      </c>
      <c r="N132" s="1">
        <v>15.9457</v>
      </c>
      <c r="O132" s="4">
        <f t="shared" si="15"/>
        <v>22.438650306748468</v>
      </c>
      <c r="P132" s="1">
        <v>13.84</v>
      </c>
      <c r="Q132" s="4">
        <f t="shared" si="16"/>
        <v>22.460565359987505</v>
      </c>
      <c r="S132" s="4" t="str">
        <f t="shared" si="17"/>
        <v/>
      </c>
      <c r="U132" s="1" t="s">
        <v>55</v>
      </c>
      <c r="V132" s="1" t="s">
        <v>402</v>
      </c>
      <c r="W132" s="1">
        <v>0.36403639174644703</v>
      </c>
      <c r="X132" s="1">
        <v>1.5358070031026405</v>
      </c>
      <c r="Y132" s="1">
        <v>0.23306533147176348</v>
      </c>
      <c r="Z132" s="1">
        <v>0.26997514204545459</v>
      </c>
      <c r="AA132" s="1">
        <v>27.289201183431949</v>
      </c>
      <c r="AB132" s="1">
        <v>22.438650306748468</v>
      </c>
      <c r="AC132" s="1">
        <v>22.460565359987505</v>
      </c>
      <c r="AD132" s="1" t="s">
        <v>402</v>
      </c>
    </row>
    <row r="133" spans="1:30">
      <c r="A133" s="1" t="s">
        <v>256</v>
      </c>
      <c r="C133" s="4" t="str">
        <f t="shared" si="9"/>
        <v/>
      </c>
      <c r="D133" s="1">
        <v>0.50780000000000003</v>
      </c>
      <c r="E133" s="4">
        <f t="shared" si="10"/>
        <v>0.39388713801510378</v>
      </c>
      <c r="F133" s="1">
        <v>1.7302</v>
      </c>
      <c r="G133" s="4">
        <f t="shared" si="11"/>
        <v>1.1918571519027417</v>
      </c>
      <c r="H133" s="1">
        <v>1.3972</v>
      </c>
      <c r="I133" s="4">
        <f t="shared" si="12"/>
        <v>0.81868951904097043</v>
      </c>
      <c r="J133" s="1">
        <v>0.86970000000000003</v>
      </c>
      <c r="K133" s="4">
        <f t="shared" si="13"/>
        <v>0.50346235795454541</v>
      </c>
      <c r="L133" s="1">
        <v>205.83009999999999</v>
      </c>
      <c r="M133" s="4">
        <f t="shared" si="14"/>
        <v>138.5301237224314</v>
      </c>
      <c r="N133" s="1">
        <v>121.74679999999999</v>
      </c>
      <c r="O133" s="4">
        <f t="shared" si="15"/>
        <v>169.95831009481316</v>
      </c>
      <c r="P133" s="1">
        <v>21.687799999999999</v>
      </c>
      <c r="Q133" s="4">
        <f t="shared" si="16"/>
        <v>34.717007652662815</v>
      </c>
      <c r="S133" s="4" t="str">
        <f t="shared" si="17"/>
        <v/>
      </c>
      <c r="U133" s="1" t="s">
        <v>57</v>
      </c>
      <c r="V133" s="1" t="s">
        <v>402</v>
      </c>
      <c r="W133" s="1">
        <v>0.39388713801510378</v>
      </c>
      <c r="X133" s="1">
        <v>1.1918571519027417</v>
      </c>
      <c r="Y133" s="1">
        <v>0.81868951904097043</v>
      </c>
      <c r="Z133" s="1">
        <v>0.50346235795454541</v>
      </c>
      <c r="AA133" s="1">
        <v>138.5301237224314</v>
      </c>
      <c r="AB133" s="1">
        <v>169.95831009481316</v>
      </c>
      <c r="AC133" s="1">
        <v>34.717007652662815</v>
      </c>
      <c r="AD133" s="1" t="s">
        <v>402</v>
      </c>
    </row>
    <row r="134" spans="1:30">
      <c r="A134" s="1" t="s">
        <v>257</v>
      </c>
      <c r="C134" s="4" t="str">
        <f t="shared" si="9"/>
        <v/>
      </c>
      <c r="D134" s="1">
        <v>0.39090000000000003</v>
      </c>
      <c r="E134" s="4">
        <f t="shared" si="10"/>
        <v>0.32437414521020397</v>
      </c>
      <c r="F134" s="1">
        <v>0.36570000000000003</v>
      </c>
      <c r="G134" s="4">
        <f t="shared" si="11"/>
        <v>0.32786677641993295</v>
      </c>
      <c r="H134" s="1">
        <v>0.95489999999999997</v>
      </c>
      <c r="I134" s="4">
        <f t="shared" si="12"/>
        <v>0.60574839921043755</v>
      </c>
      <c r="J134" s="1">
        <v>1.2621</v>
      </c>
      <c r="K134" s="4">
        <f t="shared" si="13"/>
        <v>0.67764559659090906</v>
      </c>
      <c r="L134" s="1">
        <v>85.852599999999995</v>
      </c>
      <c r="M134" s="4">
        <f t="shared" si="14"/>
        <v>57.856710597095208</v>
      </c>
      <c r="N134" s="1">
        <v>37.182299999999998</v>
      </c>
      <c r="O134" s="4">
        <f t="shared" si="15"/>
        <v>52.04907975460123</v>
      </c>
      <c r="P134" s="1">
        <v>20.983799999999999</v>
      </c>
      <c r="Q134" s="4">
        <f t="shared" si="16"/>
        <v>33.61752303607684</v>
      </c>
      <c r="S134" s="4" t="str">
        <f t="shared" si="17"/>
        <v/>
      </c>
      <c r="U134" s="1" t="s">
        <v>59</v>
      </c>
      <c r="V134" s="1" t="s">
        <v>402</v>
      </c>
      <c r="W134" s="1">
        <v>0.32437414521020397</v>
      </c>
      <c r="X134" s="1">
        <v>0.32786677641993295</v>
      </c>
      <c r="Y134" s="1">
        <v>0.60574839921043755</v>
      </c>
      <c r="Z134" s="1">
        <v>0.67764559659090906</v>
      </c>
      <c r="AA134" s="1">
        <v>57.856710597095208</v>
      </c>
      <c r="AB134" s="1">
        <v>52.04907975460123</v>
      </c>
      <c r="AC134" s="1">
        <v>33.61752303607684</v>
      </c>
      <c r="AD134" s="1" t="s">
        <v>402</v>
      </c>
    </row>
    <row r="135" spans="1:30">
      <c r="A135" s="1" t="s">
        <v>258</v>
      </c>
      <c r="C135" s="4" t="str">
        <f t="shared" si="9"/>
        <v/>
      </c>
      <c r="D135" s="1">
        <v>0.48399999999999999</v>
      </c>
      <c r="E135" s="4">
        <f t="shared" si="10"/>
        <v>0.37973479217458522</v>
      </c>
      <c r="F135" s="1">
        <v>1.2591000000000001</v>
      </c>
      <c r="G135" s="4">
        <f t="shared" si="11"/>
        <v>0.89356043816880903</v>
      </c>
      <c r="H135" s="1">
        <v>1.4342999999999999</v>
      </c>
      <c r="I135" s="4">
        <f t="shared" si="12"/>
        <v>0.83655096047373734</v>
      </c>
      <c r="J135" s="1">
        <v>0.41920000000000002</v>
      </c>
      <c r="K135" s="4">
        <f t="shared" si="13"/>
        <v>0.30348899147727271</v>
      </c>
      <c r="L135" s="1">
        <v>148.81280000000001</v>
      </c>
      <c r="M135" s="4">
        <f t="shared" si="14"/>
        <v>100.19143356643357</v>
      </c>
      <c r="N135" s="1">
        <v>47.729700000000001</v>
      </c>
      <c r="O135" s="4">
        <f t="shared" si="15"/>
        <v>66.755437813720036</v>
      </c>
      <c r="P135" s="1">
        <v>17.896999999999998</v>
      </c>
      <c r="Q135" s="4">
        <f t="shared" si="16"/>
        <v>28.796657816648445</v>
      </c>
      <c r="R135" s="1">
        <v>1.6428</v>
      </c>
      <c r="S135" s="4">
        <f t="shared" si="17"/>
        <v>4.1926340494674141</v>
      </c>
      <c r="U135" s="1" t="s">
        <v>60</v>
      </c>
      <c r="V135" s="1" t="s">
        <v>402</v>
      </c>
      <c r="W135" s="1">
        <v>0.37973479217458522</v>
      </c>
      <c r="X135" s="1">
        <v>0.89356043816880903</v>
      </c>
      <c r="Y135" s="1">
        <v>0.83655096047373734</v>
      </c>
      <c r="Z135" s="1">
        <v>0.30348899147727271</v>
      </c>
      <c r="AA135" s="1">
        <v>100.19143356643357</v>
      </c>
      <c r="AB135" s="1">
        <v>66.755437813720036</v>
      </c>
      <c r="AC135" s="1">
        <v>28.796657816648445</v>
      </c>
      <c r="AD135" s="1">
        <v>4.1926340494674141</v>
      </c>
    </row>
    <row r="136" spans="1:30">
      <c r="A136" s="1" t="s">
        <v>58</v>
      </c>
      <c r="C136" s="4" t="str">
        <f t="shared" si="9"/>
        <v/>
      </c>
      <c r="D136" s="1">
        <v>0.4748</v>
      </c>
      <c r="E136" s="4">
        <f t="shared" si="10"/>
        <v>0.37426413747993098</v>
      </c>
      <c r="F136" s="1">
        <v>1.014</v>
      </c>
      <c r="G136" s="4">
        <f t="shared" si="11"/>
        <v>0.73836509846134379</v>
      </c>
      <c r="H136" s="1">
        <v>0.57310000000000005</v>
      </c>
      <c r="I136" s="4">
        <f t="shared" si="12"/>
        <v>0.42193442780800156</v>
      </c>
      <c r="J136" s="1">
        <v>0.31630000000000003</v>
      </c>
      <c r="K136" s="4">
        <f t="shared" si="13"/>
        <v>0.2578125</v>
      </c>
      <c r="L136" s="1">
        <v>201.56299999999999</v>
      </c>
      <c r="M136" s="4">
        <f t="shared" si="14"/>
        <v>135.66090640129102</v>
      </c>
      <c r="N136" s="1">
        <v>88.503200000000007</v>
      </c>
      <c r="O136" s="4">
        <f t="shared" si="15"/>
        <v>123.60638594534302</v>
      </c>
      <c r="P136" s="1">
        <v>14.632300000000001</v>
      </c>
      <c r="Q136" s="4">
        <f t="shared" si="16"/>
        <v>23.697954084023113</v>
      </c>
      <c r="R136" s="1">
        <v>1.8774999999999999</v>
      </c>
      <c r="S136" s="4">
        <f t="shared" si="17"/>
        <v>4.6163567430944221</v>
      </c>
      <c r="U136" s="1" t="s">
        <v>58</v>
      </c>
      <c r="V136" s="1" t="s">
        <v>402</v>
      </c>
      <c r="W136" s="1">
        <v>0.37426413747993098</v>
      </c>
      <c r="X136" s="1">
        <v>0.73836509846134379</v>
      </c>
      <c r="Y136" s="1">
        <v>0.42193442780800156</v>
      </c>
      <c r="Z136" s="1">
        <v>0.2578125</v>
      </c>
      <c r="AA136" s="1">
        <v>135.66090640129102</v>
      </c>
      <c r="AB136" s="1">
        <v>123.60638594534302</v>
      </c>
      <c r="AC136" s="1">
        <v>23.697954084023113</v>
      </c>
      <c r="AD136" s="1">
        <v>4.6163567430944221</v>
      </c>
    </row>
    <row r="137" spans="1:30">
      <c r="A137" s="1" t="s">
        <v>259</v>
      </c>
      <c r="B137" s="1">
        <v>3.0569999999999999</v>
      </c>
      <c r="C137" s="4">
        <f t="shared" si="9"/>
        <v>4.5060109289617492</v>
      </c>
      <c r="D137" s="1">
        <v>2.4438</v>
      </c>
      <c r="E137" s="4">
        <f t="shared" si="10"/>
        <v>1.5451031694119046</v>
      </c>
      <c r="F137" s="1">
        <v>4.5258000000000003</v>
      </c>
      <c r="G137" s="4">
        <f t="shared" si="11"/>
        <v>2.9620084847717347</v>
      </c>
      <c r="H137" s="1">
        <v>0.45900000000000002</v>
      </c>
      <c r="I137" s="4">
        <f t="shared" si="12"/>
        <v>0.36700207019402048</v>
      </c>
      <c r="J137" s="1">
        <v>0.28749999999999998</v>
      </c>
      <c r="K137" s="4">
        <f t="shared" si="13"/>
        <v>0.24502840909090909</v>
      </c>
      <c r="L137" s="1">
        <v>11.2729</v>
      </c>
      <c r="M137" s="4">
        <f t="shared" si="14"/>
        <v>7.7089833243679395</v>
      </c>
      <c r="N137" s="1">
        <v>4.9173999999999998</v>
      </c>
      <c r="O137" s="4">
        <f t="shared" si="15"/>
        <v>7.0617679866146128</v>
      </c>
      <c r="P137" s="1">
        <v>0.89829999999999999</v>
      </c>
      <c r="Q137" s="4">
        <f t="shared" si="16"/>
        <v>2.2486334530688739</v>
      </c>
      <c r="R137" s="1">
        <v>0.92669999999999997</v>
      </c>
      <c r="S137" s="4">
        <f t="shared" si="17"/>
        <v>2.8998014081964252</v>
      </c>
      <c r="U137" s="1" t="s">
        <v>76</v>
      </c>
      <c r="V137" s="1">
        <v>4.5060109289617492</v>
      </c>
      <c r="W137" s="1">
        <v>1.5451031694119046</v>
      </c>
      <c r="X137" s="1">
        <v>2.9620084847717347</v>
      </c>
      <c r="Y137" s="1">
        <v>0.36700207019402048</v>
      </c>
      <c r="Z137" s="1">
        <v>0.24502840909090909</v>
      </c>
      <c r="AA137" s="1">
        <v>7.7089833243679395</v>
      </c>
      <c r="AB137" s="1">
        <v>7.0617679866146128</v>
      </c>
      <c r="AC137" s="1">
        <v>2.2486334530688739</v>
      </c>
      <c r="AD137" s="1">
        <v>2.8998014081964252</v>
      </c>
    </row>
    <row r="138" spans="1:30">
      <c r="A138" s="1" t="s">
        <v>260</v>
      </c>
      <c r="B138" s="1">
        <v>2.4716</v>
      </c>
      <c r="C138" s="4">
        <f t="shared" si="9"/>
        <v>3.7062841530054649</v>
      </c>
      <c r="D138" s="1">
        <v>1.1633</v>
      </c>
      <c r="E138" s="4">
        <f t="shared" si="10"/>
        <v>0.7836712850092169</v>
      </c>
      <c r="F138" s="1">
        <v>0.1075</v>
      </c>
      <c r="G138" s="4">
        <f t="shared" si="11"/>
        <v>0.16437662255429622</v>
      </c>
      <c r="H138" s="1">
        <v>0.27760000000000001</v>
      </c>
      <c r="I138" s="4">
        <f t="shared" si="12"/>
        <v>0.27966876895671844</v>
      </c>
      <c r="J138" s="1">
        <v>0.13350000000000001</v>
      </c>
      <c r="K138" s="4">
        <f t="shared" si="13"/>
        <v>0.17666903409090909</v>
      </c>
      <c r="L138" s="1">
        <v>11.945499999999999</v>
      </c>
      <c r="M138" s="4">
        <f t="shared" si="14"/>
        <v>8.1612426035502956</v>
      </c>
      <c r="N138" s="1">
        <v>2.9217</v>
      </c>
      <c r="O138" s="4">
        <f t="shared" si="15"/>
        <v>4.2791411042944789</v>
      </c>
      <c r="P138" s="1">
        <v>1.0588</v>
      </c>
      <c r="Q138" s="4">
        <f t="shared" si="16"/>
        <v>2.4992972044354209</v>
      </c>
      <c r="R138" s="1">
        <v>1.4601</v>
      </c>
      <c r="S138" s="4">
        <f t="shared" si="17"/>
        <v>3.8627911175302398</v>
      </c>
      <c r="U138" s="1" t="s">
        <v>75</v>
      </c>
      <c r="V138" s="1">
        <v>3.7062841530054649</v>
      </c>
      <c r="W138" s="1">
        <v>0.7836712850092169</v>
      </c>
      <c r="X138" s="1">
        <v>0.16437662255429622</v>
      </c>
      <c r="Y138" s="1">
        <v>0.27966876895671844</v>
      </c>
      <c r="Z138" s="1">
        <v>0.17666903409090909</v>
      </c>
      <c r="AA138" s="1">
        <v>8.1612426035502956</v>
      </c>
      <c r="AB138" s="1">
        <v>4.2791411042944789</v>
      </c>
      <c r="AC138" s="1">
        <v>2.4992972044354209</v>
      </c>
      <c r="AD138" s="1">
        <v>3.8627911175302398</v>
      </c>
    </row>
    <row r="139" spans="1:30">
      <c r="A139" s="1" t="s">
        <v>261</v>
      </c>
      <c r="B139" s="1">
        <v>2.7023000000000001</v>
      </c>
      <c r="C139" s="4">
        <f t="shared" si="9"/>
        <v>4.0214480874316942</v>
      </c>
      <c r="E139" s="4" t="str">
        <f t="shared" si="10"/>
        <v/>
      </c>
      <c r="F139" s="1">
        <v>4.7699999999999999E-2</v>
      </c>
      <c r="G139" s="4">
        <f t="shared" si="11"/>
        <v>0.12651174571012475</v>
      </c>
      <c r="H139" s="1">
        <v>0.41060000000000002</v>
      </c>
      <c r="I139" s="4">
        <f t="shared" si="12"/>
        <v>0.34370035145154298</v>
      </c>
      <c r="J139" s="1">
        <v>0.16800000000000001</v>
      </c>
      <c r="K139" s="4">
        <f t="shared" si="13"/>
        <v>0.19198330965909088</v>
      </c>
      <c r="L139" s="1">
        <v>3.2166000000000001</v>
      </c>
      <c r="M139" s="4">
        <f t="shared" si="14"/>
        <v>2.2918908015061858</v>
      </c>
      <c r="N139" s="1">
        <v>1.7424999999999999</v>
      </c>
      <c r="O139" s="4">
        <f t="shared" si="15"/>
        <v>2.6349693251533743</v>
      </c>
      <c r="P139" s="1">
        <v>0.68230000000000002</v>
      </c>
      <c r="Q139" s="4">
        <f t="shared" si="16"/>
        <v>1.9112915820709042</v>
      </c>
      <c r="R139" s="1">
        <v>0.69330000000000003</v>
      </c>
      <c r="S139" s="4">
        <f t="shared" si="17"/>
        <v>2.4784257086116632</v>
      </c>
      <c r="U139" s="1" t="s">
        <v>77</v>
      </c>
      <c r="V139" s="1">
        <v>4.0214480874316942</v>
      </c>
      <c r="W139" s="1" t="s">
        <v>402</v>
      </c>
      <c r="X139" s="1">
        <v>0.12651174571012475</v>
      </c>
      <c r="Y139" s="1">
        <v>0.34370035145154298</v>
      </c>
      <c r="Z139" s="1">
        <v>0.19198330965909088</v>
      </c>
      <c r="AA139" s="1">
        <v>2.2918908015061858</v>
      </c>
      <c r="AB139" s="1">
        <v>2.6349693251533743</v>
      </c>
      <c r="AC139" s="1">
        <v>1.9112915820709042</v>
      </c>
      <c r="AD139" s="1">
        <v>2.4784257086116632</v>
      </c>
    </row>
    <row r="140" spans="1:30">
      <c r="A140" s="1" t="s">
        <v>262</v>
      </c>
      <c r="B140" s="1">
        <v>5.8906999999999998</v>
      </c>
      <c r="C140" s="4">
        <f t="shared" si="9"/>
        <v>8.3771857923497262</v>
      </c>
      <c r="E140" s="4" t="str">
        <f t="shared" si="10"/>
        <v/>
      </c>
      <c r="G140" s="4" t="str">
        <f t="shared" si="11"/>
        <v/>
      </c>
      <c r="H140" s="1">
        <v>3.15E-2</v>
      </c>
      <c r="I140" s="4">
        <f t="shared" si="12"/>
        <v>0.16118626931779884</v>
      </c>
      <c r="K140" s="4" t="str">
        <f t="shared" si="13"/>
        <v/>
      </c>
      <c r="L140" s="1">
        <v>20.971900000000002</v>
      </c>
      <c r="M140" s="4">
        <f t="shared" si="14"/>
        <v>14.230634749865519</v>
      </c>
      <c r="N140" s="1">
        <v>11.561299999999999</v>
      </c>
      <c r="O140" s="4">
        <f t="shared" si="15"/>
        <v>16.32543223647518</v>
      </c>
      <c r="P140" s="1">
        <v>1.7451000000000001</v>
      </c>
      <c r="Q140" s="4">
        <f t="shared" si="16"/>
        <v>3.5711385288146182</v>
      </c>
      <c r="R140" s="1">
        <v>0.19209999999999999</v>
      </c>
      <c r="S140" s="4">
        <f t="shared" si="17"/>
        <v>1.5735692363242462</v>
      </c>
      <c r="U140" s="1" t="s">
        <v>78</v>
      </c>
      <c r="V140" s="1">
        <v>8.3771857923497262</v>
      </c>
      <c r="W140" s="1" t="s">
        <v>402</v>
      </c>
      <c r="X140" s="1" t="s">
        <v>402</v>
      </c>
      <c r="Y140" s="1">
        <v>0.16118626931779884</v>
      </c>
      <c r="Z140" s="1" t="s">
        <v>402</v>
      </c>
      <c r="AA140" s="1">
        <v>14.230634749865519</v>
      </c>
      <c r="AB140" s="1">
        <v>16.32543223647518</v>
      </c>
      <c r="AC140" s="1">
        <v>3.5711385288146182</v>
      </c>
      <c r="AD140" s="1">
        <v>1.5735692363242462</v>
      </c>
    </row>
    <row r="141" spans="1:30">
      <c r="A141" s="1" t="s">
        <v>263</v>
      </c>
      <c r="B141" s="1">
        <v>8.2356999999999996</v>
      </c>
      <c r="C141" s="4">
        <f t="shared" si="9"/>
        <v>11.580737704918032</v>
      </c>
      <c r="E141" s="4" t="str">
        <f t="shared" si="10"/>
        <v/>
      </c>
      <c r="G141" s="4" t="str">
        <f t="shared" si="11"/>
        <v/>
      </c>
      <c r="H141" s="1">
        <v>0.36030000000000001</v>
      </c>
      <c r="I141" s="4">
        <f t="shared" si="12"/>
        <v>0.31948389581628228</v>
      </c>
      <c r="J141" s="1">
        <v>0.1832</v>
      </c>
      <c r="K141" s="4">
        <f t="shared" si="13"/>
        <v>0.19873046874999997</v>
      </c>
      <c r="L141" s="1">
        <v>28.2178</v>
      </c>
      <c r="M141" s="4">
        <f t="shared" si="14"/>
        <v>19.102810650887573</v>
      </c>
      <c r="N141" s="1">
        <v>18.682300000000001</v>
      </c>
      <c r="O141" s="4">
        <f t="shared" si="15"/>
        <v>26.254322364751818</v>
      </c>
      <c r="P141" s="1">
        <v>1.6111</v>
      </c>
      <c r="Q141" s="4">
        <f t="shared" si="16"/>
        <v>3.361861627362174</v>
      </c>
      <c r="R141" s="1">
        <v>0.67549999999999999</v>
      </c>
      <c r="S141" s="4">
        <f t="shared" si="17"/>
        <v>2.4462899440332193</v>
      </c>
      <c r="U141" s="1" t="s">
        <v>79</v>
      </c>
      <c r="V141" s="1">
        <v>11.580737704918032</v>
      </c>
      <c r="W141" s="1" t="s">
        <v>402</v>
      </c>
      <c r="X141" s="1" t="s">
        <v>402</v>
      </c>
      <c r="Y141" s="1">
        <v>0.31948389581628228</v>
      </c>
      <c r="Z141" s="1">
        <v>0.19873046874999997</v>
      </c>
      <c r="AA141" s="1">
        <v>19.102810650887573</v>
      </c>
      <c r="AB141" s="1">
        <v>26.254322364751818</v>
      </c>
      <c r="AC141" s="1">
        <v>3.361861627362174</v>
      </c>
      <c r="AD141" s="1">
        <v>2.4462899440332193</v>
      </c>
    </row>
    <row r="142" spans="1:30">
      <c r="A142" s="1" t="s">
        <v>4</v>
      </c>
      <c r="B142" s="1">
        <v>12.536099999999999</v>
      </c>
      <c r="C142" s="4">
        <f t="shared" si="9"/>
        <v>17.455601092896174</v>
      </c>
      <c r="E142" s="4" t="str">
        <f t="shared" si="10"/>
        <v/>
      </c>
      <c r="G142" s="4" t="str">
        <f t="shared" si="11"/>
        <v/>
      </c>
      <c r="H142" s="1">
        <v>3.8199999999999998E-2</v>
      </c>
      <c r="I142" s="4">
        <f t="shared" si="12"/>
        <v>0.16441192046603437</v>
      </c>
      <c r="K142" s="4" t="str">
        <f t="shared" si="13"/>
        <v/>
      </c>
      <c r="L142" s="1">
        <v>16.268000000000001</v>
      </c>
      <c r="M142" s="4">
        <f t="shared" si="14"/>
        <v>11.067711135018827</v>
      </c>
      <c r="N142" s="1">
        <v>6.3541999999999996</v>
      </c>
      <c r="O142" s="4">
        <f t="shared" si="15"/>
        <v>9.0651143335192419</v>
      </c>
      <c r="P142" s="1">
        <v>0.83850000000000002</v>
      </c>
      <c r="Q142" s="4">
        <f t="shared" si="16"/>
        <v>2.1552397313759175</v>
      </c>
      <c r="R142" s="1">
        <v>0.1208</v>
      </c>
      <c r="S142" s="4">
        <f t="shared" si="17"/>
        <v>1.4448456400072216</v>
      </c>
      <c r="U142" s="1" t="s">
        <v>4</v>
      </c>
      <c r="V142" s="1">
        <v>17.455601092896174</v>
      </c>
      <c r="W142" s="1" t="s">
        <v>402</v>
      </c>
      <c r="X142" s="1" t="s">
        <v>402</v>
      </c>
      <c r="Y142" s="1">
        <v>0.16441192046603437</v>
      </c>
      <c r="Z142" s="1" t="s">
        <v>402</v>
      </c>
      <c r="AA142" s="1">
        <v>11.067711135018827</v>
      </c>
      <c r="AB142" s="1">
        <v>9.0651143335192419</v>
      </c>
      <c r="AC142" s="1">
        <v>2.1552397313759175</v>
      </c>
      <c r="AD142" s="1">
        <v>1.4448456400072216</v>
      </c>
    </row>
    <row r="143" spans="1:30">
      <c r="A143" s="1" t="s">
        <v>158</v>
      </c>
      <c r="B143" s="1">
        <v>0.93640000000000001</v>
      </c>
      <c r="C143" s="4">
        <f t="shared" si="9"/>
        <v>1.6090163934426229</v>
      </c>
      <c r="E143" s="4" t="str">
        <f t="shared" si="10"/>
        <v/>
      </c>
      <c r="G143" s="4" t="str">
        <f t="shared" si="11"/>
        <v/>
      </c>
      <c r="I143" s="4" t="str">
        <f t="shared" si="12"/>
        <v/>
      </c>
      <c r="K143" s="4" t="str">
        <f t="shared" si="13"/>
        <v/>
      </c>
      <c r="L143" s="1">
        <v>14.582100000000001</v>
      </c>
      <c r="M143" s="4">
        <f t="shared" si="14"/>
        <v>9.9341043571812797</v>
      </c>
      <c r="N143" s="1">
        <v>5.9733000000000001</v>
      </c>
      <c r="O143" s="4">
        <f t="shared" si="15"/>
        <v>8.5340211935303962</v>
      </c>
      <c r="P143" s="1">
        <v>0.22509999999999999</v>
      </c>
      <c r="Q143" s="4">
        <f t="shared" si="16"/>
        <v>1.1972512884585351</v>
      </c>
      <c r="S143" s="4" t="str">
        <f t="shared" si="17"/>
        <v/>
      </c>
      <c r="U143" s="1" t="s">
        <v>8</v>
      </c>
      <c r="V143" s="1">
        <v>1.6090163934426229</v>
      </c>
      <c r="W143" s="1" t="s">
        <v>402</v>
      </c>
      <c r="X143" s="1" t="s">
        <v>402</v>
      </c>
      <c r="Y143" s="1" t="s">
        <v>402</v>
      </c>
      <c r="Z143" s="1" t="s">
        <v>402</v>
      </c>
      <c r="AA143" s="1">
        <v>9.9341043571812797</v>
      </c>
      <c r="AB143" s="1">
        <v>8.5340211935303962</v>
      </c>
      <c r="AC143" s="1">
        <v>1.1972512884585351</v>
      </c>
      <c r="AD143" s="1" t="s">
        <v>402</v>
      </c>
    </row>
    <row r="144" spans="1:30">
      <c r="A144" s="1" t="s">
        <v>264</v>
      </c>
      <c r="B144" s="1">
        <v>0.27410000000000001</v>
      </c>
      <c r="C144" s="4">
        <f t="shared" si="9"/>
        <v>0.70423497267759572</v>
      </c>
      <c r="E144" s="4" t="str">
        <f t="shared" si="10"/>
        <v/>
      </c>
      <c r="G144" s="4" t="str">
        <f t="shared" si="11"/>
        <v/>
      </c>
      <c r="H144" s="1">
        <v>2.1100000000000001E-2</v>
      </c>
      <c r="I144" s="4">
        <f t="shared" si="12"/>
        <v>0.1561792884309855</v>
      </c>
      <c r="J144" s="1">
        <v>3.6499999999999998E-2</v>
      </c>
      <c r="K144" s="4">
        <f t="shared" si="13"/>
        <v>0.13361150568181818</v>
      </c>
      <c r="L144" s="1">
        <v>21.19</v>
      </c>
      <c r="M144" s="4">
        <f t="shared" si="14"/>
        <v>14.377286175363098</v>
      </c>
      <c r="N144" s="1">
        <v>5.6474000000000002</v>
      </c>
      <c r="O144" s="4">
        <f t="shared" si="15"/>
        <v>8.0796151701059689</v>
      </c>
      <c r="P144" s="1">
        <v>0.2797</v>
      </c>
      <c r="Q144" s="4">
        <f t="shared" si="16"/>
        <v>1.2825238169607995</v>
      </c>
      <c r="S144" s="4" t="str">
        <f t="shared" si="17"/>
        <v/>
      </c>
      <c r="U144" s="1" t="s">
        <v>62</v>
      </c>
      <c r="V144" s="1">
        <v>0.70423497267759572</v>
      </c>
      <c r="W144" s="1" t="s">
        <v>402</v>
      </c>
      <c r="X144" s="1" t="s">
        <v>402</v>
      </c>
      <c r="Y144" s="1">
        <v>0.1561792884309855</v>
      </c>
      <c r="Z144" s="1">
        <v>0.13361150568181818</v>
      </c>
      <c r="AA144" s="1">
        <v>14.377286175363098</v>
      </c>
      <c r="AB144" s="1">
        <v>8.0796151701059689</v>
      </c>
      <c r="AC144" s="1">
        <v>1.2825238169607995</v>
      </c>
      <c r="AD144" s="1" t="s">
        <v>402</v>
      </c>
    </row>
    <row r="145" spans="1:30">
      <c r="A145" s="1" t="s">
        <v>265</v>
      </c>
      <c r="C145" s="4" t="str">
        <f t="shared" si="9"/>
        <v/>
      </c>
      <c r="E145" s="4" t="str">
        <f t="shared" si="10"/>
        <v/>
      </c>
      <c r="F145" s="1">
        <v>0.43059999999999998</v>
      </c>
      <c r="G145" s="4">
        <f t="shared" si="11"/>
        <v>0.36896093205850694</v>
      </c>
      <c r="H145" s="1">
        <v>1.8479000000000001</v>
      </c>
      <c r="I145" s="4">
        <f t="shared" si="12"/>
        <v>1.0356747388185452</v>
      </c>
      <c r="J145" s="1">
        <v>0.66979999999999995</v>
      </c>
      <c r="K145" s="4">
        <f t="shared" si="13"/>
        <v>0.41472833806818177</v>
      </c>
      <c r="L145" s="1">
        <v>62.446300000000001</v>
      </c>
      <c r="M145" s="4">
        <f t="shared" si="14"/>
        <v>42.118208714362559</v>
      </c>
      <c r="N145" s="1">
        <v>5.6163999999999996</v>
      </c>
      <c r="O145" s="4">
        <f t="shared" si="15"/>
        <v>8.0363915225878415</v>
      </c>
      <c r="P145" s="1">
        <v>7.3036000000000003</v>
      </c>
      <c r="Q145" s="4">
        <f t="shared" si="16"/>
        <v>12.252225519287835</v>
      </c>
      <c r="R145" s="1">
        <v>2.0325000000000002</v>
      </c>
      <c r="S145" s="4">
        <f t="shared" si="17"/>
        <v>4.8961906481314328</v>
      </c>
      <c r="U145" s="1" t="s">
        <v>63</v>
      </c>
      <c r="V145" s="1" t="s">
        <v>402</v>
      </c>
      <c r="W145" s="1" t="s">
        <v>402</v>
      </c>
      <c r="X145" s="1">
        <v>0.36896093205850694</v>
      </c>
      <c r="Y145" s="1">
        <v>1.0356747388185452</v>
      </c>
      <c r="Z145" s="1">
        <v>0.41472833806818177</v>
      </c>
      <c r="AA145" s="1">
        <v>42.118208714362559</v>
      </c>
      <c r="AB145" s="1">
        <v>8.0363915225878415</v>
      </c>
      <c r="AC145" s="1">
        <v>12.252225519287835</v>
      </c>
      <c r="AD145" s="1">
        <v>4.8961906481314328</v>
      </c>
    </row>
    <row r="146" spans="1:30">
      <c r="A146" s="1" t="s">
        <v>266</v>
      </c>
      <c r="B146" s="1">
        <v>0.19239999999999999</v>
      </c>
      <c r="C146" s="4">
        <f t="shared" si="9"/>
        <v>0.59262295081967209</v>
      </c>
      <c r="E146" s="4" t="str">
        <f t="shared" si="10"/>
        <v/>
      </c>
      <c r="F146" s="1">
        <v>0.2225</v>
      </c>
      <c r="G146" s="4">
        <f t="shared" si="11"/>
        <v>0.23719369340847216</v>
      </c>
      <c r="H146" s="1">
        <v>1.2897000000000001</v>
      </c>
      <c r="I146" s="4">
        <f t="shared" si="12"/>
        <v>0.76693466852823644</v>
      </c>
      <c r="J146" s="1">
        <v>0.37090000000000001</v>
      </c>
      <c r="K146" s="4">
        <f t="shared" si="13"/>
        <v>0.28204900568181818</v>
      </c>
      <c r="L146" s="1">
        <v>21.683399999999999</v>
      </c>
      <c r="M146" s="4">
        <f t="shared" si="14"/>
        <v>14.709050564819794</v>
      </c>
      <c r="N146" s="1">
        <v>0.47970000000000002</v>
      </c>
      <c r="O146" s="4">
        <f t="shared" si="15"/>
        <v>0.87423312883435589</v>
      </c>
      <c r="P146" s="1">
        <v>3.2736999999999998</v>
      </c>
      <c r="Q146" s="4">
        <f t="shared" si="16"/>
        <v>5.9584569732937682</v>
      </c>
      <c r="R146" s="1">
        <v>3.6522000000000001</v>
      </c>
      <c r="S146" s="4">
        <f t="shared" si="17"/>
        <v>7.8203646867665642</v>
      </c>
      <c r="U146" s="1" t="s">
        <v>64</v>
      </c>
      <c r="V146" s="1">
        <v>0.59262295081967209</v>
      </c>
      <c r="W146" s="1" t="s">
        <v>402</v>
      </c>
      <c r="X146" s="1">
        <v>0.23719369340847216</v>
      </c>
      <c r="Y146" s="1">
        <v>0.76693466852823644</v>
      </c>
      <c r="Z146" s="1">
        <v>0.28204900568181818</v>
      </c>
      <c r="AA146" s="1">
        <v>14.709050564819794</v>
      </c>
      <c r="AB146" s="1">
        <v>0.87423312883435589</v>
      </c>
      <c r="AC146" s="1">
        <v>5.9584569732937682</v>
      </c>
      <c r="AD146" s="1">
        <v>7.8203646867665642</v>
      </c>
    </row>
    <row r="147" spans="1:30">
      <c r="A147" s="1" t="s">
        <v>267</v>
      </c>
      <c r="C147" s="4" t="str">
        <f t="shared" si="9"/>
        <v/>
      </c>
      <c r="E147" s="4" t="str">
        <f t="shared" si="10"/>
        <v/>
      </c>
      <c r="F147" s="1">
        <v>4.2700000000000002E-2</v>
      </c>
      <c r="G147" s="4">
        <f t="shared" si="11"/>
        <v>0.12334578610776929</v>
      </c>
      <c r="H147" s="1">
        <v>0.2802</v>
      </c>
      <c r="I147" s="4">
        <f t="shared" si="12"/>
        <v>0.28092051417842184</v>
      </c>
      <c r="J147" s="1">
        <v>2.7199999999999998E-2</v>
      </c>
      <c r="K147" s="4">
        <f t="shared" si="13"/>
        <v>0.12948330965909091</v>
      </c>
      <c r="L147" s="1">
        <v>26.563199999999998</v>
      </c>
      <c r="M147" s="4">
        <f t="shared" si="14"/>
        <v>17.990250134480902</v>
      </c>
      <c r="N147" s="1">
        <v>1.0727</v>
      </c>
      <c r="O147" s="4">
        <f t="shared" si="15"/>
        <v>1.7010596765197994</v>
      </c>
      <c r="P147" s="1">
        <v>1.9254</v>
      </c>
      <c r="Q147" s="4">
        <f t="shared" si="16"/>
        <v>3.8527252850226454</v>
      </c>
      <c r="R147" s="1">
        <v>0.75370000000000004</v>
      </c>
      <c r="S147" s="4">
        <f t="shared" si="17"/>
        <v>2.5874706625744723</v>
      </c>
      <c r="U147" s="1" t="s">
        <v>65</v>
      </c>
      <c r="V147" s="1" t="s">
        <v>402</v>
      </c>
      <c r="W147" s="1" t="s">
        <v>402</v>
      </c>
      <c r="X147" s="1">
        <v>0.12334578610776929</v>
      </c>
      <c r="Y147" s="1">
        <v>0.28092051417842184</v>
      </c>
      <c r="Z147" s="1">
        <v>0.12948330965909091</v>
      </c>
      <c r="AA147" s="1">
        <v>17.990250134480902</v>
      </c>
      <c r="AB147" s="1">
        <v>1.7010596765197994</v>
      </c>
      <c r="AC147" s="1">
        <v>3.8527252850226454</v>
      </c>
      <c r="AD147" s="1">
        <v>2.5874706625744723</v>
      </c>
    </row>
    <row r="148" spans="1:30">
      <c r="A148" s="1" t="s">
        <v>120</v>
      </c>
      <c r="B148" s="1">
        <v>0.1056</v>
      </c>
      <c r="C148" s="4">
        <f t="shared" si="9"/>
        <v>0.47404371584699451</v>
      </c>
      <c r="D148" s="1">
        <v>0.34470000000000001</v>
      </c>
      <c r="E148" s="4">
        <f t="shared" si="10"/>
        <v>0.29690194446096213</v>
      </c>
      <c r="F148" s="1">
        <v>0.3054</v>
      </c>
      <c r="G148" s="4">
        <f t="shared" si="11"/>
        <v>0.28968530361552591</v>
      </c>
      <c r="H148" s="1">
        <v>0.82969999999999999</v>
      </c>
      <c r="I148" s="4">
        <f t="shared" si="12"/>
        <v>0.54547205238072305</v>
      </c>
      <c r="J148" s="1">
        <v>0.2354</v>
      </c>
      <c r="K148" s="4">
        <f t="shared" si="13"/>
        <v>0.22190163352272727</v>
      </c>
      <c r="L148" s="1">
        <v>94.2042</v>
      </c>
      <c r="M148" s="4">
        <f t="shared" si="14"/>
        <v>63.47236417428725</v>
      </c>
      <c r="N148" s="1">
        <v>31.781300000000002</v>
      </c>
      <c r="O148" s="4">
        <f t="shared" si="15"/>
        <v>44.518404907975466</v>
      </c>
      <c r="P148" s="1">
        <v>3.2688999999999999</v>
      </c>
      <c r="Q148" s="4">
        <f t="shared" si="16"/>
        <v>5.9509604872715913</v>
      </c>
      <c r="R148" s="1">
        <v>1.9471000000000001</v>
      </c>
      <c r="S148" s="4">
        <f t="shared" si="17"/>
        <v>4.7420111933562019</v>
      </c>
      <c r="U148" s="1" t="s">
        <v>0</v>
      </c>
      <c r="V148" s="1">
        <v>0.47404371584699451</v>
      </c>
      <c r="W148" s="1">
        <v>0.29690194446096213</v>
      </c>
      <c r="X148" s="1">
        <v>0.28968530361552591</v>
      </c>
      <c r="Y148" s="1">
        <v>0.54547205238072305</v>
      </c>
      <c r="Z148" s="1">
        <v>0.22190163352272727</v>
      </c>
      <c r="AA148" s="1">
        <v>63.47236417428725</v>
      </c>
      <c r="AB148" s="1">
        <v>44.518404907975466</v>
      </c>
      <c r="AC148" s="1">
        <v>5.9509604872715913</v>
      </c>
      <c r="AD148" s="1">
        <v>4.7420111933562019</v>
      </c>
    </row>
    <row r="149" spans="1:30">
      <c r="A149" s="1" t="s">
        <v>268</v>
      </c>
      <c r="B149" s="1">
        <v>0.36280000000000001</v>
      </c>
      <c r="C149" s="4">
        <f t="shared" si="9"/>
        <v>0.82540983606557383</v>
      </c>
      <c r="E149" s="4" t="str">
        <f t="shared" si="10"/>
        <v/>
      </c>
      <c r="F149" s="1">
        <v>5.5399999999999998E-2</v>
      </c>
      <c r="G149" s="4">
        <f t="shared" si="11"/>
        <v>0.13138732349775217</v>
      </c>
      <c r="H149" s="1">
        <v>0.4536</v>
      </c>
      <c r="I149" s="4">
        <f t="shared" si="12"/>
        <v>0.36440229165663662</v>
      </c>
      <c r="J149" s="1">
        <v>9.2899999999999996E-2</v>
      </c>
      <c r="K149" s="4">
        <f t="shared" si="13"/>
        <v>0.15864701704545453</v>
      </c>
      <c r="L149" s="1">
        <v>44.860599999999998</v>
      </c>
      <c r="M149" s="4">
        <f t="shared" si="14"/>
        <v>30.29350457235072</v>
      </c>
      <c r="N149" s="1">
        <v>4.6784999999999997</v>
      </c>
      <c r="O149" s="4">
        <f t="shared" si="15"/>
        <v>6.728667038482989</v>
      </c>
      <c r="P149" s="1">
        <v>4.0380000000000003</v>
      </c>
      <c r="Q149" s="4">
        <f t="shared" si="16"/>
        <v>7.1521161955333445</v>
      </c>
      <c r="R149" s="1">
        <v>0.96560000000000001</v>
      </c>
      <c r="S149" s="4">
        <f t="shared" si="17"/>
        <v>2.9700306914605528</v>
      </c>
      <c r="U149" s="1" t="s">
        <v>66</v>
      </c>
      <c r="V149" s="1">
        <v>0.82540983606557383</v>
      </c>
      <c r="W149" s="1" t="s">
        <v>402</v>
      </c>
      <c r="X149" s="1">
        <v>0.13138732349775217</v>
      </c>
      <c r="Y149" s="1">
        <v>0.36440229165663662</v>
      </c>
      <c r="Z149" s="1">
        <v>0.15864701704545453</v>
      </c>
      <c r="AA149" s="1">
        <v>30.29350457235072</v>
      </c>
      <c r="AB149" s="1">
        <v>6.728667038482989</v>
      </c>
      <c r="AC149" s="1">
        <v>7.1521161955333445</v>
      </c>
      <c r="AD149" s="1">
        <v>2.9700306914605528</v>
      </c>
    </row>
    <row r="150" spans="1:30">
      <c r="A150" s="1" t="s">
        <v>269</v>
      </c>
      <c r="B150" s="1">
        <v>7.0499999999999993E-2</v>
      </c>
      <c r="C150" s="4">
        <f t="shared" si="9"/>
        <v>0.4260928961748634</v>
      </c>
      <c r="E150" s="4" t="str">
        <f t="shared" si="10"/>
        <v/>
      </c>
      <c r="G150" s="4" t="str">
        <f t="shared" si="11"/>
        <v/>
      </c>
      <c r="H150" s="1">
        <v>2.0799999999999999E-2</v>
      </c>
      <c r="I150" s="4">
        <f t="shared" si="12"/>
        <v>0.15603485629001973</v>
      </c>
      <c r="J150" s="1">
        <v>4.6199999999999998E-2</v>
      </c>
      <c r="K150" s="4">
        <f t="shared" si="13"/>
        <v>0.13791725852272727</v>
      </c>
      <c r="L150" s="1">
        <v>102.7409</v>
      </c>
      <c r="M150" s="4">
        <f t="shared" si="14"/>
        <v>69.212479827864442</v>
      </c>
      <c r="N150" s="1">
        <v>42.755200000000002</v>
      </c>
      <c r="O150" s="4">
        <f t="shared" si="15"/>
        <v>59.819436698271062</v>
      </c>
      <c r="P150" s="1">
        <v>11.442600000000001</v>
      </c>
      <c r="Q150" s="4">
        <f t="shared" si="16"/>
        <v>18.716382945494299</v>
      </c>
      <c r="R150" s="1">
        <f>0.4145*2</f>
        <v>0.82899999999999996</v>
      </c>
      <c r="S150" s="4">
        <f t="shared" si="17"/>
        <v>2.7234157790214844</v>
      </c>
      <c r="U150" s="1" t="s">
        <v>338</v>
      </c>
      <c r="V150" s="1">
        <v>0.4260928961748634</v>
      </c>
      <c r="W150" s="1" t="s">
        <v>402</v>
      </c>
      <c r="X150" s="1" t="s">
        <v>402</v>
      </c>
      <c r="Y150" s="1">
        <v>0.15603485629001973</v>
      </c>
      <c r="Z150" s="1">
        <v>0.13791725852272727</v>
      </c>
      <c r="AA150" s="1">
        <v>69.212479827864442</v>
      </c>
      <c r="AB150" s="1">
        <v>59.819436698271062</v>
      </c>
      <c r="AC150" s="1">
        <v>18.716382945494299</v>
      </c>
      <c r="AD150" s="1">
        <v>2.7234157790214844</v>
      </c>
    </row>
    <row r="151" spans="1:30">
      <c r="A151" s="1" t="s">
        <v>270</v>
      </c>
      <c r="B151" s="1">
        <v>0.1168</v>
      </c>
      <c r="C151" s="4">
        <f t="shared" si="9"/>
        <v>0.48934426229508199</v>
      </c>
      <c r="E151" s="4" t="str">
        <f t="shared" si="10"/>
        <v/>
      </c>
      <c r="G151" s="4" t="str">
        <f t="shared" si="11"/>
        <v/>
      </c>
      <c r="H151" s="1">
        <v>0.18720000000000001</v>
      </c>
      <c r="I151" s="4">
        <f t="shared" si="12"/>
        <v>0.23614655047903327</v>
      </c>
      <c r="K151" s="4" t="str">
        <f t="shared" si="13"/>
        <v/>
      </c>
      <c r="L151" s="1">
        <v>201.6927</v>
      </c>
      <c r="M151" s="4">
        <f t="shared" si="14"/>
        <v>135.74811726734802</v>
      </c>
      <c r="N151" s="1">
        <v>78.420199999999994</v>
      </c>
      <c r="O151" s="4">
        <f t="shared" si="15"/>
        <v>109.54754601226993</v>
      </c>
      <c r="P151" s="1">
        <v>12.6121</v>
      </c>
      <c r="Q151" s="4">
        <f t="shared" si="16"/>
        <v>20.542870529439323</v>
      </c>
      <c r="R151" s="1">
        <f>0.5011*2</f>
        <v>1.0022</v>
      </c>
      <c r="S151" s="4">
        <f t="shared" si="17"/>
        <v>3.0361076006499372</v>
      </c>
      <c r="U151" s="1" t="s">
        <v>43</v>
      </c>
      <c r="V151" s="1">
        <v>0.48934426229508199</v>
      </c>
      <c r="W151" s="1" t="s">
        <v>402</v>
      </c>
      <c r="X151" s="1" t="s">
        <v>402</v>
      </c>
      <c r="Y151" s="1">
        <v>0.23614655047903327</v>
      </c>
      <c r="Z151" s="1" t="s">
        <v>402</v>
      </c>
      <c r="AA151" s="1">
        <v>135.74811726734802</v>
      </c>
      <c r="AB151" s="1">
        <v>109.54754601226993</v>
      </c>
      <c r="AC151" s="1">
        <v>20.542870529439323</v>
      </c>
      <c r="AD151" s="1">
        <v>3.0361076006499372</v>
      </c>
    </row>
    <row r="152" spans="1:30">
      <c r="A152" s="1" t="s">
        <v>271</v>
      </c>
      <c r="C152" s="4" t="str">
        <f t="shared" si="9"/>
        <v/>
      </c>
      <c r="D152" s="1">
        <v>0.40100000000000002</v>
      </c>
      <c r="E152" s="4">
        <f t="shared" si="10"/>
        <v>0.33037997264672653</v>
      </c>
      <c r="F152" s="1">
        <v>0.182</v>
      </c>
      <c r="G152" s="4">
        <f t="shared" si="11"/>
        <v>0.21154942062939278</v>
      </c>
      <c r="H152" s="1">
        <v>0.2631</v>
      </c>
      <c r="I152" s="4">
        <f t="shared" si="12"/>
        <v>0.27268788214337297</v>
      </c>
      <c r="J152" s="1">
        <v>0.97809999999999997</v>
      </c>
      <c r="K152" s="4">
        <f t="shared" si="13"/>
        <v>0.55158025568181812</v>
      </c>
      <c r="L152" s="1">
        <v>40.562800000000003</v>
      </c>
      <c r="M152" s="4">
        <f t="shared" si="14"/>
        <v>27.403644432490584</v>
      </c>
      <c r="N152" s="1">
        <v>3.8332000000000002</v>
      </c>
      <c r="O152" s="4">
        <f t="shared" si="15"/>
        <v>5.5500557724484114</v>
      </c>
      <c r="P152" s="1">
        <v>20.0381</v>
      </c>
      <c r="Q152" s="4">
        <f t="shared" si="16"/>
        <v>32.140559112915824</v>
      </c>
      <c r="R152" s="1">
        <v>9.1600000000000001E-2</v>
      </c>
      <c r="S152" s="4">
        <f t="shared" si="17"/>
        <v>1.3921285430583139</v>
      </c>
      <c r="U152" s="1" t="s">
        <v>44</v>
      </c>
      <c r="V152" s="1" t="s">
        <v>402</v>
      </c>
      <c r="W152" s="1">
        <v>0.33037997264672653</v>
      </c>
      <c r="X152" s="1">
        <v>0.21154942062939278</v>
      </c>
      <c r="Y152" s="1">
        <v>0.27268788214337297</v>
      </c>
      <c r="Z152" s="1">
        <v>0.55158025568181812</v>
      </c>
      <c r="AA152" s="1">
        <v>27.403644432490584</v>
      </c>
      <c r="AB152" s="1">
        <v>5.5500557724484114</v>
      </c>
      <c r="AC152" s="1">
        <v>32.140559112915824</v>
      </c>
      <c r="AD152" s="1">
        <v>1.3921285430583139</v>
      </c>
    </row>
    <row r="153" spans="1:30">
      <c r="A153" s="1" t="s">
        <v>272</v>
      </c>
      <c r="C153" s="4" t="str">
        <f t="shared" si="9"/>
        <v/>
      </c>
      <c r="D153" s="1">
        <v>0.45469999999999999</v>
      </c>
      <c r="E153" s="4">
        <f t="shared" si="10"/>
        <v>0.36231194624487123</v>
      </c>
      <c r="F153" s="1">
        <v>0.33889999999999998</v>
      </c>
      <c r="G153" s="4">
        <f t="shared" si="11"/>
        <v>0.31089723295130756</v>
      </c>
      <c r="H153" s="1">
        <v>0.81330000000000002</v>
      </c>
      <c r="I153" s="4">
        <f t="shared" si="12"/>
        <v>0.53757642867459432</v>
      </c>
      <c r="J153" s="1">
        <v>0.4894</v>
      </c>
      <c r="K153" s="4">
        <f t="shared" si="13"/>
        <v>0.33465021306818182</v>
      </c>
      <c r="L153" s="1">
        <v>211.3801</v>
      </c>
      <c r="M153" s="4">
        <f t="shared" si="14"/>
        <v>142.26196880043034</v>
      </c>
      <c r="N153" s="1">
        <v>100.68859999999999</v>
      </c>
      <c r="O153" s="4">
        <f t="shared" si="15"/>
        <v>140.59662576687117</v>
      </c>
      <c r="P153" s="1">
        <v>26.764600000000002</v>
      </c>
      <c r="Q153" s="4">
        <f t="shared" si="16"/>
        <v>42.645791035452135</v>
      </c>
      <c r="S153" s="4" t="str">
        <f t="shared" si="17"/>
        <v/>
      </c>
      <c r="U153" s="1" t="s">
        <v>45</v>
      </c>
      <c r="V153" s="1" t="s">
        <v>402</v>
      </c>
      <c r="W153" s="1">
        <v>0.36231194624487123</v>
      </c>
      <c r="X153" s="1">
        <v>0.31089723295130756</v>
      </c>
      <c r="Y153" s="1">
        <v>0.53757642867459432</v>
      </c>
      <c r="Z153" s="1">
        <v>0.33465021306818182</v>
      </c>
      <c r="AA153" s="1">
        <v>142.26196880043034</v>
      </c>
      <c r="AB153" s="1">
        <v>140.59662576687117</v>
      </c>
      <c r="AC153" s="1">
        <v>42.645791035452135</v>
      </c>
      <c r="AD153" s="1" t="s">
        <v>402</v>
      </c>
    </row>
    <row r="154" spans="1:30">
      <c r="A154" s="1" t="s">
        <v>273</v>
      </c>
      <c r="C154" s="4" t="str">
        <f t="shared" si="9"/>
        <v/>
      </c>
      <c r="D154" s="1">
        <v>8.4000000000000005E-2</v>
      </c>
      <c r="E154" s="4">
        <f t="shared" si="10"/>
        <v>0.14188024023309745</v>
      </c>
      <c r="F154" s="1">
        <v>0.113</v>
      </c>
      <c r="G154" s="4">
        <f t="shared" si="11"/>
        <v>0.16785917811688725</v>
      </c>
      <c r="H154" s="1">
        <v>0.1482</v>
      </c>
      <c r="I154" s="4">
        <f t="shared" si="12"/>
        <v>0.2173703721534832</v>
      </c>
      <c r="J154" s="1">
        <v>6.8599999999999994E-2</v>
      </c>
      <c r="K154" s="4">
        <f t="shared" si="13"/>
        <v>0.14786044034090909</v>
      </c>
      <c r="L154" s="1">
        <v>41.224600000000002</v>
      </c>
      <c r="M154" s="4">
        <f t="shared" si="14"/>
        <v>27.848641742872509</v>
      </c>
      <c r="N154" s="1">
        <v>16.779599999999999</v>
      </c>
      <c r="O154" s="4">
        <f t="shared" si="15"/>
        <v>23.601366424986058</v>
      </c>
      <c r="P154" s="1">
        <v>4.9836</v>
      </c>
      <c r="Q154" s="4">
        <f t="shared" si="16"/>
        <v>8.628923941902233</v>
      </c>
      <c r="S154" s="4" t="str">
        <f t="shared" si="17"/>
        <v/>
      </c>
      <c r="U154" s="1" t="s">
        <v>339</v>
      </c>
      <c r="V154" s="1" t="s">
        <v>402</v>
      </c>
      <c r="W154" s="1">
        <v>0.14188024023309745</v>
      </c>
      <c r="X154" s="1">
        <v>0.16785917811688725</v>
      </c>
      <c r="Y154" s="1">
        <v>0.2173703721534832</v>
      </c>
      <c r="Z154" s="1">
        <v>0.14786044034090909</v>
      </c>
      <c r="AA154" s="1">
        <v>27.848641742872509</v>
      </c>
      <c r="AB154" s="1">
        <v>23.601366424986058</v>
      </c>
      <c r="AC154" s="1">
        <v>8.628923941902233</v>
      </c>
      <c r="AD154" s="1" t="s">
        <v>402</v>
      </c>
    </row>
    <row r="155" spans="1:30">
      <c r="A155" s="1" t="s">
        <v>274</v>
      </c>
      <c r="C155" s="4" t="str">
        <f t="shared" si="9"/>
        <v/>
      </c>
      <c r="D155" s="1">
        <v>1.8700000000000001E-2</v>
      </c>
      <c r="E155" s="4">
        <f t="shared" si="10"/>
        <v>0.10305048462864957</v>
      </c>
      <c r="G155" s="4" t="str">
        <f t="shared" si="11"/>
        <v/>
      </c>
      <c r="I155" s="4" t="str">
        <f t="shared" si="12"/>
        <v/>
      </c>
      <c r="K155" s="4" t="str">
        <f t="shared" si="13"/>
        <v/>
      </c>
      <c r="L155" s="1">
        <v>33.293900000000001</v>
      </c>
      <c r="M155" s="4">
        <f t="shared" si="14"/>
        <v>22.516003227541685</v>
      </c>
      <c r="N155" s="1">
        <v>12.377800000000001</v>
      </c>
      <c r="O155" s="4">
        <f t="shared" si="15"/>
        <v>17.463887339654214</v>
      </c>
      <c r="P155" s="1">
        <v>2.4931999999999999</v>
      </c>
      <c r="Q155" s="4">
        <f t="shared" si="16"/>
        <v>4.7394971107293458</v>
      </c>
      <c r="R155" s="1">
        <f>0.0933*2</f>
        <v>0.18659999999999999</v>
      </c>
      <c r="S155" s="4">
        <f t="shared" si="17"/>
        <v>1.5636396461455138</v>
      </c>
      <c r="U155" s="1" t="s">
        <v>340</v>
      </c>
      <c r="V155" s="1" t="s">
        <v>402</v>
      </c>
      <c r="W155" s="1">
        <v>0.10305048462864957</v>
      </c>
      <c r="X155" s="1" t="s">
        <v>402</v>
      </c>
      <c r="Y155" s="1" t="s">
        <v>402</v>
      </c>
      <c r="Z155" s="1" t="s">
        <v>402</v>
      </c>
      <c r="AA155" s="1">
        <v>22.516003227541685</v>
      </c>
      <c r="AB155" s="1">
        <v>17.463887339654214</v>
      </c>
      <c r="AC155" s="1">
        <v>4.7394971107293458</v>
      </c>
      <c r="AD155" s="1">
        <v>1.5636396461455138</v>
      </c>
    </row>
    <row r="156" spans="1:30">
      <c r="A156" s="1" t="s">
        <v>275</v>
      </c>
      <c r="B156" s="1">
        <v>3.6600000000000001E-2</v>
      </c>
      <c r="C156" s="4">
        <f t="shared" si="9"/>
        <v>0.37978142076502736</v>
      </c>
      <c r="E156" s="4" t="str">
        <f t="shared" si="10"/>
        <v/>
      </c>
      <c r="F156" s="1">
        <v>9.74E-2</v>
      </c>
      <c r="G156" s="4">
        <f t="shared" si="11"/>
        <v>0.15798138415753815</v>
      </c>
      <c r="H156" s="1">
        <v>0.1158</v>
      </c>
      <c r="I156" s="4">
        <f t="shared" si="12"/>
        <v>0.20177170092918009</v>
      </c>
      <c r="K156" s="4" t="str">
        <f t="shared" si="13"/>
        <v/>
      </c>
      <c r="L156" s="1">
        <v>329.89870000000002</v>
      </c>
      <c r="M156" s="4">
        <f t="shared" si="14"/>
        <v>221.95441097364173</v>
      </c>
      <c r="N156" s="1">
        <v>233.1123</v>
      </c>
      <c r="O156" s="4">
        <f t="shared" si="15"/>
        <v>325.23647518126052</v>
      </c>
      <c r="P156" s="1">
        <v>6.8712999999999997</v>
      </c>
      <c r="Q156" s="4">
        <f t="shared" si="16"/>
        <v>11.577073246915509</v>
      </c>
      <c r="R156" s="1">
        <v>0.96450000000000002</v>
      </c>
      <c r="S156" s="4">
        <f t="shared" si="17"/>
        <v>2.9680447734248063</v>
      </c>
      <c r="U156" s="1" t="s">
        <v>341</v>
      </c>
      <c r="V156" s="1">
        <v>0.37978142076502736</v>
      </c>
      <c r="W156" s="1" t="s">
        <v>402</v>
      </c>
      <c r="X156" s="1">
        <v>0.15798138415753815</v>
      </c>
      <c r="Y156" s="1">
        <v>0.20177170092918009</v>
      </c>
      <c r="Z156" s="1" t="s">
        <v>402</v>
      </c>
      <c r="AA156" s="1">
        <v>221.95441097364173</v>
      </c>
      <c r="AB156" s="1">
        <v>325.23647518126052</v>
      </c>
      <c r="AC156" s="1">
        <v>11.577073246915509</v>
      </c>
      <c r="AD156" s="1">
        <v>2.9680447734248063</v>
      </c>
    </row>
    <row r="157" spans="1:30">
      <c r="A157" s="1" t="s">
        <v>276</v>
      </c>
      <c r="B157" s="1">
        <v>0.12239999999999999</v>
      </c>
      <c r="C157" s="4">
        <f t="shared" si="9"/>
        <v>0.4969945355191257</v>
      </c>
      <c r="D157" s="1">
        <v>0.23519999999999999</v>
      </c>
      <c r="E157" s="4">
        <f t="shared" si="10"/>
        <v>0.23178926086697985</v>
      </c>
      <c r="F157" s="1">
        <v>0.20730000000000001</v>
      </c>
      <c r="G157" s="4">
        <f t="shared" si="11"/>
        <v>0.22756917621731151</v>
      </c>
      <c r="H157" s="1">
        <v>0.26800000000000002</v>
      </c>
      <c r="I157" s="4">
        <f t="shared" si="12"/>
        <v>0.27504694044581385</v>
      </c>
      <c r="J157" s="1">
        <v>0.32750000000000001</v>
      </c>
      <c r="K157" s="4">
        <f t="shared" si="13"/>
        <v>0.26278409090909094</v>
      </c>
      <c r="L157" s="1">
        <v>39.155099999999997</v>
      </c>
      <c r="M157" s="4">
        <f t="shared" si="14"/>
        <v>26.457100591715971</v>
      </c>
      <c r="N157" s="1">
        <v>3.4131999999999998</v>
      </c>
      <c r="O157" s="4">
        <f t="shared" si="15"/>
        <v>4.9644450641383155</v>
      </c>
      <c r="P157" s="1">
        <v>4.6798000000000002</v>
      </c>
      <c r="Q157" s="4">
        <f t="shared" si="16"/>
        <v>8.1544588474152739</v>
      </c>
      <c r="S157" s="4" t="str">
        <f t="shared" si="17"/>
        <v/>
      </c>
      <c r="U157" s="1" t="s">
        <v>342</v>
      </c>
      <c r="V157" s="1">
        <v>0.4969945355191257</v>
      </c>
      <c r="W157" s="1">
        <v>0.23178926086697985</v>
      </c>
      <c r="X157" s="1">
        <v>0.22756917621731151</v>
      </c>
      <c r="Y157" s="1">
        <v>0.27504694044581385</v>
      </c>
      <c r="Z157" s="1">
        <v>0.26278409090909094</v>
      </c>
      <c r="AA157" s="1">
        <v>26.457100591715971</v>
      </c>
      <c r="AB157" s="1">
        <v>4.9644450641383155</v>
      </c>
      <c r="AC157" s="1">
        <v>8.1544588474152739</v>
      </c>
      <c r="AD157" s="1" t="s">
        <v>402</v>
      </c>
    </row>
    <row r="158" spans="1:30">
      <c r="A158" s="1" t="s">
        <v>277</v>
      </c>
      <c r="B158" s="1">
        <v>1.46E-2</v>
      </c>
      <c r="C158" s="4">
        <f t="shared" si="9"/>
        <v>0.34972677595628415</v>
      </c>
      <c r="D158" s="1">
        <v>0.1318</v>
      </c>
      <c r="E158" s="4">
        <f t="shared" si="10"/>
        <v>0.17030385919010524</v>
      </c>
      <c r="F158" s="1">
        <v>1.49E-2</v>
      </c>
      <c r="G158" s="4">
        <f t="shared" si="11"/>
        <v>0.10574305071867283</v>
      </c>
      <c r="H158" s="1">
        <v>5.5E-2</v>
      </c>
      <c r="I158" s="4">
        <f t="shared" si="12"/>
        <v>0.17250012036011747</v>
      </c>
      <c r="J158" s="1">
        <v>0.17069999999999999</v>
      </c>
      <c r="K158" s="4">
        <f t="shared" si="13"/>
        <v>0.19318181818181818</v>
      </c>
      <c r="L158" s="1">
        <v>21.433900000000001</v>
      </c>
      <c r="M158" s="4">
        <f t="shared" si="14"/>
        <v>14.541285637439485</v>
      </c>
      <c r="N158" s="1">
        <v>2.0198</v>
      </c>
      <c r="O158" s="4">
        <f t="shared" si="15"/>
        <v>3.0216118237590632</v>
      </c>
      <c r="P158" s="1">
        <v>3.9451000000000001</v>
      </c>
      <c r="Q158" s="4">
        <f t="shared" si="16"/>
        <v>7.0070279556457917</v>
      </c>
      <c r="S158" s="4" t="str">
        <f t="shared" si="17"/>
        <v/>
      </c>
      <c r="U158" s="1" t="s">
        <v>343</v>
      </c>
      <c r="V158" s="1">
        <v>0.34972677595628415</v>
      </c>
      <c r="W158" s="1">
        <v>0.17030385919010524</v>
      </c>
      <c r="X158" s="1">
        <v>0.10574305071867283</v>
      </c>
      <c r="Y158" s="1">
        <v>0.17250012036011747</v>
      </c>
      <c r="Z158" s="1">
        <v>0.19318181818181818</v>
      </c>
      <c r="AA158" s="1">
        <v>14.541285637439485</v>
      </c>
      <c r="AB158" s="1">
        <v>3.0216118237590632</v>
      </c>
      <c r="AC158" s="1">
        <v>7.0070279556457917</v>
      </c>
      <c r="AD158" s="1" t="s">
        <v>402</v>
      </c>
    </row>
    <row r="159" spans="1:30">
      <c r="A159" s="1" t="s">
        <v>164</v>
      </c>
      <c r="B159" s="1">
        <v>3.4792000000000001</v>
      </c>
      <c r="C159" s="4">
        <f t="shared" si="9"/>
        <v>5.0827868852459019</v>
      </c>
      <c r="E159" s="4" t="str">
        <f t="shared" si="10"/>
        <v/>
      </c>
      <c r="G159" s="4" t="str">
        <f t="shared" si="11"/>
        <v/>
      </c>
      <c r="H159" s="1">
        <v>1.0699999999999999E-2</v>
      </c>
      <c r="I159" s="4">
        <f t="shared" si="12"/>
        <v>0.15117230754417216</v>
      </c>
      <c r="K159" s="4" t="str">
        <f t="shared" si="13"/>
        <v/>
      </c>
      <c r="L159" s="1">
        <v>2.4298999999999999</v>
      </c>
      <c r="M159" s="4">
        <f t="shared" si="14"/>
        <v>1.7629101667563205</v>
      </c>
      <c r="N159" s="1">
        <v>0.34279999999999999</v>
      </c>
      <c r="O159" s="4">
        <f t="shared" si="15"/>
        <v>0.68335192414947021</v>
      </c>
      <c r="P159" s="1">
        <v>0.14249999999999999</v>
      </c>
      <c r="Q159" s="4">
        <f t="shared" si="16"/>
        <v>1.0682492581602374</v>
      </c>
      <c r="S159" s="4" t="str">
        <f t="shared" si="17"/>
        <v/>
      </c>
      <c r="U159" s="1" t="s">
        <v>403</v>
      </c>
      <c r="V159" s="1">
        <v>5.0827868852459019</v>
      </c>
      <c r="W159" s="1" t="s">
        <v>402</v>
      </c>
      <c r="X159" s="1" t="s">
        <v>402</v>
      </c>
      <c r="Y159" s="1">
        <v>0.15117230754417216</v>
      </c>
      <c r="Z159" s="1" t="s">
        <v>402</v>
      </c>
      <c r="AA159" s="1">
        <v>1.7629101667563205</v>
      </c>
      <c r="AB159" s="1">
        <v>0.68335192414947021</v>
      </c>
      <c r="AC159" s="1">
        <v>1.0682492581602374</v>
      </c>
      <c r="AD159" s="1" t="s">
        <v>402</v>
      </c>
    </row>
    <row r="160" spans="1:30">
      <c r="A160" s="1" t="s">
        <v>278</v>
      </c>
      <c r="B160" s="1">
        <v>2.8418000000000001</v>
      </c>
      <c r="C160" s="4">
        <f t="shared" ref="C160:C191" si="18">IF(B160,(B160+0.2414)/0.732,"")</f>
        <v>4.2120218579234976</v>
      </c>
      <c r="E160" s="4" t="str">
        <f t="shared" ref="E160:E191" si="19">IF(D160,(D160+0.1546)/1.6817,"")</f>
        <v/>
      </c>
      <c r="G160" s="4" t="str">
        <f t="shared" ref="G160:G191" si="20">IF(F160,(F160+0.1521)/1.5793,"")</f>
        <v/>
      </c>
      <c r="H160" s="1">
        <v>1.9300000000000001E-2</v>
      </c>
      <c r="I160" s="4">
        <f t="shared" ref="I160:I191" si="21">IF(H160,(H160+0.3033)/2.0771,"")</f>
        <v>0.15531269558519087</v>
      </c>
      <c r="K160" s="4" t="str">
        <f t="shared" ref="K160:K191" si="22">IF(J160,(J160+0.2645)/2.2528,"")</f>
        <v/>
      </c>
      <c r="L160" s="1">
        <v>7.04</v>
      </c>
      <c r="M160" s="4">
        <f t="shared" ref="M160:M191" si="23">IF(L160,(L160+0.1919)/1.4872,"")</f>
        <v>4.8627622377622375</v>
      </c>
      <c r="N160" s="1">
        <v>5.0118999999999998</v>
      </c>
      <c r="O160" s="4">
        <f t="shared" ref="O160:O191" si="24">IF(N160,(N160+0.1473)/0.7172,"")</f>
        <v>7.1935303959843848</v>
      </c>
      <c r="P160" s="1">
        <v>0.93110000000000004</v>
      </c>
      <c r="Q160" s="4">
        <f t="shared" ref="Q160:Q191" si="25">IF(P160,(P160+0.5415)/0.6403,"")</f>
        <v>2.2998594408870843</v>
      </c>
      <c r="R160" s="1">
        <v>3.2300000000000002E-2</v>
      </c>
      <c r="S160" s="4">
        <f t="shared" ref="S160:S191" si="26">IF(R160,(R160+0.6795)/0.5539,"")</f>
        <v>1.2850695071312512</v>
      </c>
      <c r="U160" s="1" t="s">
        <v>28</v>
      </c>
      <c r="V160" s="1">
        <v>4.2120218579234976</v>
      </c>
      <c r="W160" s="1" t="s">
        <v>402</v>
      </c>
      <c r="X160" s="1" t="s">
        <v>402</v>
      </c>
      <c r="Y160" s="1">
        <v>0.15531269558519087</v>
      </c>
      <c r="Z160" s="1" t="s">
        <v>402</v>
      </c>
      <c r="AA160" s="1">
        <v>4.8627622377622375</v>
      </c>
      <c r="AB160" s="1">
        <v>7.1935303959843848</v>
      </c>
      <c r="AC160" s="1">
        <v>2.2998594408870843</v>
      </c>
      <c r="AD160" s="1">
        <v>1.2850695071312512</v>
      </c>
    </row>
    <row r="161" spans="1:30">
      <c r="A161" s="1" t="s">
        <v>279</v>
      </c>
      <c r="B161" s="1">
        <v>29.385000000000002</v>
      </c>
      <c r="C161" s="4">
        <f t="shared" si="18"/>
        <v>40.473224043715845</v>
      </c>
      <c r="D161" s="1">
        <v>2.3699999999999999E-2</v>
      </c>
      <c r="E161" s="4">
        <f t="shared" si="19"/>
        <v>0.10602366652791817</v>
      </c>
      <c r="F161" s="1">
        <v>2.9000000000000001E-2</v>
      </c>
      <c r="G161" s="4">
        <f t="shared" si="20"/>
        <v>0.11467105679731528</v>
      </c>
      <c r="H161" s="1">
        <v>4.7800000000000002E-2</v>
      </c>
      <c r="I161" s="4">
        <f t="shared" si="21"/>
        <v>0.16903374897693899</v>
      </c>
      <c r="J161" s="1">
        <v>6.1699999999999998E-2</v>
      </c>
      <c r="K161" s="4">
        <f t="shared" si="22"/>
        <v>0.14479758522727271</v>
      </c>
      <c r="L161" s="1">
        <v>81.546000000000006</v>
      </c>
      <c r="M161" s="4">
        <f t="shared" si="23"/>
        <v>54.960933297471762</v>
      </c>
      <c r="N161" s="1">
        <v>3.5724</v>
      </c>
      <c r="O161" s="4">
        <f t="shared" si="24"/>
        <v>5.1864194088120472</v>
      </c>
      <c r="P161" s="1">
        <v>6.7478999999999996</v>
      </c>
      <c r="Q161" s="4">
        <f t="shared" si="25"/>
        <v>11.384351085428705</v>
      </c>
      <c r="S161" s="4" t="str">
        <f t="shared" si="26"/>
        <v/>
      </c>
      <c r="U161" s="1" t="s">
        <v>29</v>
      </c>
      <c r="V161" s="1">
        <v>40.473224043715845</v>
      </c>
      <c r="W161" s="1">
        <v>0.10602366652791817</v>
      </c>
      <c r="X161" s="1">
        <v>0.11467105679731528</v>
      </c>
      <c r="Y161" s="1">
        <v>0.16903374897693899</v>
      </c>
      <c r="Z161" s="1">
        <v>0.14479758522727271</v>
      </c>
      <c r="AA161" s="1">
        <v>54.960933297471762</v>
      </c>
      <c r="AB161" s="1">
        <v>5.1864194088120472</v>
      </c>
      <c r="AC161" s="1">
        <v>11.384351085428705</v>
      </c>
      <c r="AD161" s="1" t="s">
        <v>402</v>
      </c>
    </row>
    <row r="162" spans="1:30">
      <c r="A162" s="1" t="s">
        <v>280</v>
      </c>
      <c r="B162" s="1">
        <v>12.757999999999999</v>
      </c>
      <c r="C162" s="4">
        <f t="shared" si="18"/>
        <v>17.758743169398908</v>
      </c>
      <c r="E162" s="4" t="str">
        <f t="shared" si="19"/>
        <v/>
      </c>
      <c r="F162" s="1">
        <v>3.7400000000000003E-2</v>
      </c>
      <c r="G162" s="4">
        <f t="shared" si="20"/>
        <v>0.11998986892927246</v>
      </c>
      <c r="H162" s="1">
        <v>1.06E-2</v>
      </c>
      <c r="I162" s="4">
        <f t="shared" si="21"/>
        <v>0.15112416349718358</v>
      </c>
      <c r="J162" s="1">
        <v>0.3266</v>
      </c>
      <c r="K162" s="4">
        <f t="shared" si="22"/>
        <v>0.26238458806818177</v>
      </c>
      <c r="L162" s="1">
        <v>1.6365000000000001</v>
      </c>
      <c r="M162" s="4">
        <f t="shared" si="23"/>
        <v>1.229424421732114</v>
      </c>
      <c r="N162" s="1">
        <v>1.1922999999999999</v>
      </c>
      <c r="O162" s="4">
        <f t="shared" si="24"/>
        <v>1.8678192972671501</v>
      </c>
      <c r="P162" s="1">
        <v>0.92230000000000001</v>
      </c>
      <c r="Q162" s="4">
        <f t="shared" si="25"/>
        <v>2.2861158831797597</v>
      </c>
      <c r="R162" s="1">
        <v>0.15110000000000001</v>
      </c>
      <c r="S162" s="4">
        <f t="shared" si="26"/>
        <v>1.499548654991876</v>
      </c>
      <c r="U162" s="1" t="s">
        <v>30</v>
      </c>
      <c r="V162" s="1">
        <v>17.758743169398908</v>
      </c>
      <c r="W162" s="1" t="s">
        <v>402</v>
      </c>
      <c r="X162" s="1">
        <v>0.11998986892927246</v>
      </c>
      <c r="Y162" s="1">
        <v>0.15112416349718358</v>
      </c>
      <c r="Z162" s="1">
        <v>0.26238458806818177</v>
      </c>
      <c r="AA162" s="1">
        <v>1.229424421732114</v>
      </c>
      <c r="AB162" s="1">
        <v>1.8678192972671501</v>
      </c>
      <c r="AC162" s="1">
        <v>2.2861158831797597</v>
      </c>
      <c r="AD162" s="1">
        <v>1.499548654991876</v>
      </c>
    </row>
    <row r="163" spans="1:30">
      <c r="A163" s="1" t="s">
        <v>281</v>
      </c>
      <c r="B163" s="1">
        <v>29.198</v>
      </c>
      <c r="C163" s="4">
        <f t="shared" si="18"/>
        <v>40.217759562841529</v>
      </c>
      <c r="D163" s="1">
        <v>2.6700000000000002E-2</v>
      </c>
      <c r="E163" s="4">
        <f t="shared" si="19"/>
        <v>0.10780757566747934</v>
      </c>
      <c r="F163" s="1">
        <v>8.8599999999999998E-2</v>
      </c>
      <c r="G163" s="4">
        <f t="shared" si="20"/>
        <v>0.15240929525739255</v>
      </c>
      <c r="H163" s="1">
        <v>0.24579999999999999</v>
      </c>
      <c r="I163" s="4">
        <f t="shared" si="21"/>
        <v>0.26435896201434694</v>
      </c>
      <c r="J163" s="1">
        <v>0.45169999999999999</v>
      </c>
      <c r="K163" s="4">
        <f t="shared" si="22"/>
        <v>0.31791548295454541</v>
      </c>
      <c r="L163" s="1">
        <v>13.054</v>
      </c>
      <c r="M163" s="4">
        <f t="shared" si="23"/>
        <v>8.9066030123722424</v>
      </c>
      <c r="N163" s="1">
        <v>5.6988000000000003</v>
      </c>
      <c r="O163" s="4">
        <f t="shared" si="24"/>
        <v>8.1512827663134413</v>
      </c>
      <c r="P163" s="1">
        <v>4.0419</v>
      </c>
      <c r="Q163" s="4">
        <f t="shared" si="25"/>
        <v>7.1582070904263633</v>
      </c>
      <c r="R163" s="1">
        <v>0.33660000000000001</v>
      </c>
      <c r="S163" s="4">
        <f t="shared" si="26"/>
        <v>1.8344466510200399</v>
      </c>
      <c r="U163" s="1" t="s">
        <v>31</v>
      </c>
      <c r="V163" s="1">
        <v>40.217759562841529</v>
      </c>
      <c r="W163" s="1">
        <v>0.10780757566747934</v>
      </c>
      <c r="X163" s="1">
        <v>0.15240929525739255</v>
      </c>
      <c r="Y163" s="1">
        <v>0.26435896201434694</v>
      </c>
      <c r="Z163" s="1">
        <v>0.31791548295454541</v>
      </c>
      <c r="AA163" s="1">
        <v>8.9066030123722424</v>
      </c>
      <c r="AB163" s="1">
        <v>8.1512827663134413</v>
      </c>
      <c r="AC163" s="1">
        <v>7.1582070904263633</v>
      </c>
      <c r="AD163" s="1">
        <v>1.8344466510200399</v>
      </c>
    </row>
    <row r="164" spans="1:30">
      <c r="A164" s="1" t="s">
        <v>5</v>
      </c>
      <c r="B164" s="1">
        <v>11.9673</v>
      </c>
      <c r="C164" s="4">
        <f t="shared" si="18"/>
        <v>16.678551912568306</v>
      </c>
      <c r="E164" s="4" t="str">
        <f t="shared" si="19"/>
        <v/>
      </c>
      <c r="G164" s="4" t="str">
        <f t="shared" si="20"/>
        <v/>
      </c>
      <c r="H164" s="1">
        <v>4.1300000000000003E-2</v>
      </c>
      <c r="I164" s="4">
        <f t="shared" si="21"/>
        <v>0.16590438592268064</v>
      </c>
      <c r="K164" s="4" t="str">
        <f t="shared" si="22"/>
        <v/>
      </c>
      <c r="L164" s="1">
        <v>1.5526</v>
      </c>
      <c r="M164" s="4">
        <f t="shared" si="23"/>
        <v>1.1730096826250671</v>
      </c>
      <c r="N164" s="1">
        <v>1.1700999999999999</v>
      </c>
      <c r="O164" s="4">
        <f t="shared" si="24"/>
        <v>1.8368655883993308</v>
      </c>
      <c r="P164" s="1">
        <v>1.3754</v>
      </c>
      <c r="Q164" s="4">
        <f t="shared" si="25"/>
        <v>2.9937529283148527</v>
      </c>
      <c r="R164" s="1">
        <f>0.0478*2</f>
        <v>9.5600000000000004E-2</v>
      </c>
      <c r="S164" s="4">
        <f t="shared" si="26"/>
        <v>1.3993500631883014</v>
      </c>
      <c r="U164" s="1" t="s">
        <v>5</v>
      </c>
      <c r="V164" s="1">
        <v>16.678551912568306</v>
      </c>
      <c r="W164" s="1" t="s">
        <v>402</v>
      </c>
      <c r="X164" s="1" t="s">
        <v>402</v>
      </c>
      <c r="Y164" s="1">
        <v>0.16590438592268064</v>
      </c>
      <c r="Z164" s="1" t="s">
        <v>402</v>
      </c>
      <c r="AA164" s="1">
        <v>1.1730096826250671</v>
      </c>
      <c r="AB164" s="1">
        <v>1.8368655883993308</v>
      </c>
      <c r="AC164" s="1">
        <v>2.9937529283148527</v>
      </c>
      <c r="AD164" s="1">
        <v>1.3993500631883014</v>
      </c>
    </row>
    <row r="165" spans="1:30">
      <c r="A165" s="1" t="s">
        <v>282</v>
      </c>
      <c r="B165" s="1">
        <v>31.875399999999999</v>
      </c>
      <c r="C165" s="4">
        <f t="shared" si="18"/>
        <v>43.875409836065572</v>
      </c>
      <c r="D165" s="1">
        <v>2.5999999999999999E-2</v>
      </c>
      <c r="E165" s="4">
        <f t="shared" si="19"/>
        <v>0.10739133020158173</v>
      </c>
      <c r="F165" s="1">
        <v>8.9800000000000005E-2</v>
      </c>
      <c r="G165" s="4">
        <f t="shared" si="20"/>
        <v>0.15316912556195783</v>
      </c>
      <c r="H165" s="1">
        <v>7.5700000000000003E-2</v>
      </c>
      <c r="I165" s="4">
        <f t="shared" si="21"/>
        <v>0.18246593808675557</v>
      </c>
      <c r="J165" s="1">
        <v>9.9400000000000002E-2</v>
      </c>
      <c r="K165" s="4">
        <f t="shared" si="22"/>
        <v>0.16153231534090909</v>
      </c>
      <c r="L165" s="1">
        <v>5.8521000000000001</v>
      </c>
      <c r="M165" s="4">
        <f t="shared" si="23"/>
        <v>4.0640129101667561</v>
      </c>
      <c r="N165" s="1">
        <v>2.2395</v>
      </c>
      <c r="O165" s="4">
        <f t="shared" si="24"/>
        <v>3.3279419966536534</v>
      </c>
      <c r="P165" s="1">
        <v>3.1379000000000001</v>
      </c>
      <c r="Q165" s="4">
        <f t="shared" si="25"/>
        <v>5.7463688895830085</v>
      </c>
      <c r="R165" s="1">
        <v>1.4552</v>
      </c>
      <c r="S165" s="4">
        <f t="shared" si="26"/>
        <v>3.853944755371006</v>
      </c>
      <c r="U165" s="1" t="s">
        <v>32</v>
      </c>
      <c r="V165" s="1">
        <v>43.875409836065572</v>
      </c>
      <c r="W165" s="1">
        <v>0.10739133020158173</v>
      </c>
      <c r="X165" s="1">
        <v>0.15316912556195783</v>
      </c>
      <c r="Y165" s="1">
        <v>0.18246593808675557</v>
      </c>
      <c r="Z165" s="1">
        <v>0.16153231534090909</v>
      </c>
      <c r="AA165" s="1">
        <v>4.0640129101667561</v>
      </c>
      <c r="AB165" s="1">
        <v>3.3279419966536534</v>
      </c>
      <c r="AC165" s="1">
        <v>5.7463688895830085</v>
      </c>
      <c r="AD165" s="1">
        <v>3.853944755371006</v>
      </c>
    </row>
    <row r="166" spans="1:30">
      <c r="A166" s="1" t="s">
        <v>283</v>
      </c>
      <c r="B166" s="1">
        <v>30.0154</v>
      </c>
      <c r="C166" s="4">
        <f t="shared" si="18"/>
        <v>41.334426229508196</v>
      </c>
      <c r="E166" s="4" t="str">
        <f t="shared" si="19"/>
        <v/>
      </c>
      <c r="F166" s="1">
        <v>2.2700000000000001E-2</v>
      </c>
      <c r="G166" s="4">
        <f t="shared" si="20"/>
        <v>0.11068194769834738</v>
      </c>
      <c r="H166" s="1">
        <v>2.1399999999999999E-2</v>
      </c>
      <c r="I166" s="4">
        <f t="shared" si="21"/>
        <v>0.15632372057195126</v>
      </c>
      <c r="J166" s="1">
        <v>0.2848</v>
      </c>
      <c r="K166" s="4">
        <f t="shared" si="22"/>
        <v>0.2438299005681818</v>
      </c>
      <c r="L166" s="1">
        <v>5.7221000000000002</v>
      </c>
      <c r="M166" s="4">
        <f t="shared" si="23"/>
        <v>3.9766003227541691</v>
      </c>
      <c r="N166" s="1">
        <v>0.49930000000000002</v>
      </c>
      <c r="O166" s="4">
        <f t="shared" si="24"/>
        <v>0.90156162855549371</v>
      </c>
      <c r="P166" s="1">
        <v>3.8546999999999998</v>
      </c>
      <c r="Q166" s="4">
        <f t="shared" si="25"/>
        <v>6.8658441355614546</v>
      </c>
      <c r="R166" s="1">
        <v>1.2336</v>
      </c>
      <c r="S166" s="4">
        <f t="shared" si="26"/>
        <v>3.4538725401697059</v>
      </c>
      <c r="U166" s="1" t="s">
        <v>35</v>
      </c>
      <c r="V166" s="1">
        <v>41.334426229508196</v>
      </c>
      <c r="W166" s="1" t="s">
        <v>402</v>
      </c>
      <c r="X166" s="1">
        <v>0.11068194769834738</v>
      </c>
      <c r="Y166" s="1">
        <v>0.15632372057195126</v>
      </c>
      <c r="Z166" s="1">
        <v>0.2438299005681818</v>
      </c>
      <c r="AA166" s="1">
        <v>3.9766003227541691</v>
      </c>
      <c r="AB166" s="1">
        <v>0.90156162855549371</v>
      </c>
      <c r="AC166" s="1">
        <v>6.8658441355614546</v>
      </c>
      <c r="AD166" s="1">
        <v>3.4538725401697059</v>
      </c>
    </row>
    <row r="167" spans="1:30">
      <c r="A167" s="1" t="s">
        <v>284</v>
      </c>
      <c r="B167" s="1">
        <v>20.484000000000002</v>
      </c>
      <c r="C167" s="4">
        <f t="shared" si="18"/>
        <v>28.313387978142078</v>
      </c>
      <c r="E167" s="4" t="str">
        <f t="shared" si="19"/>
        <v/>
      </c>
      <c r="F167" s="1">
        <v>1.2999999999999999E-2</v>
      </c>
      <c r="G167" s="4">
        <f t="shared" si="20"/>
        <v>0.10453998606977777</v>
      </c>
      <c r="H167" s="1">
        <v>8.0999999999999996E-3</v>
      </c>
      <c r="I167" s="4">
        <f t="shared" si="21"/>
        <v>0.14992056232246881</v>
      </c>
      <c r="K167" s="4" t="str">
        <f t="shared" si="22"/>
        <v/>
      </c>
      <c r="L167" s="1">
        <v>0.33900000000000002</v>
      </c>
      <c r="M167" s="4">
        <f t="shared" si="23"/>
        <v>0.35697955890263583</v>
      </c>
      <c r="N167" s="1">
        <v>1.1395999999999999</v>
      </c>
      <c r="O167" s="4">
        <f t="shared" si="24"/>
        <v>1.7943390964863357</v>
      </c>
      <c r="P167" s="1">
        <v>0.98150000000000004</v>
      </c>
      <c r="Q167" s="4">
        <f t="shared" si="25"/>
        <v>2.3785725441199439</v>
      </c>
      <c r="R167" s="1">
        <v>7.5999999999999998E-2</v>
      </c>
      <c r="S167" s="4">
        <f t="shared" si="26"/>
        <v>1.3639646145513631</v>
      </c>
      <c r="U167" s="1" t="s">
        <v>33</v>
      </c>
      <c r="V167" s="1">
        <v>28.313387978142078</v>
      </c>
      <c r="W167" s="1" t="s">
        <v>402</v>
      </c>
      <c r="X167" s="1">
        <v>0.10453998606977777</v>
      </c>
      <c r="Y167" s="1">
        <v>0.14992056232246881</v>
      </c>
      <c r="Z167" s="1" t="s">
        <v>402</v>
      </c>
      <c r="AA167" s="1">
        <v>0.35697955890263583</v>
      </c>
      <c r="AB167" s="1">
        <v>1.7943390964863357</v>
      </c>
      <c r="AC167" s="1">
        <v>2.3785725441199439</v>
      </c>
      <c r="AD167" s="1">
        <v>1.3639646145513631</v>
      </c>
    </row>
    <row r="168" spans="1:30">
      <c r="A168" s="1" t="s">
        <v>34</v>
      </c>
      <c r="B168" s="1">
        <v>33.4191</v>
      </c>
      <c r="C168" s="4">
        <f t="shared" si="18"/>
        <v>45.98428961748634</v>
      </c>
      <c r="E168" s="4" t="str">
        <f t="shared" si="19"/>
        <v/>
      </c>
      <c r="G168" s="4" t="str">
        <f t="shared" si="20"/>
        <v/>
      </c>
      <c r="I168" s="4" t="str">
        <f t="shared" si="21"/>
        <v/>
      </c>
      <c r="K168" s="4" t="str">
        <f t="shared" si="22"/>
        <v/>
      </c>
      <c r="L168" s="1">
        <v>9.0206999999999997</v>
      </c>
      <c r="M168" s="4">
        <f t="shared" si="23"/>
        <v>6.1945938676707906</v>
      </c>
      <c r="N168" s="1">
        <v>2.9005999999999998</v>
      </c>
      <c r="O168" s="4">
        <f t="shared" si="24"/>
        <v>4.2497211377579474</v>
      </c>
      <c r="P168" s="1">
        <v>3.4679000000000002</v>
      </c>
      <c r="Q168" s="4">
        <f t="shared" si="25"/>
        <v>6.2617523036076843</v>
      </c>
      <c r="S168" s="4" t="str">
        <f t="shared" si="26"/>
        <v/>
      </c>
      <c r="U168" s="1" t="s">
        <v>34</v>
      </c>
      <c r="V168" s="1">
        <v>45.98428961748634</v>
      </c>
      <c r="W168" s="1" t="s">
        <v>402</v>
      </c>
      <c r="X168" s="1" t="s">
        <v>402</v>
      </c>
      <c r="Y168" s="1" t="s">
        <v>402</v>
      </c>
      <c r="Z168" s="1" t="s">
        <v>402</v>
      </c>
      <c r="AA168" s="1">
        <v>6.1945938676707906</v>
      </c>
      <c r="AB168" s="1">
        <v>4.2497211377579474</v>
      </c>
      <c r="AC168" s="1">
        <v>6.2617523036076843</v>
      </c>
      <c r="AD168" s="1" t="s">
        <v>402</v>
      </c>
    </row>
    <row r="169" spans="1:30">
      <c r="A169" s="1" t="s">
        <v>286</v>
      </c>
      <c r="C169" s="4" t="str">
        <f t="shared" si="18"/>
        <v/>
      </c>
      <c r="E169" s="4" t="str">
        <f t="shared" si="19"/>
        <v/>
      </c>
      <c r="G169" s="4" t="str">
        <f t="shared" si="20"/>
        <v/>
      </c>
      <c r="I169" s="4" t="str">
        <f t="shared" si="21"/>
        <v/>
      </c>
      <c r="K169" s="4" t="str">
        <f t="shared" si="22"/>
        <v/>
      </c>
      <c r="M169" s="4" t="str">
        <f t="shared" si="23"/>
        <v/>
      </c>
      <c r="O169" s="4" t="str">
        <f t="shared" si="24"/>
        <v/>
      </c>
      <c r="Q169" s="4" t="str">
        <f t="shared" si="25"/>
        <v/>
      </c>
      <c r="S169" s="4" t="str">
        <f t="shared" si="26"/>
        <v/>
      </c>
      <c r="U169" s="1" t="s">
        <v>46</v>
      </c>
      <c r="V169" s="1" t="s">
        <v>402</v>
      </c>
      <c r="W169" s="1" t="s">
        <v>402</v>
      </c>
      <c r="X169" s="1" t="s">
        <v>402</v>
      </c>
      <c r="Y169" s="1" t="s">
        <v>402</v>
      </c>
      <c r="Z169" s="1" t="s">
        <v>402</v>
      </c>
      <c r="AA169" s="1" t="s">
        <v>402</v>
      </c>
      <c r="AB169" s="1" t="s">
        <v>402</v>
      </c>
      <c r="AC169" s="1" t="s">
        <v>402</v>
      </c>
      <c r="AD169" s="1" t="s">
        <v>402</v>
      </c>
    </row>
    <row r="170" spans="1:30">
      <c r="A170" s="1" t="s">
        <v>287</v>
      </c>
      <c r="C170" s="4" t="str">
        <f t="shared" si="18"/>
        <v/>
      </c>
      <c r="E170" s="4" t="str">
        <f t="shared" si="19"/>
        <v/>
      </c>
      <c r="G170" s="4" t="str">
        <f t="shared" si="20"/>
        <v/>
      </c>
      <c r="I170" s="4" t="str">
        <f t="shared" si="21"/>
        <v/>
      </c>
      <c r="K170" s="4" t="str">
        <f t="shared" si="22"/>
        <v/>
      </c>
      <c r="M170" s="4" t="str">
        <f t="shared" si="23"/>
        <v/>
      </c>
      <c r="O170" s="4" t="str">
        <f t="shared" si="24"/>
        <v/>
      </c>
      <c r="Q170" s="4" t="str">
        <f t="shared" si="25"/>
        <v/>
      </c>
      <c r="S170" s="4" t="str">
        <f t="shared" si="26"/>
        <v/>
      </c>
      <c r="U170" s="1" t="s">
        <v>47</v>
      </c>
      <c r="V170" s="1" t="s">
        <v>402</v>
      </c>
      <c r="W170" s="1" t="s">
        <v>402</v>
      </c>
      <c r="X170" s="1" t="s">
        <v>402</v>
      </c>
      <c r="Y170" s="1" t="s">
        <v>402</v>
      </c>
      <c r="Z170" s="1" t="s">
        <v>402</v>
      </c>
      <c r="AA170" s="1" t="s">
        <v>402</v>
      </c>
      <c r="AB170" s="1" t="s">
        <v>402</v>
      </c>
      <c r="AC170" s="1" t="s">
        <v>402</v>
      </c>
      <c r="AD170" s="1" t="s">
        <v>402</v>
      </c>
    </row>
    <row r="171" spans="1:30">
      <c r="A171" s="1" t="s">
        <v>288</v>
      </c>
      <c r="C171" s="4" t="str">
        <f t="shared" si="18"/>
        <v/>
      </c>
      <c r="D171" s="1">
        <v>7.8399999999999997E-2</v>
      </c>
      <c r="E171" s="4">
        <f t="shared" si="19"/>
        <v>0.13855027650591661</v>
      </c>
      <c r="G171" s="4" t="str">
        <f t="shared" si="20"/>
        <v/>
      </c>
      <c r="H171" s="1">
        <v>2.4500000000000001E-2</v>
      </c>
      <c r="I171" s="4">
        <f t="shared" si="21"/>
        <v>0.15781618602859757</v>
      </c>
      <c r="J171" s="1">
        <v>0.1313</v>
      </c>
      <c r="K171" s="4">
        <f t="shared" si="22"/>
        <v>0.17569247159090909</v>
      </c>
      <c r="L171" s="1">
        <v>21.031300000000002</v>
      </c>
      <c r="M171" s="4">
        <f t="shared" si="23"/>
        <v>14.270575578267886</v>
      </c>
      <c r="N171" s="1">
        <v>10.748900000000001</v>
      </c>
      <c r="O171" s="4">
        <f t="shared" si="24"/>
        <v>15.192693809258229</v>
      </c>
      <c r="P171" s="1">
        <v>2.0171999999999999</v>
      </c>
      <c r="Q171" s="4">
        <f t="shared" si="25"/>
        <v>3.996095580196783</v>
      </c>
      <c r="R171" s="1">
        <f>0.0963*2</f>
        <v>0.19259999999999999</v>
      </c>
      <c r="S171" s="4">
        <f t="shared" si="26"/>
        <v>1.5744719263404947</v>
      </c>
      <c r="U171" s="1" t="s">
        <v>48</v>
      </c>
      <c r="V171" s="1" t="s">
        <v>402</v>
      </c>
      <c r="W171" s="1">
        <v>0.13855027650591661</v>
      </c>
      <c r="X171" s="1" t="s">
        <v>402</v>
      </c>
      <c r="Y171" s="1">
        <v>0.15781618602859757</v>
      </c>
      <c r="Z171" s="1">
        <v>0.17569247159090909</v>
      </c>
      <c r="AA171" s="1">
        <v>14.270575578267886</v>
      </c>
      <c r="AB171" s="1">
        <v>15.192693809258229</v>
      </c>
      <c r="AC171" s="1">
        <v>3.996095580196783</v>
      </c>
      <c r="AD171" s="1">
        <v>1.5744719263404947</v>
      </c>
    </row>
    <row r="172" spans="1:30">
      <c r="A172" s="1" t="s">
        <v>289</v>
      </c>
      <c r="B172" s="1">
        <f>2*0.0142</f>
        <v>2.8400000000000002E-2</v>
      </c>
      <c r="C172" s="4">
        <f t="shared" si="18"/>
        <v>0.36857923497267758</v>
      </c>
      <c r="E172" s="4" t="str">
        <f t="shared" si="19"/>
        <v/>
      </c>
      <c r="F172" s="1">
        <v>0.1825</v>
      </c>
      <c r="G172" s="4">
        <f t="shared" si="20"/>
        <v>0.21186601658962834</v>
      </c>
      <c r="H172" s="1">
        <v>0.109</v>
      </c>
      <c r="I172" s="4">
        <f t="shared" si="21"/>
        <v>0.19849790573395598</v>
      </c>
      <c r="J172" s="1">
        <v>0.42399999999999999</v>
      </c>
      <c r="K172" s="4">
        <f t="shared" si="22"/>
        <v>0.30561967329545453</v>
      </c>
      <c r="L172" s="1">
        <v>39.0822</v>
      </c>
      <c r="M172" s="4">
        <f t="shared" si="23"/>
        <v>26.408082302313069</v>
      </c>
      <c r="N172" s="1">
        <v>21.9314</v>
      </c>
      <c r="O172" s="4">
        <f t="shared" si="24"/>
        <v>30.784578918014503</v>
      </c>
      <c r="P172" s="1">
        <v>4.8851000000000004</v>
      </c>
      <c r="Q172" s="4">
        <f t="shared" si="25"/>
        <v>8.475089801655475</v>
      </c>
      <c r="S172" s="4" t="str">
        <f t="shared" si="26"/>
        <v/>
      </c>
      <c r="U172" s="1" t="s">
        <v>49</v>
      </c>
      <c r="V172" s="1">
        <v>0.36857923497267758</v>
      </c>
      <c r="W172" s="1" t="s">
        <v>402</v>
      </c>
      <c r="X172" s="1">
        <v>0.21186601658962834</v>
      </c>
      <c r="Y172" s="1">
        <v>0.19849790573395598</v>
      </c>
      <c r="Z172" s="1">
        <v>0.30561967329545453</v>
      </c>
      <c r="AA172" s="1">
        <v>26.408082302313069</v>
      </c>
      <c r="AB172" s="1">
        <v>30.784578918014503</v>
      </c>
      <c r="AC172" s="1">
        <v>8.475089801655475</v>
      </c>
      <c r="AD172" s="1" t="s">
        <v>402</v>
      </c>
    </row>
    <row r="173" spans="1:30">
      <c r="A173" s="1" t="s">
        <v>50</v>
      </c>
      <c r="B173" s="1">
        <f>2*0.0146</f>
        <v>2.92E-2</v>
      </c>
      <c r="C173" s="4">
        <f t="shared" si="18"/>
        <v>0.36967213114754099</v>
      </c>
      <c r="E173" s="4" t="str">
        <f t="shared" si="19"/>
        <v/>
      </c>
      <c r="F173" s="1">
        <v>0.13070000000000001</v>
      </c>
      <c r="G173" s="4">
        <f t="shared" si="20"/>
        <v>0.17906667510922564</v>
      </c>
      <c r="H173" s="1">
        <v>8.2900000000000001E-2</v>
      </c>
      <c r="I173" s="4">
        <f t="shared" si="21"/>
        <v>0.18593230946993403</v>
      </c>
      <c r="J173" s="1">
        <v>0.30840000000000001</v>
      </c>
      <c r="K173" s="4">
        <f t="shared" si="22"/>
        <v>0.25430575284090906</v>
      </c>
      <c r="L173" s="1">
        <v>20.908300000000001</v>
      </c>
      <c r="M173" s="4">
        <f t="shared" si="23"/>
        <v>14.187869822485206</v>
      </c>
      <c r="N173" s="1">
        <v>6.1165000000000003</v>
      </c>
      <c r="O173" s="4">
        <f t="shared" si="24"/>
        <v>8.7336865588399331</v>
      </c>
      <c r="P173" s="1">
        <v>4.0364000000000004</v>
      </c>
      <c r="Q173" s="4">
        <f t="shared" si="25"/>
        <v>7.1496173668592862</v>
      </c>
      <c r="S173" s="4" t="str">
        <f t="shared" si="26"/>
        <v/>
      </c>
      <c r="U173" s="1" t="s">
        <v>50</v>
      </c>
      <c r="V173" s="1">
        <v>0.36967213114754099</v>
      </c>
      <c r="W173" s="1" t="s">
        <v>402</v>
      </c>
      <c r="X173" s="1">
        <v>0.17906667510922564</v>
      </c>
      <c r="Y173" s="1">
        <v>0.18593230946993403</v>
      </c>
      <c r="Z173" s="1">
        <v>0.25430575284090906</v>
      </c>
      <c r="AA173" s="1">
        <v>14.187869822485206</v>
      </c>
      <c r="AB173" s="1">
        <v>8.7336865588399331</v>
      </c>
      <c r="AC173" s="1">
        <v>7.1496173668592862</v>
      </c>
      <c r="AD173" s="1" t="s">
        <v>402</v>
      </c>
    </row>
    <row r="174" spans="1:30">
      <c r="A174" s="1" t="s">
        <v>290</v>
      </c>
      <c r="B174" s="1">
        <f>0.0085*2</f>
        <v>1.7000000000000001E-2</v>
      </c>
      <c r="C174" s="4">
        <f t="shared" si="18"/>
        <v>0.35300546448087433</v>
      </c>
      <c r="E174" s="4" t="str">
        <f t="shared" si="19"/>
        <v/>
      </c>
      <c r="G174" s="4" t="str">
        <f t="shared" si="20"/>
        <v/>
      </c>
      <c r="H174" s="1">
        <v>1.09E-2</v>
      </c>
      <c r="I174" s="4">
        <f t="shared" si="21"/>
        <v>0.15126859563814934</v>
      </c>
      <c r="K174" s="4" t="str">
        <f t="shared" si="22"/>
        <v/>
      </c>
      <c r="L174" s="1">
        <v>1.3045</v>
      </c>
      <c r="M174" s="4">
        <f t="shared" si="23"/>
        <v>1.0061861215707368</v>
      </c>
      <c r="N174" s="1">
        <v>0.65149999999999997</v>
      </c>
      <c r="O174" s="4">
        <f t="shared" si="24"/>
        <v>1.1137757947573899</v>
      </c>
      <c r="P174" s="1">
        <v>0.46200000000000002</v>
      </c>
      <c r="Q174" s="4">
        <f t="shared" si="25"/>
        <v>1.567234109011401</v>
      </c>
      <c r="S174" s="4" t="str">
        <f t="shared" si="26"/>
        <v/>
      </c>
      <c r="U174" s="1" t="s">
        <v>51</v>
      </c>
      <c r="V174" s="1">
        <v>0.35300546448087433</v>
      </c>
      <c r="W174" s="1" t="s">
        <v>402</v>
      </c>
      <c r="X174" s="1" t="s">
        <v>402</v>
      </c>
      <c r="Y174" s="1">
        <v>0.15126859563814934</v>
      </c>
      <c r="Z174" s="1" t="s">
        <v>402</v>
      </c>
      <c r="AA174" s="1">
        <v>1.0061861215707368</v>
      </c>
      <c r="AB174" s="1">
        <v>1.1137757947573899</v>
      </c>
      <c r="AC174" s="1">
        <v>1.567234109011401</v>
      </c>
      <c r="AD174" s="1" t="s">
        <v>402</v>
      </c>
    </row>
    <row r="175" spans="1:30">
      <c r="A175" s="1" t="s">
        <v>291</v>
      </c>
      <c r="B175" s="1">
        <f>0.0063*2</f>
        <v>1.26E-2</v>
      </c>
      <c r="C175" s="4">
        <f t="shared" si="18"/>
        <v>0.34699453551912568</v>
      </c>
      <c r="E175" s="4" t="str">
        <f t="shared" si="19"/>
        <v/>
      </c>
      <c r="G175" s="4" t="str">
        <f t="shared" si="20"/>
        <v/>
      </c>
      <c r="H175" s="1">
        <v>8.6E-3</v>
      </c>
      <c r="I175" s="4">
        <f t="shared" si="21"/>
        <v>0.15016128255741176</v>
      </c>
      <c r="J175" s="1">
        <v>1.4200000000000001E-2</v>
      </c>
      <c r="K175" s="4">
        <f t="shared" si="22"/>
        <v>0.12371271306818181</v>
      </c>
      <c r="L175" s="1">
        <v>2.9066999999999998</v>
      </c>
      <c r="M175" s="4">
        <f t="shared" si="23"/>
        <v>2.0835126412049485</v>
      </c>
      <c r="N175" s="1">
        <v>0.77149999999999996</v>
      </c>
      <c r="O175" s="4">
        <f t="shared" si="24"/>
        <v>1.2810931399888454</v>
      </c>
      <c r="P175" s="1">
        <v>1.1446000000000001</v>
      </c>
      <c r="Q175" s="4">
        <f t="shared" si="25"/>
        <v>2.6332968920818369</v>
      </c>
      <c r="S175" s="4" t="str">
        <f t="shared" si="26"/>
        <v/>
      </c>
      <c r="U175" s="1" t="s">
        <v>54</v>
      </c>
      <c r="V175" s="1">
        <v>0.34699453551912568</v>
      </c>
      <c r="W175" s="1" t="s">
        <v>402</v>
      </c>
      <c r="X175" s="1" t="s">
        <v>402</v>
      </c>
      <c r="Y175" s="1">
        <v>0.15016128255741176</v>
      </c>
      <c r="Z175" s="1">
        <v>0.12371271306818181</v>
      </c>
      <c r="AA175" s="1">
        <v>2.0835126412049485</v>
      </c>
      <c r="AB175" s="1">
        <v>1.2810931399888454</v>
      </c>
      <c r="AC175" s="1">
        <v>2.6332968920818369</v>
      </c>
      <c r="AD175" s="1" t="s">
        <v>402</v>
      </c>
    </row>
    <row r="176" spans="1:30">
      <c r="A176" s="1" t="s">
        <v>292</v>
      </c>
      <c r="B176" s="1">
        <f>0.0953*2</f>
        <v>0.19059999999999999</v>
      </c>
      <c r="C176" s="4">
        <f t="shared" si="18"/>
        <v>0.5901639344262295</v>
      </c>
      <c r="E176" s="4" t="str">
        <f t="shared" si="19"/>
        <v/>
      </c>
      <c r="G176" s="4" t="str">
        <f t="shared" si="20"/>
        <v/>
      </c>
      <c r="H176" s="1">
        <v>1.44E-2</v>
      </c>
      <c r="I176" s="4">
        <f t="shared" si="21"/>
        <v>0.15295363728274999</v>
      </c>
      <c r="J176" s="1">
        <v>9.4000000000000004E-3</v>
      </c>
      <c r="K176" s="4">
        <f t="shared" si="22"/>
        <v>0.12158203125000001</v>
      </c>
      <c r="L176" s="1">
        <v>4.4962</v>
      </c>
      <c r="M176" s="4">
        <f t="shared" si="23"/>
        <v>3.1522996234534695</v>
      </c>
      <c r="N176" s="1">
        <v>3.0398999999999998</v>
      </c>
      <c r="O176" s="4">
        <f t="shared" si="24"/>
        <v>4.4439486893474625</v>
      </c>
      <c r="P176" s="1">
        <v>1.1132</v>
      </c>
      <c r="Q176" s="4">
        <f t="shared" si="25"/>
        <v>2.5842573793534283</v>
      </c>
      <c r="R176" s="1">
        <f>2*0.0734</f>
        <v>0.14680000000000001</v>
      </c>
      <c r="S176" s="4">
        <f t="shared" si="26"/>
        <v>1.4917855208521396</v>
      </c>
      <c r="U176" s="1" t="s">
        <v>52</v>
      </c>
      <c r="V176" s="1">
        <v>0.5901639344262295</v>
      </c>
      <c r="W176" s="1" t="s">
        <v>402</v>
      </c>
      <c r="X176" s="1" t="s">
        <v>402</v>
      </c>
      <c r="Y176" s="1">
        <v>0.15295363728274999</v>
      </c>
      <c r="Z176" s="1">
        <v>0.12158203125000001</v>
      </c>
      <c r="AA176" s="1">
        <v>3.1522996234534695</v>
      </c>
      <c r="AB176" s="1">
        <v>4.4439486893474625</v>
      </c>
      <c r="AC176" s="1">
        <v>2.5842573793534283</v>
      </c>
      <c r="AD176" s="1">
        <v>1.4917855208521396</v>
      </c>
    </row>
    <row r="177" spans="1:30">
      <c r="A177" s="1" t="s">
        <v>53</v>
      </c>
      <c r="C177" s="4" t="str">
        <f t="shared" si="18"/>
        <v/>
      </c>
      <c r="E177" s="4" t="str">
        <f t="shared" si="19"/>
        <v/>
      </c>
      <c r="G177" s="4" t="str">
        <f t="shared" si="20"/>
        <v/>
      </c>
      <c r="I177" s="4" t="str">
        <f t="shared" si="21"/>
        <v/>
      </c>
      <c r="K177" s="4" t="str">
        <f t="shared" si="22"/>
        <v/>
      </c>
      <c r="L177" s="1">
        <v>0.18240000000000001</v>
      </c>
      <c r="M177" s="4">
        <f t="shared" si="23"/>
        <v>0.25168101129639586</v>
      </c>
      <c r="N177" s="1">
        <v>0.1091</v>
      </c>
      <c r="O177" s="4">
        <f t="shared" si="24"/>
        <v>0.35750139431121025</v>
      </c>
      <c r="P177" s="1">
        <v>6.4600000000000005E-2</v>
      </c>
      <c r="Q177" s="4">
        <f t="shared" si="25"/>
        <v>0.94658753709198806</v>
      </c>
      <c r="S177" s="4" t="str">
        <f t="shared" si="26"/>
        <v/>
      </c>
      <c r="U177" s="1" t="s">
        <v>53</v>
      </c>
      <c r="V177" s="1" t="s">
        <v>402</v>
      </c>
      <c r="W177" s="1" t="s">
        <v>402</v>
      </c>
      <c r="X177" s="1" t="s">
        <v>402</v>
      </c>
      <c r="Y177" s="1" t="s">
        <v>402</v>
      </c>
      <c r="Z177" s="1" t="s">
        <v>402</v>
      </c>
      <c r="AA177" s="1">
        <v>0.25168101129639586</v>
      </c>
      <c r="AB177" s="1">
        <v>0.35750139431121025</v>
      </c>
      <c r="AC177" s="1">
        <v>0.94658753709198806</v>
      </c>
      <c r="AD177" s="1" t="s">
        <v>402</v>
      </c>
    </row>
    <row r="178" spans="1:30">
      <c r="A178" s="1" t="s">
        <v>293</v>
      </c>
      <c r="B178" s="1">
        <v>0.42099999999999999</v>
      </c>
      <c r="C178" s="4">
        <f t="shared" si="18"/>
        <v>0.90491803278688521</v>
      </c>
      <c r="D178" s="1">
        <v>9.69E-2</v>
      </c>
      <c r="E178" s="4">
        <f t="shared" si="19"/>
        <v>0.14955104953321044</v>
      </c>
      <c r="F178" s="1">
        <v>0.10440000000000001</v>
      </c>
      <c r="G178" s="4">
        <f t="shared" si="20"/>
        <v>0.16241372760083583</v>
      </c>
      <c r="H178" s="1">
        <v>0.4178</v>
      </c>
      <c r="I178" s="4">
        <f t="shared" si="21"/>
        <v>0.3471667228347215</v>
      </c>
      <c r="J178" s="1">
        <v>0.56930000000000003</v>
      </c>
      <c r="K178" s="4">
        <f t="shared" si="22"/>
        <v>0.3701171875</v>
      </c>
      <c r="L178" s="1">
        <v>9.4434000000000005</v>
      </c>
      <c r="M178" s="4">
        <f t="shared" si="23"/>
        <v>6.4788192576654113</v>
      </c>
      <c r="N178" s="1">
        <v>1.8778999999999999</v>
      </c>
      <c r="O178" s="4">
        <f t="shared" si="24"/>
        <v>2.8237590630228668</v>
      </c>
      <c r="P178" s="1">
        <v>2.2126000000000001</v>
      </c>
      <c r="Q178" s="4">
        <f t="shared" si="25"/>
        <v>4.3012650320162429</v>
      </c>
      <c r="R178" s="1">
        <v>0.66800000000000004</v>
      </c>
      <c r="S178" s="4">
        <f t="shared" si="26"/>
        <v>2.432749593789493</v>
      </c>
      <c r="U178" s="1" t="s">
        <v>67</v>
      </c>
      <c r="V178" s="1">
        <v>0.90491803278688521</v>
      </c>
      <c r="W178" s="1">
        <v>0.14955104953321044</v>
      </c>
      <c r="X178" s="1">
        <v>0.16241372760083583</v>
      </c>
      <c r="Y178" s="1">
        <v>0.3471667228347215</v>
      </c>
      <c r="Z178" s="1">
        <v>0.3701171875</v>
      </c>
      <c r="AA178" s="1">
        <v>6.4788192576654113</v>
      </c>
      <c r="AB178" s="1">
        <v>2.8237590630228668</v>
      </c>
      <c r="AC178" s="1">
        <v>4.3012650320162429</v>
      </c>
      <c r="AD178" s="1">
        <v>2.432749593789493</v>
      </c>
    </row>
    <row r="179" spans="1:30">
      <c r="A179" s="1" t="s">
        <v>294</v>
      </c>
      <c r="C179" s="4" t="str">
        <f t="shared" si="18"/>
        <v/>
      </c>
      <c r="E179" s="4" t="str">
        <f t="shared" si="19"/>
        <v/>
      </c>
      <c r="G179" s="4" t="str">
        <f t="shared" si="20"/>
        <v/>
      </c>
      <c r="I179" s="4" t="str">
        <f t="shared" si="21"/>
        <v/>
      </c>
      <c r="K179" s="4" t="str">
        <f t="shared" si="22"/>
        <v/>
      </c>
      <c r="M179" s="4" t="str">
        <f t="shared" si="23"/>
        <v/>
      </c>
      <c r="O179" s="4" t="str">
        <f t="shared" si="24"/>
        <v/>
      </c>
      <c r="Q179" s="4" t="str">
        <f t="shared" si="25"/>
        <v/>
      </c>
      <c r="S179" s="4" t="str">
        <f t="shared" si="26"/>
        <v/>
      </c>
      <c r="U179" s="1" t="s">
        <v>47</v>
      </c>
      <c r="V179" s="1" t="s">
        <v>402</v>
      </c>
      <c r="W179" s="1" t="s">
        <v>402</v>
      </c>
      <c r="X179" s="1" t="s">
        <v>402</v>
      </c>
      <c r="Y179" s="1" t="s">
        <v>402</v>
      </c>
      <c r="Z179" s="1" t="s">
        <v>402</v>
      </c>
      <c r="AA179" s="1" t="s">
        <v>402</v>
      </c>
      <c r="AB179" s="1" t="s">
        <v>402</v>
      </c>
      <c r="AC179" s="1" t="s">
        <v>402</v>
      </c>
      <c r="AD179" s="1" t="s">
        <v>402</v>
      </c>
    </row>
    <row r="180" spans="1:30">
      <c r="A180" s="1" t="s">
        <v>295</v>
      </c>
      <c r="B180" s="1">
        <v>1.3353999999999999</v>
      </c>
      <c r="C180" s="4">
        <f t="shared" si="18"/>
        <v>2.1540983606557376</v>
      </c>
      <c r="D180" s="1">
        <v>0.2009</v>
      </c>
      <c r="E180" s="4">
        <f t="shared" si="19"/>
        <v>0.21139323303799726</v>
      </c>
      <c r="F180" s="1">
        <v>0.56989999999999996</v>
      </c>
      <c r="G180" s="4">
        <f t="shared" si="20"/>
        <v>0.45716456658013044</v>
      </c>
      <c r="H180" s="1">
        <v>1.3900999999999999</v>
      </c>
      <c r="I180" s="4">
        <f t="shared" si="21"/>
        <v>0.81527129170478063</v>
      </c>
      <c r="J180" s="1">
        <v>1.2763</v>
      </c>
      <c r="K180" s="4">
        <f t="shared" si="22"/>
        <v>0.68394886363636354</v>
      </c>
      <c r="L180" s="1">
        <v>87.981099999999998</v>
      </c>
      <c r="M180" s="4">
        <f t="shared" si="23"/>
        <v>59.28792361484669</v>
      </c>
      <c r="N180" s="1">
        <v>24.271999999999998</v>
      </c>
      <c r="O180" s="4">
        <f t="shared" si="24"/>
        <v>34.048103736754044</v>
      </c>
      <c r="P180" s="1">
        <v>7.7431999999999999</v>
      </c>
      <c r="Q180" s="4">
        <f t="shared" si="25"/>
        <v>12.938778697485553</v>
      </c>
      <c r="R180" s="1">
        <v>2.2357</v>
      </c>
      <c r="S180" s="4">
        <f t="shared" si="26"/>
        <v>5.2630438707347906</v>
      </c>
      <c r="U180" s="1" t="s">
        <v>68</v>
      </c>
      <c r="V180" s="1">
        <v>2.1540983606557376</v>
      </c>
      <c r="W180" s="1">
        <v>0.21139323303799726</v>
      </c>
      <c r="X180" s="1">
        <v>0.45716456658013044</v>
      </c>
      <c r="Y180" s="1">
        <v>0.81527129170478063</v>
      </c>
      <c r="Z180" s="1">
        <v>0.68394886363636354</v>
      </c>
      <c r="AA180" s="1">
        <v>59.28792361484669</v>
      </c>
      <c r="AB180" s="1">
        <v>34.048103736754044</v>
      </c>
      <c r="AC180" s="1">
        <v>12.938778697485553</v>
      </c>
      <c r="AD180" s="1">
        <v>5.2630438707347906</v>
      </c>
    </row>
    <row r="181" spans="1:30">
      <c r="A181" s="1" t="s">
        <v>296</v>
      </c>
      <c r="C181" s="4" t="str">
        <f t="shared" si="18"/>
        <v/>
      </c>
      <c r="E181" s="4" t="str">
        <f t="shared" si="19"/>
        <v/>
      </c>
      <c r="G181" s="4" t="str">
        <f t="shared" si="20"/>
        <v/>
      </c>
      <c r="H181" s="1">
        <v>5.7999999999999996E-3</v>
      </c>
      <c r="I181" s="4">
        <f t="shared" si="21"/>
        <v>0.14881324924173125</v>
      </c>
      <c r="J181" s="1">
        <v>1.9199999999999998E-2</v>
      </c>
      <c r="K181" s="4">
        <f t="shared" si="22"/>
        <v>0.12593217329545453</v>
      </c>
      <c r="L181" s="1">
        <v>5.5698999999999996</v>
      </c>
      <c r="M181" s="4">
        <f t="shared" si="23"/>
        <v>3.8742603550295858</v>
      </c>
      <c r="N181" s="1">
        <v>4.2507000000000001</v>
      </c>
      <c r="O181" s="4">
        <f t="shared" si="24"/>
        <v>6.1321807027328497</v>
      </c>
      <c r="P181" s="1">
        <v>2.6720000000000002</v>
      </c>
      <c r="Q181" s="4">
        <f t="shared" si="25"/>
        <v>5.0187412150554431</v>
      </c>
      <c r="R181" s="1">
        <v>0.15229999999999999</v>
      </c>
      <c r="S181" s="4">
        <f t="shared" si="26"/>
        <v>1.5017151110308722</v>
      </c>
      <c r="U181" s="1" t="s">
        <v>61</v>
      </c>
      <c r="V181" s="1" t="s">
        <v>402</v>
      </c>
      <c r="W181" s="1" t="s">
        <v>402</v>
      </c>
      <c r="X181" s="1" t="s">
        <v>402</v>
      </c>
      <c r="Y181" s="1">
        <v>0.14881324924173125</v>
      </c>
      <c r="Z181" s="1">
        <v>0.12593217329545453</v>
      </c>
      <c r="AA181" s="1">
        <v>3.8742603550295858</v>
      </c>
      <c r="AB181" s="1">
        <v>6.1321807027328497</v>
      </c>
      <c r="AC181" s="1">
        <v>5.0187412150554431</v>
      </c>
      <c r="AD181" s="1">
        <v>1.5017151110308722</v>
      </c>
    </row>
    <row r="182" spans="1:30">
      <c r="A182" s="1" t="s">
        <v>297</v>
      </c>
      <c r="C182" s="4" t="str">
        <f t="shared" si="18"/>
        <v/>
      </c>
      <c r="D182" s="1">
        <f>2*0.047</f>
        <v>9.4E-2</v>
      </c>
      <c r="E182" s="4">
        <f t="shared" si="19"/>
        <v>0.14782660403163464</v>
      </c>
      <c r="F182" s="1">
        <v>4.0500000000000001E-2</v>
      </c>
      <c r="G182" s="4">
        <f t="shared" si="20"/>
        <v>0.12195276388273288</v>
      </c>
      <c r="H182" s="1">
        <v>0.10050000000000001</v>
      </c>
      <c r="I182" s="4">
        <f t="shared" si="21"/>
        <v>0.19440566173992588</v>
      </c>
      <c r="J182" s="1">
        <v>0.45440000000000003</v>
      </c>
      <c r="K182" s="4">
        <f t="shared" si="22"/>
        <v>0.31911399147727276</v>
      </c>
      <c r="L182" s="1">
        <v>36.139299999999999</v>
      </c>
      <c r="M182" s="4">
        <f t="shared" si="23"/>
        <v>24.429263044647655</v>
      </c>
      <c r="N182" s="1">
        <v>14.0731</v>
      </c>
      <c r="O182" s="4">
        <f t="shared" si="24"/>
        <v>19.827663134411601</v>
      </c>
      <c r="P182" s="1">
        <v>7.6679000000000004</v>
      </c>
      <c r="Q182" s="4">
        <f t="shared" si="25"/>
        <v>12.821177573012651</v>
      </c>
      <c r="S182" s="4" t="str">
        <f t="shared" si="26"/>
        <v/>
      </c>
      <c r="U182" s="1" t="s">
        <v>344</v>
      </c>
      <c r="V182" s="1" t="s">
        <v>402</v>
      </c>
      <c r="W182" s="1">
        <v>0.14782660403163464</v>
      </c>
      <c r="X182" s="1">
        <v>0.12195276388273288</v>
      </c>
      <c r="Y182" s="1">
        <v>0.19440566173992588</v>
      </c>
      <c r="Z182" s="1">
        <v>0.31911399147727276</v>
      </c>
      <c r="AA182" s="1">
        <v>24.429263044647655</v>
      </c>
      <c r="AB182" s="1">
        <v>19.827663134411601</v>
      </c>
      <c r="AC182" s="1">
        <v>12.821177573012651</v>
      </c>
      <c r="AD182" s="1" t="s">
        <v>402</v>
      </c>
    </row>
    <row r="183" spans="1:30">
      <c r="A183" s="1" t="s">
        <v>298</v>
      </c>
      <c r="B183" s="1">
        <f>0.3049*2</f>
        <v>0.60980000000000001</v>
      </c>
      <c r="C183" s="4">
        <f t="shared" si="18"/>
        <v>1.1628415300546449</v>
      </c>
      <c r="E183" s="4" t="str">
        <f t="shared" si="19"/>
        <v/>
      </c>
      <c r="F183" s="1">
        <v>0.10639999999999999</v>
      </c>
      <c r="G183" s="4">
        <f t="shared" si="20"/>
        <v>0.16368011144177802</v>
      </c>
      <c r="H183" s="1">
        <v>1.03E-2</v>
      </c>
      <c r="I183" s="4">
        <f t="shared" si="21"/>
        <v>0.15097973135621778</v>
      </c>
      <c r="J183" s="1">
        <v>0.1197</v>
      </c>
      <c r="K183" s="4">
        <f t="shared" si="22"/>
        <v>0.17054332386363635</v>
      </c>
      <c r="L183" s="1">
        <v>34.227200000000003</v>
      </c>
      <c r="M183" s="4">
        <f t="shared" si="23"/>
        <v>23.143558364712209</v>
      </c>
      <c r="N183" s="1">
        <v>9.5882000000000005</v>
      </c>
      <c r="O183" s="4">
        <f t="shared" si="24"/>
        <v>13.574316787506973</v>
      </c>
      <c r="P183" s="1">
        <v>4.0971000000000002</v>
      </c>
      <c r="Q183" s="4">
        <f t="shared" si="25"/>
        <v>7.2444166796814002</v>
      </c>
      <c r="S183" s="4" t="str">
        <f t="shared" si="26"/>
        <v/>
      </c>
      <c r="U183" s="1" t="s">
        <v>345</v>
      </c>
      <c r="V183" s="1">
        <v>1.1628415300546449</v>
      </c>
      <c r="W183" s="1" t="s">
        <v>402</v>
      </c>
      <c r="X183" s="1">
        <v>0.16368011144177802</v>
      </c>
      <c r="Y183" s="1">
        <v>0.15097973135621778</v>
      </c>
      <c r="Z183" s="1">
        <v>0.17054332386363635</v>
      </c>
      <c r="AA183" s="1">
        <v>23.143558364712209</v>
      </c>
      <c r="AB183" s="1">
        <v>13.574316787506973</v>
      </c>
      <c r="AC183" s="1">
        <v>7.2444166796814002</v>
      </c>
      <c r="AD183" s="1" t="s">
        <v>402</v>
      </c>
    </row>
    <row r="184" spans="1:30">
      <c r="A184" s="1" t="s">
        <v>285</v>
      </c>
      <c r="B184" s="1">
        <v>14.0031</v>
      </c>
      <c r="C184" s="4">
        <f t="shared" si="18"/>
        <v>19.459699453551913</v>
      </c>
      <c r="E184" s="4" t="str">
        <f t="shared" si="19"/>
        <v/>
      </c>
      <c r="F184" s="1">
        <v>8.14E-2</v>
      </c>
      <c r="G184" s="4">
        <f t="shared" si="20"/>
        <v>0.14785031343000066</v>
      </c>
      <c r="H184" s="1">
        <v>0.12909999999999999</v>
      </c>
      <c r="I184" s="4">
        <f t="shared" si="21"/>
        <v>0.20817485917866255</v>
      </c>
      <c r="K184" s="4" t="str">
        <f t="shared" si="22"/>
        <v/>
      </c>
      <c r="L184" s="1">
        <v>86.621799999999993</v>
      </c>
      <c r="M184" s="4">
        <f t="shared" si="23"/>
        <v>58.3739241527703</v>
      </c>
      <c r="N184" s="1">
        <v>1.1666000000000001</v>
      </c>
      <c r="O184" s="4">
        <f t="shared" si="24"/>
        <v>1.8319854991634135</v>
      </c>
      <c r="P184" s="1">
        <v>6.6308999999999996</v>
      </c>
      <c r="Q184" s="4">
        <f t="shared" si="25"/>
        <v>11.201624238638137</v>
      </c>
      <c r="S184" s="4" t="str">
        <f t="shared" si="26"/>
        <v/>
      </c>
      <c r="U184" s="1" t="s">
        <v>46</v>
      </c>
      <c r="V184" s="1">
        <v>19.459699453551913</v>
      </c>
      <c r="W184" s="1" t="s">
        <v>402</v>
      </c>
      <c r="X184" s="1">
        <v>0.14785031343000066</v>
      </c>
      <c r="Y184" s="1">
        <v>0.20817485917866255</v>
      </c>
      <c r="Z184" s="1" t="s">
        <v>402</v>
      </c>
      <c r="AA184" s="1">
        <v>58.3739241527703</v>
      </c>
      <c r="AB184" s="1">
        <v>1.8319854991634135</v>
      </c>
      <c r="AC184" s="1">
        <v>11.201624238638137</v>
      </c>
      <c r="AD184" s="1" t="s">
        <v>402</v>
      </c>
    </row>
    <row r="185" spans="1:30">
      <c r="A185" s="1" t="s">
        <v>299</v>
      </c>
      <c r="B185" s="1">
        <f>1.071*2</f>
        <v>2.1419999999999999</v>
      </c>
      <c r="C185" s="4">
        <f t="shared" si="18"/>
        <v>3.2560109289617487</v>
      </c>
      <c r="E185" s="4" t="str">
        <f t="shared" si="19"/>
        <v/>
      </c>
      <c r="F185" s="1">
        <v>0.1467</v>
      </c>
      <c r="G185" s="4">
        <f t="shared" si="20"/>
        <v>0.18919774583676313</v>
      </c>
      <c r="H185" s="1">
        <v>9.5000000000000001E-2</v>
      </c>
      <c r="I185" s="4">
        <f t="shared" si="21"/>
        <v>0.19175773915555339</v>
      </c>
      <c r="J185" s="1">
        <v>0.12759999999999999</v>
      </c>
      <c r="K185" s="4">
        <f t="shared" si="22"/>
        <v>0.17405007102272727</v>
      </c>
      <c r="L185" s="1">
        <v>19.2895</v>
      </c>
      <c r="M185" s="4">
        <f t="shared" si="23"/>
        <v>13.099381387842927</v>
      </c>
      <c r="N185" s="1">
        <v>9.7517999999999994</v>
      </c>
      <c r="O185" s="4">
        <f t="shared" si="24"/>
        <v>13.802426101505855</v>
      </c>
      <c r="P185" s="1">
        <v>1.6899</v>
      </c>
      <c r="Q185" s="4">
        <f t="shared" si="25"/>
        <v>3.4849289395595813</v>
      </c>
      <c r="R185" s="1">
        <v>0.5272</v>
      </c>
      <c r="S185" s="4">
        <f t="shared" si="26"/>
        <v>2.1785520852139379</v>
      </c>
      <c r="U185" s="1" t="s">
        <v>69</v>
      </c>
      <c r="V185" s="1">
        <v>3.2560109289617487</v>
      </c>
      <c r="W185" s="1" t="s">
        <v>402</v>
      </c>
      <c r="X185" s="1">
        <v>0.18919774583676313</v>
      </c>
      <c r="Y185" s="1">
        <v>0.19175773915555339</v>
      </c>
      <c r="Z185" s="1">
        <v>0.17405007102272727</v>
      </c>
      <c r="AA185" s="1">
        <v>13.099381387842927</v>
      </c>
      <c r="AB185" s="1">
        <v>13.802426101505855</v>
      </c>
      <c r="AC185" s="1">
        <v>3.4849289395595813</v>
      </c>
      <c r="AD185" s="1">
        <v>2.1785520852139379</v>
      </c>
    </row>
    <row r="186" spans="1:30">
      <c r="A186" s="1" t="s">
        <v>300</v>
      </c>
      <c r="B186" s="1">
        <f>0.3329*2</f>
        <v>0.66579999999999995</v>
      </c>
      <c r="C186" s="4">
        <f t="shared" si="18"/>
        <v>1.2393442622950821</v>
      </c>
      <c r="E186" s="4" t="str">
        <f t="shared" si="19"/>
        <v/>
      </c>
      <c r="F186" s="1">
        <v>0.10780000000000001</v>
      </c>
      <c r="G186" s="4">
        <f t="shared" si="20"/>
        <v>0.16456658013043757</v>
      </c>
      <c r="H186" s="1">
        <v>0.33629999999999999</v>
      </c>
      <c r="I186" s="4">
        <f t="shared" si="21"/>
        <v>0.30792932453902072</v>
      </c>
      <c r="J186" s="1">
        <v>0.27410000000000001</v>
      </c>
      <c r="K186" s="4">
        <f t="shared" si="22"/>
        <v>0.23908025568181815</v>
      </c>
      <c r="L186" s="1">
        <v>1.2710999999999999</v>
      </c>
      <c r="M186" s="4">
        <f t="shared" si="23"/>
        <v>0.98372781065088744</v>
      </c>
      <c r="N186" s="1">
        <v>0.67100000000000004</v>
      </c>
      <c r="O186" s="4">
        <f t="shared" si="24"/>
        <v>1.1409648633575016</v>
      </c>
      <c r="P186" s="1">
        <v>1.7664</v>
      </c>
      <c r="Q186" s="4">
        <f t="shared" si="25"/>
        <v>3.6044041855380291</v>
      </c>
      <c r="R186" s="1">
        <v>0.4819</v>
      </c>
      <c r="S186" s="4">
        <f t="shared" si="26"/>
        <v>2.0967683697418309</v>
      </c>
      <c r="U186" s="1" t="s">
        <v>70</v>
      </c>
      <c r="V186" s="1">
        <v>1.2393442622950821</v>
      </c>
      <c r="W186" s="1" t="s">
        <v>402</v>
      </c>
      <c r="X186" s="1">
        <v>0.16456658013043757</v>
      </c>
      <c r="Y186" s="1">
        <v>0.30792932453902072</v>
      </c>
      <c r="Z186" s="1">
        <v>0.23908025568181815</v>
      </c>
      <c r="AA186" s="1">
        <v>0.98372781065088744</v>
      </c>
      <c r="AB186" s="1">
        <v>1.1409648633575016</v>
      </c>
      <c r="AC186" s="1">
        <v>3.6044041855380291</v>
      </c>
      <c r="AD186" s="1">
        <v>2.0967683697418309</v>
      </c>
    </row>
    <row r="187" spans="1:30">
      <c r="A187" s="1" t="s">
        <v>6</v>
      </c>
      <c r="B187" s="1">
        <f>0.2352*2</f>
        <v>0.47039999999999998</v>
      </c>
      <c r="C187" s="4">
        <f t="shared" si="18"/>
        <v>0.9724043715846995</v>
      </c>
      <c r="E187" s="4" t="str">
        <f t="shared" si="19"/>
        <v/>
      </c>
      <c r="F187" s="1">
        <v>5.57E-2</v>
      </c>
      <c r="G187" s="4">
        <f t="shared" si="20"/>
        <v>0.13157728107389352</v>
      </c>
      <c r="H187" s="1">
        <v>0.12740000000000001</v>
      </c>
      <c r="I187" s="4">
        <f t="shared" si="21"/>
        <v>0.20735641037985653</v>
      </c>
      <c r="J187" s="1">
        <v>7.4499999999999997E-2</v>
      </c>
      <c r="K187" s="4">
        <f t="shared" si="22"/>
        <v>0.15047940340909091</v>
      </c>
      <c r="L187" s="1">
        <v>0.35570000000000002</v>
      </c>
      <c r="M187" s="4">
        <f t="shared" si="23"/>
        <v>0.36820871436256047</v>
      </c>
      <c r="N187" s="1">
        <v>0.39140000000000003</v>
      </c>
      <c r="O187" s="4">
        <f t="shared" si="24"/>
        <v>0.7511154489682097</v>
      </c>
      <c r="P187" s="1">
        <v>0.55900000000000005</v>
      </c>
      <c r="Q187" s="4">
        <f t="shared" si="25"/>
        <v>1.7187255973762301</v>
      </c>
      <c r="R187" s="1">
        <v>0.37659999999999999</v>
      </c>
      <c r="S187" s="4">
        <f t="shared" si="26"/>
        <v>1.9066618523199137</v>
      </c>
      <c r="U187" s="1" t="s">
        <v>6</v>
      </c>
      <c r="V187" s="1">
        <v>0.9724043715846995</v>
      </c>
      <c r="W187" s="1" t="s">
        <v>402</v>
      </c>
      <c r="X187" s="1">
        <v>0.13157728107389352</v>
      </c>
      <c r="Y187" s="1">
        <v>0.20735641037985653</v>
      </c>
      <c r="Z187" s="1">
        <v>0.15047940340909091</v>
      </c>
      <c r="AA187" s="1">
        <v>0.36820871436256047</v>
      </c>
      <c r="AB187" s="1">
        <v>0.7511154489682097</v>
      </c>
      <c r="AC187" s="1">
        <v>1.7187255973762301</v>
      </c>
      <c r="AD187" s="1">
        <v>1.9066618523199137</v>
      </c>
    </row>
    <row r="188" spans="1:30">
      <c r="A188" s="1" t="s">
        <v>301</v>
      </c>
      <c r="B188" s="1">
        <f>2*1.1096</f>
        <v>2.2191999999999998</v>
      </c>
      <c r="C188" s="4">
        <f t="shared" si="18"/>
        <v>3.3614754098360655</v>
      </c>
      <c r="D188" s="1">
        <v>5.5300000000000002E-2</v>
      </c>
      <c r="E188" s="4">
        <f t="shared" si="19"/>
        <v>0.1248141761312957</v>
      </c>
      <c r="F188" s="1">
        <v>0.2281</v>
      </c>
      <c r="G188" s="4">
        <f t="shared" si="20"/>
        <v>0.24073956816311023</v>
      </c>
      <c r="H188" s="1">
        <v>0.50060000000000004</v>
      </c>
      <c r="I188" s="4">
        <f t="shared" si="21"/>
        <v>0.38702999374127389</v>
      </c>
      <c r="J188" s="1">
        <v>0.47360000000000002</v>
      </c>
      <c r="K188" s="4">
        <f t="shared" si="22"/>
        <v>0.32763671874999994</v>
      </c>
      <c r="L188" s="1">
        <v>1.6083000000000001</v>
      </c>
      <c r="M188" s="4">
        <f t="shared" si="23"/>
        <v>1.210462614308768</v>
      </c>
      <c r="N188" s="1">
        <v>0.69569999999999999</v>
      </c>
      <c r="O188" s="4">
        <f t="shared" si="24"/>
        <v>1.1754043502509761</v>
      </c>
      <c r="P188" s="1">
        <v>1.9692000000000001</v>
      </c>
      <c r="Q188" s="4">
        <f t="shared" si="25"/>
        <v>3.9211307199750118</v>
      </c>
      <c r="R188" s="1">
        <v>1.3963000000000001</v>
      </c>
      <c r="S188" s="4">
        <f t="shared" si="26"/>
        <v>3.7476078714569421</v>
      </c>
      <c r="U188" s="1" t="s">
        <v>71</v>
      </c>
      <c r="V188" s="1">
        <v>3.3614754098360655</v>
      </c>
      <c r="W188" s="1">
        <v>0.1248141761312957</v>
      </c>
      <c r="X188" s="1">
        <v>0.24073956816311023</v>
      </c>
      <c r="Y188" s="1">
        <v>0.38702999374127389</v>
      </c>
      <c r="Z188" s="1">
        <v>0.32763671874999994</v>
      </c>
      <c r="AA188" s="1">
        <v>1.210462614308768</v>
      </c>
      <c r="AB188" s="1">
        <v>1.1754043502509761</v>
      </c>
      <c r="AC188" s="1">
        <v>3.9211307199750118</v>
      </c>
      <c r="AD188" s="1">
        <v>3.7476078714569421</v>
      </c>
    </row>
    <row r="189" spans="1:30">
      <c r="A189" s="1" t="s">
        <v>302</v>
      </c>
      <c r="B189" s="1">
        <f>0.2689*2</f>
        <v>0.53779999999999994</v>
      </c>
      <c r="C189" s="4">
        <f t="shared" si="18"/>
        <v>1.0644808743169398</v>
      </c>
      <c r="E189" s="4" t="str">
        <f t="shared" si="19"/>
        <v/>
      </c>
      <c r="F189" s="1">
        <v>4.99E-2</v>
      </c>
      <c r="G189" s="4">
        <f t="shared" si="20"/>
        <v>0.12790476793516117</v>
      </c>
      <c r="H189" s="1">
        <v>7.7200000000000005E-2</v>
      </c>
      <c r="I189" s="4">
        <f t="shared" si="21"/>
        <v>0.1831880987915844</v>
      </c>
      <c r="J189" s="1">
        <v>0.1328</v>
      </c>
      <c r="K189" s="4">
        <f t="shared" si="22"/>
        <v>0.17635830965909088</v>
      </c>
      <c r="L189" s="1">
        <v>0.54530000000000001</v>
      </c>
      <c r="M189" s="4">
        <f t="shared" si="23"/>
        <v>0.49569661108122642</v>
      </c>
      <c r="N189" s="1">
        <v>0.27389999999999998</v>
      </c>
      <c r="O189" s="4">
        <f t="shared" si="24"/>
        <v>0.58728388176240931</v>
      </c>
      <c r="P189" s="1">
        <v>1.1796</v>
      </c>
      <c r="Q189" s="4">
        <f t="shared" si="25"/>
        <v>2.6879587693268778</v>
      </c>
      <c r="R189" s="1">
        <v>0.43990000000000001</v>
      </c>
      <c r="S189" s="4">
        <f t="shared" si="26"/>
        <v>2.0209424083769636</v>
      </c>
      <c r="U189" s="1" t="s">
        <v>74</v>
      </c>
      <c r="V189" s="1">
        <v>1.0644808743169398</v>
      </c>
      <c r="W189" s="1" t="s">
        <v>402</v>
      </c>
      <c r="X189" s="1">
        <v>0.12790476793516117</v>
      </c>
      <c r="Y189" s="1">
        <v>0.1831880987915844</v>
      </c>
      <c r="Z189" s="1">
        <v>0.17635830965909088</v>
      </c>
      <c r="AA189" s="1">
        <v>0.49569661108122642</v>
      </c>
      <c r="AB189" s="1">
        <v>0.58728388176240931</v>
      </c>
      <c r="AC189" s="1">
        <v>2.6879587693268778</v>
      </c>
      <c r="AD189" s="1">
        <v>2.0209424083769636</v>
      </c>
    </row>
    <row r="190" spans="1:30">
      <c r="A190" s="1" t="s">
        <v>303</v>
      </c>
      <c r="B190" s="1">
        <f>0.5279*2</f>
        <v>1.0558000000000001</v>
      </c>
      <c r="C190" s="4">
        <f t="shared" si="18"/>
        <v>1.7721311475409838</v>
      </c>
      <c r="D190" s="1">
        <f>0.021*2</f>
        <v>4.2000000000000003E-2</v>
      </c>
      <c r="E190" s="4">
        <f t="shared" si="19"/>
        <v>0.11690551227924124</v>
      </c>
      <c r="F190" s="1">
        <v>6.9400000000000003E-2</v>
      </c>
      <c r="G190" s="4">
        <f t="shared" si="20"/>
        <v>0.14025201038434751</v>
      </c>
      <c r="I190" s="4" t="str">
        <f t="shared" si="21"/>
        <v/>
      </c>
      <c r="J190" s="1">
        <v>0.1744</v>
      </c>
      <c r="K190" s="4">
        <f t="shared" si="22"/>
        <v>0.19482421875</v>
      </c>
      <c r="L190" s="1">
        <v>0.64319999999999999</v>
      </c>
      <c r="M190" s="4">
        <f t="shared" si="23"/>
        <v>0.56152501344809036</v>
      </c>
      <c r="N190" s="1">
        <v>0.34889999999999999</v>
      </c>
      <c r="O190" s="4">
        <f t="shared" si="24"/>
        <v>0.69185722253206916</v>
      </c>
      <c r="P190" s="1">
        <v>1.1523000000000001</v>
      </c>
      <c r="Q190" s="4">
        <f t="shared" si="25"/>
        <v>2.6453225050757458</v>
      </c>
      <c r="R190" s="1">
        <v>0.60040000000000004</v>
      </c>
      <c r="S190" s="4">
        <f t="shared" si="26"/>
        <v>2.3107059035927064</v>
      </c>
      <c r="U190" s="1" t="s">
        <v>72</v>
      </c>
      <c r="V190" s="1">
        <v>1.7721311475409838</v>
      </c>
      <c r="W190" s="1">
        <v>0.11690551227924124</v>
      </c>
      <c r="X190" s="1">
        <v>0.14025201038434751</v>
      </c>
      <c r="Y190" s="1" t="s">
        <v>402</v>
      </c>
      <c r="Z190" s="1">
        <v>0.19482421875</v>
      </c>
      <c r="AA190" s="1">
        <v>0.56152501344809036</v>
      </c>
      <c r="AB190" s="1">
        <v>0.69185722253206916</v>
      </c>
      <c r="AC190" s="1">
        <v>2.6453225050757458</v>
      </c>
      <c r="AD190" s="1">
        <v>2.3107059035927064</v>
      </c>
    </row>
    <row r="191" spans="1:30">
      <c r="A191" s="1" t="s">
        <v>73</v>
      </c>
      <c r="B191" s="1">
        <f>2.1546*2</f>
        <v>4.3091999999999997</v>
      </c>
      <c r="C191" s="4">
        <f t="shared" si="18"/>
        <v>6.2166666666666659</v>
      </c>
      <c r="E191" s="4" t="str">
        <f t="shared" si="19"/>
        <v/>
      </c>
      <c r="F191" s="1">
        <v>4.2599999999999999E-2</v>
      </c>
      <c r="G191" s="4">
        <f t="shared" si="20"/>
        <v>0.12328246691572217</v>
      </c>
      <c r="H191" s="1">
        <v>2.7699999999999999E-2</v>
      </c>
      <c r="I191" s="4">
        <f t="shared" si="21"/>
        <v>0.15935679553223245</v>
      </c>
      <c r="K191" s="4" t="str">
        <f t="shared" si="22"/>
        <v/>
      </c>
      <c r="L191" s="1">
        <v>55.757899999999999</v>
      </c>
      <c r="M191" s="4">
        <f t="shared" si="23"/>
        <v>37.620898332436788</v>
      </c>
      <c r="N191" s="1">
        <v>9.6829999999999998</v>
      </c>
      <c r="O191" s="4">
        <f t="shared" si="24"/>
        <v>13.706497490239821</v>
      </c>
      <c r="P191" s="1">
        <v>1.8358000000000001</v>
      </c>
      <c r="Q191" s="4">
        <f t="shared" si="25"/>
        <v>3.7127908792753397</v>
      </c>
      <c r="R191" s="1">
        <f>2*0.0631</f>
        <v>0.12620000000000001</v>
      </c>
      <c r="S191" s="4">
        <f t="shared" si="26"/>
        <v>1.4545946921827047</v>
      </c>
      <c r="U191" s="1" t="s">
        <v>73</v>
      </c>
      <c r="V191" s="1">
        <v>6.2166666666666659</v>
      </c>
      <c r="W191" s="1" t="s">
        <v>402</v>
      </c>
      <c r="X191" s="1">
        <v>0.12328246691572217</v>
      </c>
      <c r="Y191" s="1">
        <v>0.15935679553223245</v>
      </c>
      <c r="Z191" s="1" t="s">
        <v>402</v>
      </c>
      <c r="AA191" s="1">
        <v>37.620898332436788</v>
      </c>
      <c r="AB191" s="1">
        <v>13.706497490239821</v>
      </c>
      <c r="AC191" s="1">
        <v>3.7127908792753397</v>
      </c>
      <c r="AD191" s="1">
        <v>1.4545946921827047</v>
      </c>
    </row>
  </sheetData>
  <sortState xmlns:xlrd2="http://schemas.microsoft.com/office/spreadsheetml/2017/richdata2" ref="A2:N186">
    <sortCondition ref="A24"/>
  </sortState>
  <phoneticPr fontId="1" type="noConversion"/>
  <conditionalFormatting sqref="U39:AD39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64"/>
  <sheetViews>
    <sheetView zoomScale="81" zoomScaleNormal="85" workbookViewId="0">
      <selection activeCell="E67" sqref="E67"/>
    </sheetView>
  </sheetViews>
  <sheetFormatPr defaultColWidth="9.08984375" defaultRowHeight="14.5"/>
  <cols>
    <col min="1" max="2" width="16.453125" style="1" customWidth="1"/>
    <col min="3" max="5" width="9.54296875" style="1" customWidth="1"/>
    <col min="6" max="6" width="12.81640625" style="1" bestFit="1" customWidth="1"/>
    <col min="7" max="7" width="8.81640625" style="1" customWidth="1"/>
    <col min="8" max="8" width="12.81640625" style="1" bestFit="1" customWidth="1"/>
    <col min="9" max="9" width="10.54296875" style="1" customWidth="1"/>
    <col min="10" max="10" width="12.81640625" style="1" bestFit="1" customWidth="1"/>
    <col min="11" max="11" width="9.26953125" style="1" bestFit="1" customWidth="1"/>
    <col min="12" max="12" width="11.7265625" style="1" bestFit="1" customWidth="1"/>
    <col min="13" max="13" width="11.7265625" style="1" customWidth="1"/>
    <col min="14" max="14" width="10.453125" style="1" bestFit="1" customWidth="1"/>
    <col min="15" max="16" width="10.453125" style="1" customWidth="1"/>
    <col min="17" max="17" width="12.81640625" style="1" bestFit="1" customWidth="1"/>
    <col min="18" max="18" width="9.54296875" style="1" bestFit="1" customWidth="1"/>
    <col min="19" max="19" width="11.7265625" style="1" bestFit="1" customWidth="1"/>
    <col min="20" max="20" width="9.54296875" style="1" bestFit="1" customWidth="1"/>
    <col min="21" max="21" width="12.26953125" style="1" bestFit="1" customWidth="1"/>
    <col min="22" max="22" width="9.54296875" style="1" customWidth="1"/>
    <col min="23" max="23" width="12.81640625" style="1" bestFit="1" customWidth="1"/>
    <col min="24" max="24" width="10.453125" style="1" bestFit="1" customWidth="1"/>
    <col min="25" max="25" width="12.81640625" style="1" bestFit="1" customWidth="1"/>
    <col min="26" max="26" width="9.54296875" style="1" bestFit="1" customWidth="1"/>
    <col min="27" max="27" width="9.54296875" style="1" customWidth="1"/>
    <col min="28" max="28" width="9.453125" style="1" bestFit="1" customWidth="1"/>
    <col min="29" max="29" width="12.81640625" style="1" bestFit="1" customWidth="1"/>
    <col min="30" max="30" width="12.7265625" style="1" bestFit="1" customWidth="1"/>
    <col min="31" max="31" width="12.7265625" style="1" customWidth="1"/>
    <col min="32" max="32" width="9.26953125" style="1" bestFit="1" customWidth="1"/>
    <col min="33" max="33" width="12.36328125" style="1" customWidth="1"/>
    <col min="34" max="16384" width="9.08984375" style="1"/>
  </cols>
  <sheetData>
    <row r="1" spans="1:24" ht="29">
      <c r="A1" s="1" t="s">
        <v>406</v>
      </c>
      <c r="C1" s="1" t="s">
        <v>407</v>
      </c>
      <c r="E1" s="1" t="s">
        <v>408</v>
      </c>
      <c r="G1" s="1" t="s">
        <v>409</v>
      </c>
      <c r="I1" s="1" t="s">
        <v>451</v>
      </c>
      <c r="K1" s="1" t="s">
        <v>411</v>
      </c>
      <c r="M1" s="1" t="s">
        <v>412</v>
      </c>
      <c r="O1" s="1" t="s">
        <v>413</v>
      </c>
      <c r="Q1" s="1" t="s">
        <v>414</v>
      </c>
      <c r="S1" s="1" t="s">
        <v>448</v>
      </c>
      <c r="U1" s="1" t="s">
        <v>415</v>
      </c>
      <c r="W1" s="1" t="s">
        <v>416</v>
      </c>
    </row>
    <row r="2" spans="1:24" ht="43.5">
      <c r="A2" s="1" t="s">
        <v>447</v>
      </c>
      <c r="B2" s="1" t="s">
        <v>446</v>
      </c>
      <c r="C2" s="1" t="s">
        <v>447</v>
      </c>
      <c r="D2" s="1" t="s">
        <v>446</v>
      </c>
      <c r="E2" s="1" t="s">
        <v>447</v>
      </c>
      <c r="F2" s="1" t="s">
        <v>446</v>
      </c>
      <c r="G2" s="1" t="s">
        <v>447</v>
      </c>
      <c r="H2" s="1" t="s">
        <v>446</v>
      </c>
      <c r="I2" s="1" t="s">
        <v>447</v>
      </c>
      <c r="J2" s="1" t="s">
        <v>446</v>
      </c>
      <c r="K2" s="1" t="s">
        <v>447</v>
      </c>
      <c r="L2" s="1" t="s">
        <v>446</v>
      </c>
      <c r="M2" s="1" t="s">
        <v>447</v>
      </c>
      <c r="N2" s="1" t="s">
        <v>446</v>
      </c>
      <c r="O2" s="1" t="s">
        <v>447</v>
      </c>
      <c r="P2" s="1" t="s">
        <v>446</v>
      </c>
      <c r="Q2" s="1" t="s">
        <v>447</v>
      </c>
      <c r="R2" s="1" t="s">
        <v>446</v>
      </c>
      <c r="S2" s="1" t="s">
        <v>447</v>
      </c>
      <c r="T2" s="1" t="s">
        <v>446</v>
      </c>
      <c r="U2" s="1" t="s">
        <v>447</v>
      </c>
      <c r="V2" s="1" t="s">
        <v>446</v>
      </c>
      <c r="W2" s="1" t="s">
        <v>447</v>
      </c>
      <c r="X2" s="1" t="s">
        <v>446</v>
      </c>
    </row>
    <row r="3" spans="1:24">
      <c r="A3" s="1">
        <v>0.1</v>
      </c>
      <c r="B3" s="1">
        <v>0.06</v>
      </c>
      <c r="C3" s="1">
        <v>0.2</v>
      </c>
      <c r="D3" s="1">
        <v>0.2707</v>
      </c>
      <c r="E3" s="1">
        <v>0.2</v>
      </c>
      <c r="F3" s="1">
        <v>0.1898</v>
      </c>
      <c r="G3" s="1">
        <v>0.2</v>
      </c>
      <c r="H3" s="1">
        <v>0.2581</v>
      </c>
      <c r="I3" s="1">
        <v>0.2</v>
      </c>
      <c r="J3" s="1">
        <v>0.24840000000000001</v>
      </c>
      <c r="K3" s="1">
        <v>0.4</v>
      </c>
      <c r="L3" s="1">
        <v>0.2964</v>
      </c>
      <c r="M3" s="1">
        <v>0.4</v>
      </c>
      <c r="N3" s="1">
        <v>0.19409999999999999</v>
      </c>
      <c r="O3" s="1">
        <v>0.4</v>
      </c>
      <c r="P3" s="1">
        <v>0.1082</v>
      </c>
      <c r="Q3" s="1">
        <v>0.2</v>
      </c>
      <c r="R3" s="1">
        <v>3.61E-2</v>
      </c>
      <c r="S3" s="1">
        <v>0.2</v>
      </c>
      <c r="T3" s="1">
        <v>0.13339999999999999</v>
      </c>
      <c r="U3" s="4">
        <f>U4/5</f>
        <v>0.17384615384615382</v>
      </c>
      <c r="V3" s="1">
        <v>0.13120000000000001</v>
      </c>
      <c r="W3" s="1">
        <v>0.2</v>
      </c>
      <c r="X3" s="1">
        <v>0.10829999999999999</v>
      </c>
    </row>
    <row r="4" spans="1:24">
      <c r="A4" s="1">
        <v>0.5</v>
      </c>
      <c r="B4" s="1">
        <v>0.379</v>
      </c>
      <c r="C4" s="1">
        <v>1</v>
      </c>
      <c r="D4" s="1">
        <v>1.173</v>
      </c>
      <c r="E4" s="1">
        <v>1</v>
      </c>
      <c r="F4" s="1">
        <v>0.96289999999999998</v>
      </c>
      <c r="G4" s="1">
        <v>1</v>
      </c>
      <c r="H4" s="1">
        <v>1.3209</v>
      </c>
      <c r="I4" s="1">
        <v>1</v>
      </c>
      <c r="J4" s="1">
        <v>1.0449999999999999</v>
      </c>
      <c r="K4" s="1">
        <v>2</v>
      </c>
      <c r="L4" s="1">
        <v>1.661</v>
      </c>
      <c r="M4" s="1">
        <v>2</v>
      </c>
      <c r="N4" s="1">
        <v>1.0125999999999999</v>
      </c>
      <c r="O4" s="1">
        <v>2</v>
      </c>
      <c r="P4" s="1">
        <v>0.93259999999999998</v>
      </c>
      <c r="Q4" s="1">
        <v>1</v>
      </c>
      <c r="R4" s="1">
        <v>0.33879999999999999</v>
      </c>
      <c r="S4" s="1">
        <v>1</v>
      </c>
      <c r="T4" s="1">
        <v>0.57599999999999996</v>
      </c>
      <c r="U4" s="4">
        <f>U5/5</f>
        <v>0.86923076923076914</v>
      </c>
      <c r="V4" s="1">
        <v>0.59409999999999996</v>
      </c>
      <c r="W4" s="1">
        <v>1</v>
      </c>
      <c r="X4" s="1">
        <v>0.64149999999999996</v>
      </c>
    </row>
    <row r="5" spans="1:24">
      <c r="A5" s="1">
        <v>2.5</v>
      </c>
      <c r="B5" s="1">
        <v>2.8028</v>
      </c>
      <c r="C5" s="1">
        <v>5</v>
      </c>
      <c r="D5" s="1">
        <v>6.9089</v>
      </c>
      <c r="E5" s="1">
        <v>5</v>
      </c>
      <c r="F5" s="1">
        <v>5.7736999999999998</v>
      </c>
      <c r="G5" s="1">
        <v>5</v>
      </c>
      <c r="H5" s="1">
        <v>8.0782000000000007</v>
      </c>
      <c r="I5" s="1">
        <v>5</v>
      </c>
      <c r="J5" s="1">
        <v>8.9882000000000009</v>
      </c>
      <c r="K5" s="1">
        <v>10</v>
      </c>
      <c r="L5" s="1">
        <v>14.335599999999999</v>
      </c>
      <c r="M5" s="1">
        <v>10</v>
      </c>
      <c r="N5" s="1">
        <v>6.8010999999999999</v>
      </c>
      <c r="O5" s="1">
        <v>10</v>
      </c>
      <c r="P5" s="1">
        <v>7.2339000000000002</v>
      </c>
      <c r="Q5" s="1">
        <v>5</v>
      </c>
      <c r="R5" s="1">
        <v>3.5527000000000002</v>
      </c>
      <c r="S5" s="1">
        <v>5</v>
      </c>
      <c r="T5" s="1">
        <v>4.1292999999999997</v>
      </c>
      <c r="U5" s="4">
        <f>U6/4</f>
        <v>4.3461538461538458</v>
      </c>
      <c r="V5" s="1">
        <v>4.0458999999999996</v>
      </c>
      <c r="W5" s="1">
        <v>5</v>
      </c>
      <c r="X5" s="1">
        <v>4.4493999999999998</v>
      </c>
    </row>
    <row r="6" spans="1:24">
      <c r="A6" s="1">
        <v>10</v>
      </c>
      <c r="B6" s="1">
        <v>11.288</v>
      </c>
      <c r="C6" s="1">
        <v>20</v>
      </c>
      <c r="D6" s="1">
        <v>25.3414</v>
      </c>
      <c r="E6" s="1">
        <v>20</v>
      </c>
      <c r="F6" s="1">
        <v>22.983599999999999</v>
      </c>
      <c r="G6" s="1">
        <v>20</v>
      </c>
      <c r="H6" s="1">
        <v>32.187800000000003</v>
      </c>
      <c r="I6" s="1">
        <v>20</v>
      </c>
      <c r="J6" s="1">
        <v>34.1736</v>
      </c>
      <c r="K6" s="1">
        <v>40</v>
      </c>
      <c r="L6" s="1">
        <v>58.110199999999999</v>
      </c>
      <c r="M6" s="1">
        <v>40</v>
      </c>
      <c r="N6" s="1">
        <v>28.180299999999999</v>
      </c>
      <c r="O6" s="1">
        <v>40</v>
      </c>
      <c r="P6" s="1">
        <v>29.6919</v>
      </c>
      <c r="Q6" s="1">
        <v>20</v>
      </c>
      <c r="R6" s="1">
        <v>15.178100000000001</v>
      </c>
      <c r="S6" s="1">
        <v>20</v>
      </c>
      <c r="T6" s="1">
        <v>17.080400000000001</v>
      </c>
      <c r="U6" s="4">
        <f>U7/2</f>
        <v>17.384615384615383</v>
      </c>
      <c r="V6" s="1">
        <v>15.882999999999999</v>
      </c>
      <c r="W6" s="1">
        <v>20</v>
      </c>
      <c r="X6" s="1">
        <v>18.4438</v>
      </c>
    </row>
    <row r="7" spans="1:24">
      <c r="A7" s="1">
        <v>20</v>
      </c>
      <c r="B7" s="1">
        <v>20.636500000000002</v>
      </c>
      <c r="C7" s="1">
        <v>40</v>
      </c>
      <c r="D7" s="1">
        <v>44.115400000000001</v>
      </c>
      <c r="E7" s="1">
        <v>40</v>
      </c>
      <c r="F7" s="1">
        <v>42.2928</v>
      </c>
      <c r="G7" s="1">
        <v>40</v>
      </c>
      <c r="H7" s="1">
        <v>58.155900000000003</v>
      </c>
      <c r="I7" s="1">
        <v>40</v>
      </c>
      <c r="J7" s="1">
        <v>64.031599999999997</v>
      </c>
      <c r="K7" s="1">
        <v>80</v>
      </c>
      <c r="L7" s="1">
        <v>108.8306</v>
      </c>
      <c r="M7" s="1">
        <v>80</v>
      </c>
      <c r="N7" s="1">
        <v>54.551000000000002</v>
      </c>
      <c r="O7" s="1">
        <v>80</v>
      </c>
      <c r="P7" s="1">
        <v>54.855499999999999</v>
      </c>
      <c r="Q7" s="1">
        <v>40</v>
      </c>
      <c r="R7" s="1">
        <v>29.585100000000001</v>
      </c>
      <c r="S7" s="1">
        <v>40</v>
      </c>
      <c r="T7" s="1">
        <v>33.904899999999998</v>
      </c>
      <c r="U7" s="4">
        <f>U9/5</f>
        <v>34.769230769230766</v>
      </c>
      <c r="V7" s="1">
        <v>31.022300000000001</v>
      </c>
      <c r="W7" s="1">
        <v>40</v>
      </c>
      <c r="X7" s="1">
        <v>35.634700000000002</v>
      </c>
    </row>
    <row r="8" spans="1:24">
      <c r="A8" s="1">
        <v>100</v>
      </c>
      <c r="B8" s="1">
        <v>73.384799999999998</v>
      </c>
      <c r="K8" s="1">
        <v>160</v>
      </c>
      <c r="L8" s="1">
        <v>211.18170000000001</v>
      </c>
      <c r="M8" s="1">
        <v>160</v>
      </c>
      <c r="N8" s="1">
        <v>131.8185</v>
      </c>
      <c r="U8" s="4"/>
    </row>
    <row r="9" spans="1:24">
      <c r="S9" s="1">
        <v>200</v>
      </c>
      <c r="U9" s="4">
        <f>11300/1.3/50</f>
        <v>173.84615384615384</v>
      </c>
      <c r="W9" s="1">
        <v>200</v>
      </c>
    </row>
    <row r="13" spans="1:24">
      <c r="L13" s="2"/>
      <c r="M13" s="2"/>
      <c r="N13" s="2"/>
      <c r="O13" s="2"/>
      <c r="P13" s="2"/>
    </row>
    <row r="38" spans="1:32"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</row>
    <row r="39" spans="1:32">
      <c r="B39" s="1" t="s">
        <v>406</v>
      </c>
      <c r="D39" s="1" t="s">
        <v>407</v>
      </c>
      <c r="F39" s="1" t="s">
        <v>408</v>
      </c>
      <c r="H39" s="1" t="s">
        <v>409</v>
      </c>
      <c r="J39" s="1" t="s">
        <v>451</v>
      </c>
      <c r="L39" s="1" t="s">
        <v>411</v>
      </c>
      <c r="N39" s="1" t="s">
        <v>412</v>
      </c>
      <c r="P39" s="1" t="s">
        <v>413</v>
      </c>
      <c r="R39" s="1" t="s">
        <v>414</v>
      </c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2" ht="43.5">
      <c r="A40" s="1" t="s">
        <v>170</v>
      </c>
      <c r="B40" s="1" t="s">
        <v>446</v>
      </c>
      <c r="C40" s="1" t="s">
        <v>447</v>
      </c>
      <c r="D40" s="1" t="s">
        <v>446</v>
      </c>
      <c r="E40" s="1" t="s">
        <v>447</v>
      </c>
      <c r="F40" s="1" t="s">
        <v>446</v>
      </c>
      <c r="G40" s="1" t="s">
        <v>447</v>
      </c>
      <c r="H40" s="1" t="s">
        <v>446</v>
      </c>
      <c r="I40" s="1" t="s">
        <v>447</v>
      </c>
      <c r="J40" s="1" t="s">
        <v>446</v>
      </c>
      <c r="K40" s="1" t="s">
        <v>447</v>
      </c>
      <c r="L40" s="1" t="s">
        <v>446</v>
      </c>
      <c r="M40" s="1" t="s">
        <v>447</v>
      </c>
      <c r="N40" s="1" t="s">
        <v>446</v>
      </c>
      <c r="O40" s="1" t="s">
        <v>447</v>
      </c>
      <c r="P40" s="1" t="s">
        <v>446</v>
      </c>
      <c r="Q40" s="1" t="s">
        <v>447</v>
      </c>
      <c r="R40" s="1" t="s">
        <v>446</v>
      </c>
      <c r="S40" s="1" t="s">
        <v>447</v>
      </c>
      <c r="U40" s="7" t="s">
        <v>170</v>
      </c>
      <c r="V40" s="7" t="s">
        <v>171</v>
      </c>
      <c r="W40" s="7" t="s">
        <v>172</v>
      </c>
      <c r="X40" s="7" t="s">
        <v>173</v>
      </c>
      <c r="Y40" s="7" t="s">
        <v>174</v>
      </c>
      <c r="Z40" s="7" t="s">
        <v>175</v>
      </c>
      <c r="AA40" s="7" t="s">
        <v>176</v>
      </c>
      <c r="AB40" s="7" t="s">
        <v>177</v>
      </c>
      <c r="AC40" s="7" t="s">
        <v>178</v>
      </c>
      <c r="AD40" s="7" t="s">
        <v>179</v>
      </c>
      <c r="AE40" s="7" t="s">
        <v>112</v>
      </c>
      <c r="AF40" s="7" t="s">
        <v>346</v>
      </c>
    </row>
    <row r="41" spans="1:32">
      <c r="A41" s="1" t="s">
        <v>349</v>
      </c>
      <c r="B41" s="4">
        <v>2.8400000000000002E-2</v>
      </c>
      <c r="C41" s="4">
        <f t="shared" ref="C41:C61" si="0">IF(AND(B41&gt;=B$5,B41&lt;=B$8),(B41-0.1225)/1.0439,IF(B41&lt;B$5,B41/B$5*A$5,B41/B$8*A$8))</f>
        <v>2.5331811046096761E-2</v>
      </c>
      <c r="D41" s="8">
        <v>4.9000000000000002E-2</v>
      </c>
      <c r="E41" s="4">
        <f t="shared" ref="E41:E61" si="1">IF(AND(D41&gt;=D$3,D41&lt;=D$7),(D41-0.1365)/1.2652,IF(D41&lt;D$3,D41/D$3*C$3,D41/D$7*C$7))</f>
        <v>3.6202438123383827E-2</v>
      </c>
      <c r="F41" s="8"/>
      <c r="G41" s="4"/>
      <c r="H41" s="4">
        <v>0.45050000000000001</v>
      </c>
      <c r="I41" s="4">
        <f t="shared" ref="I41:I61" si="2">IF(H41,(H41+0.1307)/1.6171,"")</f>
        <v>0.35940881825490079</v>
      </c>
      <c r="J41" s="4"/>
      <c r="K41" s="4" t="str">
        <f t="shared" ref="K41:K61" si="3">IF(J41,(J41+0.1704)/1.7228,"")</f>
        <v/>
      </c>
      <c r="L41" s="4">
        <v>59.016800000000003</v>
      </c>
      <c r="M41" s="4">
        <f t="shared" ref="M41:M61" si="4">IF(L41,(L41+0.6623)/1.4705,"")</f>
        <v>40.584223053383212</v>
      </c>
      <c r="N41" s="4">
        <v>37.899000000000001</v>
      </c>
      <c r="O41" s="4">
        <f t="shared" ref="O41:O61" si="5">IF(N41,(N41+0.2627)/0.7107,"")</f>
        <v>53.69593358660476</v>
      </c>
      <c r="P41" s="4">
        <v>0.27279999999999999</v>
      </c>
      <c r="Q41" s="4">
        <f t="shared" ref="Q41:Q61" si="6">IF(P41,(P41+0.3703)/0.7569,"")</f>
        <v>0.84964988769982819</v>
      </c>
      <c r="R41" s="1">
        <v>0.5363</v>
      </c>
      <c r="S41" s="4">
        <f t="shared" ref="S41:S61" si="7">IF(R41,(R41+0.1716)/0.7485,"")</f>
        <v>0.94575818303273207</v>
      </c>
      <c r="T41" s="4"/>
      <c r="U41" s="9" t="s">
        <v>370</v>
      </c>
      <c r="V41" s="9">
        <v>2.5331811046096761E-2</v>
      </c>
      <c r="W41" s="7">
        <v>3.6202438123383827E-2</v>
      </c>
      <c r="X41" s="7"/>
      <c r="Y41" s="7">
        <v>0.35940881825490079</v>
      </c>
      <c r="Z41" s="7" t="s">
        <v>402</v>
      </c>
      <c r="AA41" s="7">
        <v>40.584223053383212</v>
      </c>
      <c r="AB41" s="7">
        <v>53.69593358660476</v>
      </c>
      <c r="AC41" s="7">
        <v>0.84964988769982819</v>
      </c>
      <c r="AD41" s="7">
        <v>0.94575818303273207</v>
      </c>
      <c r="AE41" s="1" t="s">
        <v>391</v>
      </c>
      <c r="AF41" s="1" t="s">
        <v>111</v>
      </c>
    </row>
    <row r="42" spans="1:32">
      <c r="A42" s="1" t="s">
        <v>350</v>
      </c>
      <c r="B42" s="1">
        <v>2.4400000000000002E-2</v>
      </c>
      <c r="C42" s="4">
        <f t="shared" si="0"/>
        <v>2.1763950335378909E-2</v>
      </c>
      <c r="D42" s="3">
        <v>2.01E-2</v>
      </c>
      <c r="E42" s="4">
        <f t="shared" si="1"/>
        <v>1.485038788326561E-2</v>
      </c>
      <c r="F42" s="3"/>
      <c r="G42" s="4"/>
      <c r="H42" s="1">
        <v>0.55789999999999995</v>
      </c>
      <c r="I42" s="4">
        <f t="shared" si="2"/>
        <v>0.42582400593655306</v>
      </c>
      <c r="K42" s="4" t="str">
        <f t="shared" si="3"/>
        <v/>
      </c>
      <c r="L42" s="1">
        <v>105.3801</v>
      </c>
      <c r="M42" s="4">
        <f t="shared" si="4"/>
        <v>72.113158789527375</v>
      </c>
      <c r="N42" s="1">
        <v>80.416700000000006</v>
      </c>
      <c r="O42" s="4">
        <f t="shared" si="5"/>
        <v>113.52103559870551</v>
      </c>
      <c r="P42" s="1">
        <v>0.55489999999999995</v>
      </c>
      <c r="Q42" s="4">
        <f t="shared" si="6"/>
        <v>1.2223543400713437</v>
      </c>
      <c r="R42" s="1">
        <v>1.7040999999999999</v>
      </c>
      <c r="S42" s="4">
        <f t="shared" si="7"/>
        <v>2.5059452237808948</v>
      </c>
      <c r="U42" s="7" t="s">
        <v>371</v>
      </c>
      <c r="V42" s="9">
        <v>2.1763950335378909E-2</v>
      </c>
      <c r="W42" s="7">
        <v>1.485038788326561E-2</v>
      </c>
      <c r="X42" s="7"/>
      <c r="Y42" s="7">
        <v>0.42582400593655306</v>
      </c>
      <c r="Z42" s="7" t="s">
        <v>402</v>
      </c>
      <c r="AA42" s="7">
        <v>72.113158789527375</v>
      </c>
      <c r="AB42" s="7">
        <v>113.52103559870551</v>
      </c>
      <c r="AC42" s="7">
        <v>1.2223543400713437</v>
      </c>
      <c r="AD42" s="7">
        <v>2.5059452237808948</v>
      </c>
      <c r="AE42" s="1" t="s">
        <v>391</v>
      </c>
      <c r="AF42" s="1" t="s">
        <v>111</v>
      </c>
    </row>
    <row r="43" spans="1:32">
      <c r="A43" s="1" t="s">
        <v>351</v>
      </c>
      <c r="B43" s="1">
        <v>2.98E-2</v>
      </c>
      <c r="C43" s="4">
        <f t="shared" si="0"/>
        <v>2.6580562294848013E-2</v>
      </c>
      <c r="D43" s="3">
        <v>0.1915</v>
      </c>
      <c r="E43" s="4">
        <f t="shared" si="1"/>
        <v>0.14148503878832658</v>
      </c>
      <c r="F43" s="3"/>
      <c r="G43" s="4"/>
      <c r="H43" s="1">
        <v>0.16689999999999999</v>
      </c>
      <c r="I43" s="4">
        <f t="shared" si="2"/>
        <v>0.18403314575474614</v>
      </c>
      <c r="K43" s="4" t="str">
        <f t="shared" si="3"/>
        <v/>
      </c>
      <c r="L43" s="1">
        <v>48.971400000000003</v>
      </c>
      <c r="M43" s="4">
        <f t="shared" si="4"/>
        <v>33.752941176470593</v>
      </c>
      <c r="N43" s="1">
        <v>39.679600000000001</v>
      </c>
      <c r="O43" s="4">
        <f t="shared" si="5"/>
        <v>56.201350780920222</v>
      </c>
      <c r="P43" s="1">
        <v>0.19600000000000001</v>
      </c>
      <c r="Q43" s="4">
        <f t="shared" si="6"/>
        <v>0.74818337957458059</v>
      </c>
      <c r="R43" s="1">
        <v>0.48159999999999997</v>
      </c>
      <c r="S43" s="4">
        <f t="shared" si="7"/>
        <v>0.87267869071476278</v>
      </c>
      <c r="U43" s="7" t="s">
        <v>372</v>
      </c>
      <c r="V43" s="9">
        <v>2.6580562294848013E-2</v>
      </c>
      <c r="W43" s="7">
        <v>0.14148503878832658</v>
      </c>
      <c r="X43" s="7"/>
      <c r="Y43" s="7">
        <v>0.18403314575474614</v>
      </c>
      <c r="Z43" s="7" t="s">
        <v>402</v>
      </c>
      <c r="AA43" s="7">
        <v>33.752941176470593</v>
      </c>
      <c r="AB43" s="7">
        <v>56.201350780920222</v>
      </c>
      <c r="AC43" s="7">
        <v>0.74818337957458059</v>
      </c>
      <c r="AD43" s="7">
        <v>0.87267869071476278</v>
      </c>
      <c r="AE43" s="1" t="s">
        <v>391</v>
      </c>
      <c r="AF43" s="1" t="s">
        <v>111</v>
      </c>
    </row>
    <row r="44" spans="1:32">
      <c r="A44" s="1" t="s">
        <v>352</v>
      </c>
      <c r="C44" s="4">
        <f t="shared" si="0"/>
        <v>0</v>
      </c>
      <c r="D44" s="3"/>
      <c r="E44" s="4">
        <f t="shared" si="1"/>
        <v>0</v>
      </c>
      <c r="F44" s="3"/>
      <c r="G44" s="4"/>
      <c r="H44" s="1">
        <v>0.53049999999999997</v>
      </c>
      <c r="I44" s="4">
        <f t="shared" si="2"/>
        <v>0.40888009399542391</v>
      </c>
      <c r="K44" s="4" t="str">
        <f t="shared" si="3"/>
        <v/>
      </c>
      <c r="L44" s="1">
        <v>35.364199999999997</v>
      </c>
      <c r="M44" s="4">
        <f t="shared" si="4"/>
        <v>24.499489969398166</v>
      </c>
      <c r="N44" s="1">
        <v>25.8141</v>
      </c>
      <c r="O44" s="4">
        <f t="shared" si="5"/>
        <v>36.691712396229072</v>
      </c>
      <c r="P44" s="1">
        <v>0.38279999999999997</v>
      </c>
      <c r="Q44" s="4">
        <f t="shared" si="6"/>
        <v>0.99497952173338611</v>
      </c>
      <c r="R44" s="1">
        <v>0.29199999999999998</v>
      </c>
      <c r="S44" s="4">
        <f t="shared" si="7"/>
        <v>0.61937207748830991</v>
      </c>
      <c r="U44" s="7" t="s">
        <v>373</v>
      </c>
      <c r="V44" s="9">
        <v>0</v>
      </c>
      <c r="W44" s="7">
        <v>0</v>
      </c>
      <c r="X44" s="7"/>
      <c r="Y44" s="7">
        <v>0.40888009399542391</v>
      </c>
      <c r="Z44" s="7" t="s">
        <v>402</v>
      </c>
      <c r="AA44" s="7">
        <v>24.499489969398166</v>
      </c>
      <c r="AB44" s="7">
        <v>36.691712396229072</v>
      </c>
      <c r="AC44" s="7">
        <v>0.99497952173338611</v>
      </c>
      <c r="AD44" s="7">
        <v>0.61937207748830991</v>
      </c>
      <c r="AE44" s="1" t="s">
        <v>391</v>
      </c>
      <c r="AF44" s="1" t="s">
        <v>111</v>
      </c>
    </row>
    <row r="45" spans="1:32">
      <c r="A45" s="1" t="s">
        <v>353</v>
      </c>
      <c r="B45" s="1">
        <v>5.4800000000000001E-2</v>
      </c>
      <c r="C45" s="4">
        <f t="shared" si="0"/>
        <v>4.8879691736834596E-2</v>
      </c>
      <c r="D45" s="3">
        <v>0.15870000000000001</v>
      </c>
      <c r="E45" s="4">
        <f t="shared" si="1"/>
        <v>0.11725157000369413</v>
      </c>
      <c r="F45" s="3"/>
      <c r="G45" s="4"/>
      <c r="H45" s="1">
        <v>0.42459999999999998</v>
      </c>
      <c r="I45" s="4">
        <f t="shared" si="2"/>
        <v>0.34339249273390637</v>
      </c>
      <c r="K45" s="4" t="str">
        <f t="shared" si="3"/>
        <v/>
      </c>
      <c r="L45" s="1">
        <v>72.932599999999994</v>
      </c>
      <c r="M45" s="4">
        <f t="shared" si="4"/>
        <v>50.047534852091125</v>
      </c>
      <c r="N45" s="1">
        <v>46.674799999999998</v>
      </c>
      <c r="O45" s="4">
        <f t="shared" si="5"/>
        <v>66.044041086252989</v>
      </c>
      <c r="P45" s="1">
        <v>0.27150000000000002</v>
      </c>
      <c r="Q45" s="4">
        <f t="shared" si="6"/>
        <v>0.84793235566124991</v>
      </c>
      <c r="R45" s="1">
        <v>0.72340000000000004</v>
      </c>
      <c r="S45" s="4">
        <f t="shared" si="7"/>
        <v>1.1957247828991315</v>
      </c>
      <c r="U45" s="7" t="s">
        <v>374</v>
      </c>
      <c r="V45" s="9">
        <v>4.8879691736834596E-2</v>
      </c>
      <c r="W45" s="7">
        <v>0.11725157000369413</v>
      </c>
      <c r="X45" s="7"/>
      <c r="Y45" s="7">
        <v>0.34339249273390637</v>
      </c>
      <c r="Z45" s="7" t="s">
        <v>402</v>
      </c>
      <c r="AA45" s="7">
        <v>50.047534852091125</v>
      </c>
      <c r="AB45" s="7">
        <v>66.044041086252989</v>
      </c>
      <c r="AC45" s="7">
        <v>0.84793235566124991</v>
      </c>
      <c r="AD45" s="7">
        <v>1.1957247828991315</v>
      </c>
      <c r="AE45" s="1" t="s">
        <v>391</v>
      </c>
      <c r="AF45" s="1" t="s">
        <v>111</v>
      </c>
    </row>
    <row r="46" spans="1:32">
      <c r="A46" s="1" t="s">
        <v>354</v>
      </c>
      <c r="B46" s="1">
        <v>5.2999999999999999E-2</v>
      </c>
      <c r="C46" s="4">
        <f t="shared" si="0"/>
        <v>4.7274154417011563E-2</v>
      </c>
      <c r="D46" s="3">
        <v>7.6399999999999996E-2</v>
      </c>
      <c r="E46" s="4">
        <f t="shared" si="1"/>
        <v>5.6446250461765796E-2</v>
      </c>
      <c r="F46" s="3"/>
      <c r="G46" s="4"/>
      <c r="H46" s="1">
        <v>0.23569999999999999</v>
      </c>
      <c r="I46" s="4">
        <f t="shared" si="2"/>
        <v>0.22657844289159607</v>
      </c>
      <c r="K46" s="4" t="str">
        <f t="shared" si="3"/>
        <v/>
      </c>
      <c r="L46" s="1">
        <v>51.031599999999997</v>
      </c>
      <c r="M46" s="4">
        <f t="shared" si="4"/>
        <v>35.15396123767426</v>
      </c>
      <c r="N46" s="1">
        <v>45.187199999999997</v>
      </c>
      <c r="O46" s="4">
        <f t="shared" si="5"/>
        <v>63.950893485296184</v>
      </c>
      <c r="P46" s="1">
        <v>0.17810000000000001</v>
      </c>
      <c r="Q46" s="4">
        <f t="shared" si="6"/>
        <v>0.72453428458184699</v>
      </c>
      <c r="R46" s="1">
        <v>0.78520000000000001</v>
      </c>
      <c r="S46" s="4">
        <f t="shared" si="7"/>
        <v>1.2782899131596526</v>
      </c>
      <c r="U46" s="7" t="s">
        <v>375</v>
      </c>
      <c r="V46" s="9">
        <v>4.7274154417011563E-2</v>
      </c>
      <c r="W46" s="7">
        <v>5.6446250461765796E-2</v>
      </c>
      <c r="X46" s="7"/>
      <c r="Y46" s="7">
        <v>0.22657844289159607</v>
      </c>
      <c r="Z46" s="7" t="s">
        <v>402</v>
      </c>
      <c r="AA46" s="7">
        <v>35.15396123767426</v>
      </c>
      <c r="AB46" s="7">
        <v>63.950893485296184</v>
      </c>
      <c r="AC46" s="7">
        <v>0.72453428458184699</v>
      </c>
      <c r="AD46" s="7">
        <v>1.2782899131596526</v>
      </c>
      <c r="AE46" s="1" t="s">
        <v>391</v>
      </c>
      <c r="AF46" s="1" t="s">
        <v>111</v>
      </c>
    </row>
    <row r="47" spans="1:32">
      <c r="A47" s="1" t="s">
        <v>355</v>
      </c>
      <c r="B47" s="1">
        <v>1.0800000000000001E-2</v>
      </c>
      <c r="C47" s="4">
        <f t="shared" si="0"/>
        <v>9.6332239189382048E-3</v>
      </c>
      <c r="D47" s="3">
        <v>1.23E-2</v>
      </c>
      <c r="E47" s="4">
        <f t="shared" si="1"/>
        <v>9.0875507942371637E-3</v>
      </c>
      <c r="F47" s="3"/>
      <c r="G47" s="4"/>
      <c r="H47" s="1">
        <v>0.1716</v>
      </c>
      <c r="I47" s="4">
        <f t="shared" si="2"/>
        <v>0.18693958320450191</v>
      </c>
      <c r="K47" s="4" t="str">
        <f t="shared" si="3"/>
        <v/>
      </c>
      <c r="L47" s="1">
        <v>94.886799999999994</v>
      </c>
      <c r="M47" s="4">
        <f t="shared" si="4"/>
        <v>64.977286637198233</v>
      </c>
      <c r="N47" s="1">
        <v>59.459000000000003</v>
      </c>
      <c r="O47" s="4">
        <f t="shared" si="5"/>
        <v>84.032221753201071</v>
      </c>
      <c r="P47" s="1">
        <v>0.62180000000000002</v>
      </c>
      <c r="Q47" s="4">
        <f t="shared" si="6"/>
        <v>1.3107411811335712</v>
      </c>
      <c r="R47" s="1">
        <v>0.91369999999999996</v>
      </c>
      <c r="S47" s="4">
        <f t="shared" si="7"/>
        <v>1.4499665998663993</v>
      </c>
      <c r="U47" s="7" t="s">
        <v>376</v>
      </c>
      <c r="V47" s="9">
        <v>9.6332239189382048E-3</v>
      </c>
      <c r="W47" s="7">
        <v>9.0875507942371637E-3</v>
      </c>
      <c r="X47" s="7"/>
      <c r="Y47" s="7">
        <v>0.18693958320450191</v>
      </c>
      <c r="Z47" s="7" t="s">
        <v>402</v>
      </c>
      <c r="AA47" s="7">
        <v>64.977286637198233</v>
      </c>
      <c r="AB47" s="7">
        <v>84.032221753201071</v>
      </c>
      <c r="AC47" s="7">
        <v>1.3107411811335712</v>
      </c>
      <c r="AD47" s="7">
        <v>1.4499665998663993</v>
      </c>
      <c r="AE47" s="1" t="s">
        <v>391</v>
      </c>
      <c r="AF47" s="1" t="s">
        <v>111</v>
      </c>
    </row>
    <row r="48" spans="1:32">
      <c r="A48" s="1" t="s">
        <v>356</v>
      </c>
      <c r="B48" s="1">
        <v>4.1599999999999998E-2</v>
      </c>
      <c r="C48" s="4">
        <f t="shared" si="0"/>
        <v>3.7105751391465679E-2</v>
      </c>
      <c r="D48" s="3">
        <v>6.7500000000000004E-2</v>
      </c>
      <c r="E48" s="4">
        <f t="shared" si="1"/>
        <v>4.9870705578130781E-2</v>
      </c>
      <c r="F48" s="3"/>
      <c r="G48" s="4"/>
      <c r="H48" s="1">
        <v>0.24410000000000001</v>
      </c>
      <c r="I48" s="4">
        <f t="shared" si="2"/>
        <v>0.23177292684435102</v>
      </c>
      <c r="K48" s="4" t="str">
        <f t="shared" si="3"/>
        <v/>
      </c>
      <c r="L48" s="1">
        <v>88.816900000000004</v>
      </c>
      <c r="M48" s="4">
        <f t="shared" si="4"/>
        <v>60.849506970418233</v>
      </c>
      <c r="N48" s="1">
        <v>76.651499999999999</v>
      </c>
      <c r="O48" s="4">
        <f t="shared" si="5"/>
        <v>108.22316026452792</v>
      </c>
      <c r="P48" s="1">
        <v>0.38200000000000001</v>
      </c>
      <c r="Q48" s="4">
        <f t="shared" si="6"/>
        <v>0.9939225789404148</v>
      </c>
      <c r="R48" s="1">
        <v>0.3322</v>
      </c>
      <c r="S48" s="4">
        <f t="shared" si="7"/>
        <v>0.67307949231796926</v>
      </c>
      <c r="U48" s="7" t="s">
        <v>377</v>
      </c>
      <c r="V48" s="9">
        <v>3.7105751391465679E-2</v>
      </c>
      <c r="W48" s="7">
        <v>4.9870705578130781E-2</v>
      </c>
      <c r="X48" s="7"/>
      <c r="Y48" s="7">
        <v>0.23177292684435102</v>
      </c>
      <c r="Z48" s="7" t="s">
        <v>402</v>
      </c>
      <c r="AA48" s="7">
        <v>60.849506970418233</v>
      </c>
      <c r="AB48" s="7">
        <v>108.22316026452792</v>
      </c>
      <c r="AC48" s="7">
        <v>0.9939225789404148</v>
      </c>
      <c r="AD48" s="7">
        <v>0.67307949231796926</v>
      </c>
      <c r="AE48" s="1" t="s">
        <v>347</v>
      </c>
      <c r="AF48" s="1" t="s">
        <v>111</v>
      </c>
    </row>
    <row r="49" spans="1:32">
      <c r="A49" s="1" t="s">
        <v>357</v>
      </c>
      <c r="B49" s="1">
        <v>9.4999999999999998E-3</v>
      </c>
      <c r="C49" s="4">
        <f t="shared" si="0"/>
        <v>8.4736691879549013E-3</v>
      </c>
      <c r="D49" s="3">
        <v>3.44E-2</v>
      </c>
      <c r="E49" s="4">
        <f t="shared" si="1"/>
        <v>2.5415589213151093E-2</v>
      </c>
      <c r="F49" s="3"/>
      <c r="G49" s="4"/>
      <c r="H49" s="1">
        <v>7.7799999999999994E-2</v>
      </c>
      <c r="I49" s="4">
        <f t="shared" si="2"/>
        <v>0.12893451239873849</v>
      </c>
      <c r="K49" s="4" t="str">
        <f t="shared" si="3"/>
        <v/>
      </c>
      <c r="L49" s="1">
        <v>47.3919</v>
      </c>
      <c r="M49" s="4">
        <f t="shared" si="4"/>
        <v>32.678816729003742</v>
      </c>
      <c r="N49" s="1">
        <v>34.357199999999999</v>
      </c>
      <c r="O49" s="4">
        <f t="shared" si="5"/>
        <v>48.712396229069931</v>
      </c>
      <c r="Q49" s="4" t="str">
        <f t="shared" si="6"/>
        <v/>
      </c>
      <c r="R49" s="1">
        <v>0.2092</v>
      </c>
      <c r="S49" s="4">
        <f t="shared" si="7"/>
        <v>0.50875083500334006</v>
      </c>
      <c r="U49" s="7" t="s">
        <v>378</v>
      </c>
      <c r="V49" s="9">
        <v>8.4736691879549013E-3</v>
      </c>
      <c r="W49" s="7">
        <v>2.5415589213151093E-2</v>
      </c>
      <c r="X49" s="7"/>
      <c r="Y49" s="7">
        <v>0.12893451239873849</v>
      </c>
      <c r="Z49" s="7" t="s">
        <v>402</v>
      </c>
      <c r="AA49" s="7">
        <v>32.678816729003742</v>
      </c>
      <c r="AB49" s="7">
        <v>48.712396229069931</v>
      </c>
      <c r="AC49" s="7" t="s">
        <v>402</v>
      </c>
      <c r="AD49" s="7">
        <v>0.50875083500334006</v>
      </c>
      <c r="AE49" s="1" t="s">
        <v>347</v>
      </c>
      <c r="AF49" s="1" t="s">
        <v>111</v>
      </c>
    </row>
    <row r="50" spans="1:32">
      <c r="A50" s="1" t="s">
        <v>358</v>
      </c>
      <c r="B50" s="1">
        <v>4.1399999999999999E-2</v>
      </c>
      <c r="C50" s="4">
        <f t="shared" si="0"/>
        <v>3.6927358355929786E-2</v>
      </c>
      <c r="D50" s="3">
        <v>2.4500000000000001E-2</v>
      </c>
      <c r="E50" s="4">
        <f t="shared" si="1"/>
        <v>1.8101219061691914E-2</v>
      </c>
      <c r="F50" s="3"/>
      <c r="G50" s="4"/>
      <c r="H50" s="1">
        <v>0.22509999999999999</v>
      </c>
      <c r="I50" s="4">
        <f t="shared" si="2"/>
        <v>0.22002349885597675</v>
      </c>
      <c r="K50" s="4" t="str">
        <f t="shared" si="3"/>
        <v/>
      </c>
      <c r="L50" s="1">
        <v>68.156400000000005</v>
      </c>
      <c r="M50" s="4">
        <f t="shared" si="4"/>
        <v>46.79952397143829</v>
      </c>
      <c r="N50" s="1">
        <v>49.248899999999999</v>
      </c>
      <c r="O50" s="4">
        <f t="shared" si="5"/>
        <v>69.665963134937385</v>
      </c>
      <c r="P50" s="1">
        <v>3.27E-2</v>
      </c>
      <c r="Q50" s="4">
        <f t="shared" si="6"/>
        <v>0.53243493195930769</v>
      </c>
      <c r="R50" s="1">
        <v>0.26169999999999999</v>
      </c>
      <c r="S50" s="4">
        <f t="shared" si="7"/>
        <v>0.57889111556446227</v>
      </c>
      <c r="U50" s="7" t="s">
        <v>379</v>
      </c>
      <c r="V50" s="9">
        <v>3.6927358355929786E-2</v>
      </c>
      <c r="W50" s="7">
        <v>1.8101219061691914E-2</v>
      </c>
      <c r="X50" s="7"/>
      <c r="Y50" s="7">
        <v>0.22002349885597675</v>
      </c>
      <c r="Z50" s="7" t="s">
        <v>402</v>
      </c>
      <c r="AA50" s="7">
        <v>46.79952397143829</v>
      </c>
      <c r="AB50" s="7">
        <v>69.665963134937385</v>
      </c>
      <c r="AC50" s="7">
        <v>0.53243493195930769</v>
      </c>
      <c r="AD50" s="7">
        <v>0.57889111556446227</v>
      </c>
      <c r="AE50" s="1" t="s">
        <v>347</v>
      </c>
      <c r="AF50" s="1" t="s">
        <v>111</v>
      </c>
    </row>
    <row r="51" spans="1:32">
      <c r="A51" s="1" t="s">
        <v>359</v>
      </c>
      <c r="B51" s="1">
        <v>1.8100000000000002E-2</v>
      </c>
      <c r="C51" s="4">
        <f t="shared" si="0"/>
        <v>1.6144569715998289E-2</v>
      </c>
      <c r="D51" s="3">
        <v>1.12E-2</v>
      </c>
      <c r="E51" s="4">
        <f t="shared" si="1"/>
        <v>8.2748429996305876E-3</v>
      </c>
      <c r="F51" s="3"/>
      <c r="G51" s="4"/>
      <c r="I51" s="4" t="str">
        <f t="shared" si="2"/>
        <v/>
      </c>
      <c r="K51" s="4" t="str">
        <f t="shared" si="3"/>
        <v/>
      </c>
      <c r="L51" s="1">
        <v>47.2117</v>
      </c>
      <c r="M51" s="4">
        <f t="shared" si="4"/>
        <v>32.556273376402586</v>
      </c>
      <c r="N51" s="1">
        <v>34.476700000000001</v>
      </c>
      <c r="O51" s="4">
        <f t="shared" si="5"/>
        <v>48.88054031236809</v>
      </c>
      <c r="P51" s="1">
        <v>1.109</v>
      </c>
      <c r="Q51" s="4">
        <f t="shared" si="6"/>
        <v>1.9544193420531115</v>
      </c>
      <c r="R51" s="1">
        <v>0.49</v>
      </c>
      <c r="S51" s="4">
        <f t="shared" si="7"/>
        <v>0.88390113560454231</v>
      </c>
      <c r="U51" s="7" t="s">
        <v>380</v>
      </c>
      <c r="V51" s="9">
        <v>1.6144569715998289E-2</v>
      </c>
      <c r="W51" s="7">
        <v>8.2748429996305876E-3</v>
      </c>
      <c r="X51" s="7"/>
      <c r="Y51" s="7" t="s">
        <v>402</v>
      </c>
      <c r="Z51" s="7" t="s">
        <v>402</v>
      </c>
      <c r="AA51" s="7">
        <v>32.556273376402586</v>
      </c>
      <c r="AB51" s="7">
        <v>48.88054031236809</v>
      </c>
      <c r="AC51" s="7">
        <v>1.9544193420531115</v>
      </c>
      <c r="AD51" s="7">
        <v>0.88390113560454231</v>
      </c>
      <c r="AE51" s="1" t="s">
        <v>347</v>
      </c>
      <c r="AF51" s="1" t="s">
        <v>111</v>
      </c>
    </row>
    <row r="52" spans="1:32">
      <c r="A52" s="1" t="s">
        <v>360</v>
      </c>
      <c r="B52" s="1">
        <v>4.2099999999999999E-2</v>
      </c>
      <c r="C52" s="4">
        <f t="shared" si="0"/>
        <v>3.755173398030541E-2</v>
      </c>
      <c r="D52" s="3">
        <v>4.0800000000000003E-2</v>
      </c>
      <c r="E52" s="4">
        <f t="shared" si="1"/>
        <v>3.0144070927225715E-2</v>
      </c>
      <c r="F52" s="3"/>
      <c r="G52" s="4"/>
      <c r="H52" s="1">
        <v>0.1411</v>
      </c>
      <c r="I52" s="4">
        <f t="shared" si="2"/>
        <v>0.16807865932842747</v>
      </c>
      <c r="K52" s="4" t="str">
        <f t="shared" si="3"/>
        <v/>
      </c>
      <c r="L52" s="1">
        <v>62.528300000000002</v>
      </c>
      <c r="M52" s="4">
        <f t="shared" si="4"/>
        <v>42.972186331179877</v>
      </c>
      <c r="N52" s="1">
        <v>47.759900000000002</v>
      </c>
      <c r="O52" s="4">
        <f t="shared" si="5"/>
        <v>67.570845645138604</v>
      </c>
      <c r="P52" s="1">
        <v>0.22420000000000001</v>
      </c>
      <c r="Q52" s="4">
        <f t="shared" si="6"/>
        <v>0.78544061302681989</v>
      </c>
      <c r="R52" s="1">
        <v>1.0572999999999999</v>
      </c>
      <c r="S52" s="4">
        <f t="shared" si="7"/>
        <v>1.6418169672678689</v>
      </c>
      <c r="U52" s="7" t="s">
        <v>381</v>
      </c>
      <c r="V52" s="9">
        <v>3.755173398030541E-2</v>
      </c>
      <c r="W52" s="7">
        <v>3.0144070927225715E-2</v>
      </c>
      <c r="X52" s="7"/>
      <c r="Y52" s="7">
        <v>0.16807865932842747</v>
      </c>
      <c r="Z52" s="7" t="s">
        <v>402</v>
      </c>
      <c r="AA52" s="7">
        <v>42.972186331179877</v>
      </c>
      <c r="AB52" s="7">
        <v>67.570845645138604</v>
      </c>
      <c r="AC52" s="7">
        <v>0.78544061302681989</v>
      </c>
      <c r="AD52" s="7">
        <v>1.6418169672678689</v>
      </c>
      <c r="AE52" s="1" t="s">
        <v>348</v>
      </c>
      <c r="AF52" s="1" t="s">
        <v>111</v>
      </c>
    </row>
    <row r="53" spans="1:32">
      <c r="A53" s="1" t="s">
        <v>361</v>
      </c>
      <c r="B53" s="1">
        <v>4.2500000000000003E-2</v>
      </c>
      <c r="C53" s="4">
        <f t="shared" si="0"/>
        <v>3.7908520051377195E-2</v>
      </c>
      <c r="D53" s="3">
        <v>7.8200000000000006E-2</v>
      </c>
      <c r="E53" s="4">
        <f t="shared" si="1"/>
        <v>5.7776135943849283E-2</v>
      </c>
      <c r="F53" s="3"/>
      <c r="G53" s="4"/>
      <c r="H53" s="1">
        <v>0.16889999999999999</v>
      </c>
      <c r="I53" s="4">
        <f t="shared" si="2"/>
        <v>0.18526992764825922</v>
      </c>
      <c r="K53" s="4" t="str">
        <f t="shared" si="3"/>
        <v/>
      </c>
      <c r="L53" s="1">
        <v>47.25</v>
      </c>
      <c r="M53" s="4">
        <f t="shared" si="4"/>
        <v>32.58231893913635</v>
      </c>
      <c r="N53" s="1">
        <v>37.579300000000003</v>
      </c>
      <c r="O53" s="4">
        <f t="shared" si="5"/>
        <v>53.246095398902497</v>
      </c>
      <c r="P53" s="1">
        <v>0.1978</v>
      </c>
      <c r="Q53" s="4">
        <f t="shared" si="6"/>
        <v>0.75056150085876605</v>
      </c>
      <c r="R53" s="1">
        <v>0.66990000000000005</v>
      </c>
      <c r="S53" s="4">
        <f t="shared" si="7"/>
        <v>1.1242484969939879</v>
      </c>
      <c r="U53" s="7" t="s">
        <v>382</v>
      </c>
      <c r="V53" s="9">
        <v>3.7908520051377195E-2</v>
      </c>
      <c r="W53" s="7">
        <v>5.7776135943849283E-2</v>
      </c>
      <c r="X53" s="7"/>
      <c r="Y53" s="7">
        <v>0.18526992764825922</v>
      </c>
      <c r="Z53" s="7" t="s">
        <v>402</v>
      </c>
      <c r="AA53" s="7">
        <v>32.58231893913635</v>
      </c>
      <c r="AB53" s="7">
        <v>53.246095398902497</v>
      </c>
      <c r="AC53" s="7">
        <v>0.75056150085876605</v>
      </c>
      <c r="AD53" s="7">
        <v>1.1242484969939879</v>
      </c>
      <c r="AE53" s="1" t="s">
        <v>348</v>
      </c>
      <c r="AF53" s="1" t="s">
        <v>111</v>
      </c>
    </row>
    <row r="54" spans="1:32">
      <c r="A54" s="1" t="s">
        <v>362</v>
      </c>
      <c r="B54" s="1">
        <v>4.7100000000000003E-2</v>
      </c>
      <c r="C54" s="4">
        <f t="shared" si="0"/>
        <v>4.2011559868702725E-2</v>
      </c>
      <c r="D54" s="3">
        <v>1.7500000000000002E-2</v>
      </c>
      <c r="E54" s="4">
        <f t="shared" si="1"/>
        <v>1.2929442186922794E-2</v>
      </c>
      <c r="F54" s="3"/>
      <c r="G54" s="4"/>
      <c r="H54" s="1">
        <v>0.37630000000000002</v>
      </c>
      <c r="I54" s="4">
        <f t="shared" si="2"/>
        <v>0.31352421000556552</v>
      </c>
      <c r="K54" s="4" t="str">
        <f t="shared" si="3"/>
        <v/>
      </c>
      <c r="L54" s="1">
        <v>52.968299999999999</v>
      </c>
      <c r="M54" s="4">
        <f t="shared" si="4"/>
        <v>36.470996259775589</v>
      </c>
      <c r="N54" s="1">
        <v>53.126199999999997</v>
      </c>
      <c r="O54" s="4">
        <f t="shared" si="5"/>
        <v>75.121570282819761</v>
      </c>
      <c r="P54" s="1">
        <v>0.4476</v>
      </c>
      <c r="Q54" s="4">
        <f t="shared" si="6"/>
        <v>1.0805918879640639</v>
      </c>
      <c r="R54" s="1">
        <v>0.19</v>
      </c>
      <c r="S54" s="4">
        <f t="shared" si="7"/>
        <v>0.48309953239812958</v>
      </c>
      <c r="U54" s="7" t="s">
        <v>383</v>
      </c>
      <c r="V54" s="9">
        <v>4.2011559868702725E-2</v>
      </c>
      <c r="W54" s="7">
        <v>1.2929442186922794E-2</v>
      </c>
      <c r="X54" s="7"/>
      <c r="Y54" s="7">
        <v>0.31352421000556552</v>
      </c>
      <c r="Z54" s="7" t="s">
        <v>402</v>
      </c>
      <c r="AA54" s="7">
        <v>36.470996259775589</v>
      </c>
      <c r="AB54" s="7">
        <v>75.121570282819761</v>
      </c>
      <c r="AC54" s="7">
        <v>1.0805918879640639</v>
      </c>
      <c r="AD54" s="7">
        <v>0.48309953239812958</v>
      </c>
      <c r="AE54" s="1" t="s">
        <v>348</v>
      </c>
      <c r="AF54" s="1" t="s">
        <v>111</v>
      </c>
    </row>
    <row r="55" spans="1:32">
      <c r="A55" s="1" t="s">
        <v>363</v>
      </c>
      <c r="B55" s="1">
        <v>7.0000000000000001E-3</v>
      </c>
      <c r="C55" s="4">
        <f t="shared" si="0"/>
        <v>6.243756243756244E-3</v>
      </c>
      <c r="D55" s="3">
        <v>1.38E-2</v>
      </c>
      <c r="E55" s="4">
        <f t="shared" si="1"/>
        <v>1.0195788695973403E-2</v>
      </c>
      <c r="F55" s="3"/>
      <c r="G55" s="4"/>
      <c r="H55" s="1">
        <v>4.3799999999999999E-2</v>
      </c>
      <c r="I55" s="4">
        <f t="shared" si="2"/>
        <v>0.10790922020901615</v>
      </c>
      <c r="K55" s="4" t="str">
        <f t="shared" si="3"/>
        <v/>
      </c>
      <c r="L55" s="1">
        <v>11.7721</v>
      </c>
      <c r="M55" s="4">
        <f t="shared" si="4"/>
        <v>8.4558993539612377</v>
      </c>
      <c r="N55" s="1">
        <v>10.7903</v>
      </c>
      <c r="O55" s="4">
        <f t="shared" si="5"/>
        <v>15.552272407485578</v>
      </c>
      <c r="Q55" s="4" t="str">
        <f t="shared" si="6"/>
        <v/>
      </c>
      <c r="R55" s="1">
        <v>0.18479999999999999</v>
      </c>
      <c r="S55" s="4">
        <f t="shared" si="7"/>
        <v>0.47615230460921837</v>
      </c>
      <c r="U55" s="7" t="s">
        <v>384</v>
      </c>
      <c r="V55" s="9">
        <v>6.243756243756244E-3</v>
      </c>
      <c r="W55" s="7">
        <v>1.0195788695973403E-2</v>
      </c>
      <c r="X55" s="7"/>
      <c r="Y55" s="7">
        <v>0.10790922020901615</v>
      </c>
      <c r="Z55" s="7" t="s">
        <v>402</v>
      </c>
      <c r="AA55" s="7">
        <v>8.4558993539612377</v>
      </c>
      <c r="AB55" s="7">
        <v>15.552272407485578</v>
      </c>
      <c r="AC55" s="7" t="s">
        <v>402</v>
      </c>
      <c r="AD55" s="7">
        <v>0.47615230460921837</v>
      </c>
      <c r="AE55" s="1" t="s">
        <v>348</v>
      </c>
      <c r="AF55" s="1" t="s">
        <v>111</v>
      </c>
    </row>
    <row r="56" spans="1:32">
      <c r="A56" s="1" t="s">
        <v>364</v>
      </c>
      <c r="B56" s="1">
        <v>0.1686</v>
      </c>
      <c r="C56" s="4">
        <f t="shared" si="0"/>
        <v>0.15038532895675752</v>
      </c>
      <c r="D56" s="3">
        <v>6.54E-2</v>
      </c>
      <c r="E56" s="4">
        <f t="shared" si="1"/>
        <v>4.8319172515700039E-2</v>
      </c>
      <c r="F56" s="3"/>
      <c r="G56" s="4"/>
      <c r="H56" s="1">
        <v>0.1608</v>
      </c>
      <c r="I56" s="4">
        <f t="shared" si="2"/>
        <v>0.18026096097953126</v>
      </c>
      <c r="K56" s="4" t="str">
        <f t="shared" si="3"/>
        <v/>
      </c>
      <c r="L56" s="1">
        <v>96.177199999999999</v>
      </c>
      <c r="M56" s="4">
        <f t="shared" si="4"/>
        <v>65.854811288677325</v>
      </c>
      <c r="N56" s="1">
        <v>64.608800000000002</v>
      </c>
      <c r="O56" s="4">
        <f t="shared" si="5"/>
        <v>91.278317152103554</v>
      </c>
      <c r="P56" s="1">
        <v>0.1915</v>
      </c>
      <c r="Q56" s="4">
        <f t="shared" si="6"/>
        <v>0.74223807636411687</v>
      </c>
      <c r="R56" s="1">
        <v>1.6174999999999999</v>
      </c>
      <c r="S56" s="4">
        <f t="shared" si="7"/>
        <v>2.3902471609886438</v>
      </c>
      <c r="U56" s="7" t="s">
        <v>385</v>
      </c>
      <c r="V56" s="9">
        <v>0.15038532895675752</v>
      </c>
      <c r="W56" s="7">
        <v>4.8319172515700039E-2</v>
      </c>
      <c r="X56" s="7"/>
      <c r="Y56" s="7">
        <v>0.18026096097953126</v>
      </c>
      <c r="Z56" s="7" t="s">
        <v>402</v>
      </c>
      <c r="AA56" s="7">
        <v>65.854811288677325</v>
      </c>
      <c r="AB56" s="7">
        <v>91.278317152103554</v>
      </c>
      <c r="AC56" s="7">
        <v>0.74223807636411687</v>
      </c>
      <c r="AD56" s="7">
        <v>2.3902471609886438</v>
      </c>
      <c r="AE56" s="1" t="s">
        <v>392</v>
      </c>
      <c r="AF56" s="1" t="s">
        <v>111</v>
      </c>
    </row>
    <row r="57" spans="1:32">
      <c r="A57" s="1" t="s">
        <v>365</v>
      </c>
      <c r="B57" s="1">
        <v>0.1182</v>
      </c>
      <c r="C57" s="4">
        <f t="shared" si="0"/>
        <v>0.10543028400171256</v>
      </c>
      <c r="D57" s="3"/>
      <c r="E57" s="4">
        <f t="shared" si="1"/>
        <v>0</v>
      </c>
      <c r="F57" s="3"/>
      <c r="G57" s="4"/>
      <c r="H57" s="1">
        <v>1.95E-2</v>
      </c>
      <c r="I57" s="4">
        <f t="shared" si="2"/>
        <v>9.2882320202832228E-2</v>
      </c>
      <c r="K57" s="4" t="str">
        <f t="shared" si="3"/>
        <v/>
      </c>
      <c r="L57" s="1">
        <v>20.116</v>
      </c>
      <c r="M57" s="4">
        <f t="shared" si="4"/>
        <v>14.13009180550833</v>
      </c>
      <c r="N57" s="1">
        <v>14.359500000000001</v>
      </c>
      <c r="O57" s="4">
        <f t="shared" si="5"/>
        <v>20.574363303785002</v>
      </c>
      <c r="P57" s="1">
        <v>0.13070000000000001</v>
      </c>
      <c r="Q57" s="4">
        <f t="shared" si="6"/>
        <v>0.6619104240982957</v>
      </c>
      <c r="R57" s="1">
        <v>0.22900000000000001</v>
      </c>
      <c r="S57" s="4">
        <f t="shared" si="7"/>
        <v>0.53520374081496325</v>
      </c>
      <c r="U57" s="7" t="s">
        <v>386</v>
      </c>
      <c r="V57" s="7">
        <v>0.10543028400171256</v>
      </c>
      <c r="W57" s="7">
        <v>0</v>
      </c>
      <c r="X57" s="7"/>
      <c r="Y57" s="7">
        <v>9.2882320202832228E-2</v>
      </c>
      <c r="Z57" s="7" t="s">
        <v>402</v>
      </c>
      <c r="AA57" s="7">
        <v>14.13009180550833</v>
      </c>
      <c r="AB57" s="7">
        <v>20.574363303785002</v>
      </c>
      <c r="AC57" s="7">
        <v>0.6619104240982957</v>
      </c>
      <c r="AD57" s="7">
        <v>0.53520374081496325</v>
      </c>
      <c r="AE57" s="1" t="s">
        <v>392</v>
      </c>
      <c r="AF57" s="1" t="s">
        <v>111</v>
      </c>
    </row>
    <row r="58" spans="1:32">
      <c r="A58" s="1" t="s">
        <v>366</v>
      </c>
      <c r="B58" s="1">
        <v>0.30070000000000002</v>
      </c>
      <c r="C58" s="4">
        <f t="shared" si="0"/>
        <v>0.26821392892821466</v>
      </c>
      <c r="D58" s="3">
        <v>1.6E-2</v>
      </c>
      <c r="E58" s="4">
        <f t="shared" si="1"/>
        <v>1.1821204285186555E-2</v>
      </c>
      <c r="F58" s="3"/>
      <c r="G58" s="4"/>
      <c r="H58" s="1">
        <v>8.43E-2</v>
      </c>
      <c r="I58" s="4">
        <f t="shared" si="2"/>
        <v>0.13295405355265599</v>
      </c>
      <c r="K58" s="4" t="str">
        <f t="shared" si="3"/>
        <v/>
      </c>
      <c r="L58" s="1">
        <v>42.184899999999999</v>
      </c>
      <c r="M58" s="4">
        <f t="shared" si="4"/>
        <v>29.137844270656242</v>
      </c>
      <c r="N58" s="1">
        <v>29.76</v>
      </c>
      <c r="O58" s="4">
        <f t="shared" si="5"/>
        <v>42.243844097368793</v>
      </c>
      <c r="P58" s="1">
        <v>0.16059999999999999</v>
      </c>
      <c r="Q58" s="4">
        <f t="shared" si="6"/>
        <v>0.70141366098559921</v>
      </c>
      <c r="R58" s="1">
        <v>0.56130000000000002</v>
      </c>
      <c r="S58" s="4">
        <f t="shared" si="7"/>
        <v>0.97915831663326647</v>
      </c>
      <c r="U58" s="7" t="s">
        <v>387</v>
      </c>
      <c r="V58" s="7">
        <v>0.26821392892821466</v>
      </c>
      <c r="W58" s="7">
        <v>1.1821204285186555E-2</v>
      </c>
      <c r="X58" s="7"/>
      <c r="Y58" s="7">
        <v>0.13295405355265599</v>
      </c>
      <c r="Z58" s="7" t="s">
        <v>402</v>
      </c>
      <c r="AA58" s="7">
        <v>29.137844270656242</v>
      </c>
      <c r="AB58" s="7">
        <v>42.243844097368793</v>
      </c>
      <c r="AC58" s="7">
        <v>0.70141366098559921</v>
      </c>
      <c r="AD58" s="7">
        <v>0.97915831663326647</v>
      </c>
      <c r="AE58" s="1" t="s">
        <v>392</v>
      </c>
      <c r="AF58" s="1" t="s">
        <v>111</v>
      </c>
    </row>
    <row r="59" spans="1:32">
      <c r="A59" s="1" t="s">
        <v>367</v>
      </c>
      <c r="B59" s="1">
        <v>8.7499999999999994E-2</v>
      </c>
      <c r="C59" s="4">
        <f t="shared" si="0"/>
        <v>7.8046953046953041E-2</v>
      </c>
      <c r="D59" s="3">
        <v>2.7799999999999998E-2</v>
      </c>
      <c r="E59" s="4">
        <f t="shared" si="1"/>
        <v>2.0539342445511637E-2</v>
      </c>
      <c r="F59" s="3"/>
      <c r="G59" s="4"/>
      <c r="H59" s="1">
        <v>0.1615</v>
      </c>
      <c r="I59" s="4">
        <f t="shared" si="2"/>
        <v>0.18069383464226085</v>
      </c>
      <c r="K59" s="4" t="str">
        <f t="shared" si="3"/>
        <v/>
      </c>
      <c r="L59" s="1">
        <v>45.2361</v>
      </c>
      <c r="M59" s="4">
        <f t="shared" si="4"/>
        <v>31.212784767086028</v>
      </c>
      <c r="N59" s="1">
        <v>33.132199999999997</v>
      </c>
      <c r="O59" s="4">
        <f t="shared" si="5"/>
        <v>46.988743492331501</v>
      </c>
      <c r="P59" s="1">
        <v>0.1971</v>
      </c>
      <c r="Q59" s="4">
        <f t="shared" si="6"/>
        <v>0.74963667591491612</v>
      </c>
      <c r="R59" s="1">
        <v>0.53300000000000003</v>
      </c>
      <c r="S59" s="4">
        <f t="shared" si="7"/>
        <v>0.9413493653974615</v>
      </c>
      <c r="U59" s="7" t="s">
        <v>388</v>
      </c>
      <c r="V59" s="7">
        <v>7.8046953046953041E-2</v>
      </c>
      <c r="W59" s="7">
        <v>2.0539342445511637E-2</v>
      </c>
      <c r="X59" s="7"/>
      <c r="Y59" s="7">
        <v>0.18069383464226085</v>
      </c>
      <c r="Z59" s="7" t="s">
        <v>402</v>
      </c>
      <c r="AA59" s="7">
        <v>31.212784767086028</v>
      </c>
      <c r="AB59" s="7">
        <v>46.988743492331501</v>
      </c>
      <c r="AC59" s="7">
        <v>0.74963667591491612</v>
      </c>
      <c r="AD59" s="7">
        <v>0.9413493653974615</v>
      </c>
      <c r="AE59" s="1" t="s">
        <v>392</v>
      </c>
      <c r="AF59" s="1" t="s">
        <v>111</v>
      </c>
    </row>
    <row r="60" spans="1:32">
      <c r="A60" s="1" t="s">
        <v>368</v>
      </c>
      <c r="B60" s="1">
        <v>0.4209</v>
      </c>
      <c r="C60" s="4">
        <f t="shared" si="0"/>
        <v>0.37542814328528618</v>
      </c>
      <c r="D60" s="3">
        <v>7.3099999999999998E-2</v>
      </c>
      <c r="E60" s="4">
        <f t="shared" si="1"/>
        <v>5.4008127077946069E-2</v>
      </c>
      <c r="F60" s="3"/>
      <c r="G60" s="4"/>
      <c r="H60" s="1">
        <v>0.1263</v>
      </c>
      <c r="I60" s="4">
        <f t="shared" si="2"/>
        <v>0.15892647331643064</v>
      </c>
      <c r="K60" s="4" t="str">
        <f t="shared" si="3"/>
        <v/>
      </c>
      <c r="L60" s="1">
        <v>148.3288</v>
      </c>
      <c r="M60" s="4">
        <f t="shared" si="4"/>
        <v>101.3200272016321</v>
      </c>
      <c r="N60" s="1">
        <v>101.7757</v>
      </c>
      <c r="O60" s="4">
        <f t="shared" si="5"/>
        <v>143.57450401013085</v>
      </c>
      <c r="Q60" s="4" t="str">
        <f t="shared" si="6"/>
        <v/>
      </c>
      <c r="R60" s="1">
        <v>2.6419000000000001</v>
      </c>
      <c r="S60" s="4">
        <f t="shared" si="7"/>
        <v>3.7588510354041418</v>
      </c>
      <c r="U60" s="7" t="s">
        <v>389</v>
      </c>
      <c r="V60" s="7">
        <v>0.37542814328528618</v>
      </c>
      <c r="W60" s="7">
        <v>5.4008127077946069E-2</v>
      </c>
      <c r="X60" s="7"/>
      <c r="Y60" s="7">
        <v>0.15892647331643064</v>
      </c>
      <c r="Z60" s="7" t="s">
        <v>402</v>
      </c>
      <c r="AA60" s="7">
        <v>101.3200272016321</v>
      </c>
      <c r="AB60" s="7">
        <v>143.57450401013085</v>
      </c>
      <c r="AC60" s="7" t="s">
        <v>402</v>
      </c>
      <c r="AD60" s="7">
        <v>3.7588510354041418</v>
      </c>
      <c r="AE60" s="1" t="s">
        <v>392</v>
      </c>
      <c r="AF60" s="1" t="s">
        <v>111</v>
      </c>
    </row>
    <row r="61" spans="1:32">
      <c r="A61" s="1" t="s">
        <v>369</v>
      </c>
      <c r="B61" s="1">
        <v>0.52629999999999999</v>
      </c>
      <c r="C61" s="4">
        <f t="shared" si="0"/>
        <v>0.46944127301270155</v>
      </c>
      <c r="D61" s="3">
        <v>2.47E-2</v>
      </c>
      <c r="E61" s="4">
        <f t="shared" si="1"/>
        <v>1.8248984115256741E-2</v>
      </c>
      <c r="F61" s="3"/>
      <c r="G61" s="4"/>
      <c r="H61" s="1">
        <v>8.1799999999999998E-2</v>
      </c>
      <c r="I61" s="4">
        <f t="shared" si="2"/>
        <v>0.13140807618576467</v>
      </c>
      <c r="K61" s="4" t="str">
        <f t="shared" si="3"/>
        <v/>
      </c>
      <c r="L61" s="1">
        <v>85.798599999999993</v>
      </c>
      <c r="M61" s="4">
        <f t="shared" si="4"/>
        <v>58.796939816388985</v>
      </c>
      <c r="N61" s="1">
        <v>59.8277</v>
      </c>
      <c r="O61" s="4">
        <f t="shared" si="5"/>
        <v>84.551006050372877</v>
      </c>
      <c r="Q61" s="4" t="str">
        <f t="shared" si="6"/>
        <v/>
      </c>
      <c r="R61" s="1">
        <v>1.6358999999999999</v>
      </c>
      <c r="S61" s="4">
        <f t="shared" si="7"/>
        <v>2.4148296593186371</v>
      </c>
      <c r="U61" s="7" t="s">
        <v>390</v>
      </c>
      <c r="V61" s="7">
        <v>0.46944127301270155</v>
      </c>
      <c r="W61" s="7">
        <v>1.8248984115256741E-2</v>
      </c>
      <c r="X61" s="7"/>
      <c r="Y61" s="7">
        <v>0.13140807618576467</v>
      </c>
      <c r="Z61" s="7" t="s">
        <v>402</v>
      </c>
      <c r="AA61" s="7">
        <v>58.796939816388985</v>
      </c>
      <c r="AB61" s="7">
        <v>84.551006050372877</v>
      </c>
      <c r="AC61" s="7" t="s">
        <v>402</v>
      </c>
      <c r="AD61" s="7">
        <v>2.4148296593186371</v>
      </c>
      <c r="AE61" s="1" t="s">
        <v>392</v>
      </c>
      <c r="AF61" s="1" t="s">
        <v>111</v>
      </c>
    </row>
    <row r="62" spans="1:32">
      <c r="C62" s="4"/>
      <c r="D62" s="3"/>
      <c r="E62" s="8"/>
      <c r="F62" s="3"/>
      <c r="G62" s="4"/>
      <c r="I62" s="4"/>
      <c r="K62" s="4"/>
      <c r="S62" s="4"/>
    </row>
    <row r="63" spans="1:32">
      <c r="C63" s="4"/>
      <c r="D63" s="3"/>
      <c r="E63" s="3"/>
      <c r="F63" s="3"/>
      <c r="G63" s="4"/>
      <c r="I63" s="4"/>
      <c r="K63" s="4"/>
      <c r="S63" s="4"/>
    </row>
    <row r="64" spans="1:32">
      <c r="C64" s="4"/>
      <c r="D64" s="3"/>
      <c r="E64" s="3"/>
      <c r="F64" s="3"/>
      <c r="G64" s="4"/>
      <c r="I64" s="4"/>
      <c r="K64" s="4"/>
      <c r="S64" s="4"/>
    </row>
  </sheetData>
  <phoneticPr fontId="1" type="noConversion"/>
  <conditionalFormatting sqref="AE40:AF40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U38:AD38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107"/>
  <sheetViews>
    <sheetView zoomScale="84" workbookViewId="0">
      <selection activeCell="L9" sqref="L9"/>
    </sheetView>
  </sheetViews>
  <sheetFormatPr defaultColWidth="9.08984375" defaultRowHeight="14.5"/>
  <cols>
    <col min="1" max="3" width="9.54296875" style="1" customWidth="1"/>
    <col min="4" max="4" width="12.81640625" style="1" bestFit="1" customWidth="1"/>
    <col min="5" max="5" width="8.81640625" style="1" customWidth="1"/>
    <col min="6" max="6" width="15" style="1" bestFit="1" customWidth="1"/>
    <col min="7" max="7" width="10.54296875" style="1" customWidth="1"/>
    <col min="8" max="8" width="12.81640625" style="1" bestFit="1" customWidth="1"/>
    <col min="9" max="9" width="10.453125" style="1" bestFit="1" customWidth="1"/>
    <col min="10" max="10" width="11.7265625" style="1" bestFit="1" customWidth="1"/>
    <col min="11" max="11" width="11.7265625" style="1" customWidth="1"/>
    <col min="12" max="12" width="17.26953125" style="1" bestFit="1" customWidth="1"/>
    <col min="13" max="14" width="10.453125" style="1" customWidth="1"/>
    <col min="15" max="15" width="12.90625" style="1" bestFit="1" customWidth="1"/>
    <col min="16" max="16" width="13.90625" style="1" bestFit="1" customWidth="1"/>
    <col min="17" max="17" width="11.81640625" style="1" bestFit="1" customWidth="1"/>
    <col min="18" max="18" width="9.6328125" style="1" bestFit="1" customWidth="1"/>
    <col min="19" max="20" width="9.54296875" style="1" customWidth="1"/>
    <col min="21" max="21" width="12.90625" style="1" bestFit="1" customWidth="1"/>
    <col min="22" max="22" width="10.453125" style="1" bestFit="1" customWidth="1"/>
    <col min="23" max="23" width="12.81640625" style="1" bestFit="1" customWidth="1"/>
    <col min="24" max="24" width="11.7265625" style="1" bestFit="1" customWidth="1"/>
    <col min="25" max="25" width="9.54296875" style="1" customWidth="1"/>
    <col min="26" max="26" width="9.453125" style="1" bestFit="1" customWidth="1"/>
    <col min="27" max="27" width="11.7265625" style="1" bestFit="1" customWidth="1"/>
    <col min="28" max="28" width="16.08984375" style="1" bestFit="1" customWidth="1"/>
    <col min="29" max="29" width="11.7265625" style="1" bestFit="1" customWidth="1"/>
    <col min="30" max="30" width="12.81640625" style="1" bestFit="1" customWidth="1"/>
    <col min="31" max="34" width="11.7265625" style="1" bestFit="1" customWidth="1"/>
    <col min="35" max="16384" width="9.08984375" style="1"/>
  </cols>
  <sheetData>
    <row r="1" spans="1:24" ht="29">
      <c r="A1" s="1" t="s">
        <v>406</v>
      </c>
      <c r="C1" s="1" t="s">
        <v>407</v>
      </c>
      <c r="E1" s="1" t="s">
        <v>408</v>
      </c>
      <c r="G1" s="1" t="s">
        <v>409</v>
      </c>
      <c r="I1" s="1" t="s">
        <v>455</v>
      </c>
      <c r="K1" s="1" t="s">
        <v>411</v>
      </c>
      <c r="M1" s="1" t="s">
        <v>412</v>
      </c>
      <c r="O1" s="1" t="s">
        <v>413</v>
      </c>
      <c r="Q1" s="1" t="s">
        <v>414</v>
      </c>
      <c r="S1" s="1" t="s">
        <v>448</v>
      </c>
      <c r="U1" s="1" t="s">
        <v>415</v>
      </c>
      <c r="W1" s="1" t="s">
        <v>416</v>
      </c>
    </row>
    <row r="2" spans="1:24" ht="43.5">
      <c r="A2" s="1" t="s">
        <v>447</v>
      </c>
      <c r="B2" s="1" t="s">
        <v>446</v>
      </c>
      <c r="C2" s="1" t="s">
        <v>447</v>
      </c>
      <c r="D2" s="1" t="s">
        <v>446</v>
      </c>
      <c r="E2" s="1" t="s">
        <v>447</v>
      </c>
      <c r="F2" s="1" t="s">
        <v>446</v>
      </c>
      <c r="G2" s="1" t="s">
        <v>447</v>
      </c>
      <c r="H2" s="1" t="s">
        <v>446</v>
      </c>
      <c r="I2" s="1" t="s">
        <v>447</v>
      </c>
      <c r="J2" s="1" t="s">
        <v>446</v>
      </c>
      <c r="K2" s="1" t="s">
        <v>447</v>
      </c>
      <c r="L2" s="1" t="s">
        <v>446</v>
      </c>
      <c r="M2" s="1" t="s">
        <v>447</v>
      </c>
      <c r="N2" s="1" t="s">
        <v>446</v>
      </c>
      <c r="O2" s="1" t="s">
        <v>447</v>
      </c>
      <c r="P2" s="1" t="s">
        <v>446</v>
      </c>
      <c r="Q2" s="1" t="s">
        <v>447</v>
      </c>
      <c r="R2" s="1" t="s">
        <v>446</v>
      </c>
      <c r="S2" s="1" t="s">
        <v>447</v>
      </c>
      <c r="T2" s="1" t="s">
        <v>446</v>
      </c>
      <c r="U2" s="1" t="s">
        <v>447</v>
      </c>
      <c r="V2" s="1" t="s">
        <v>446</v>
      </c>
      <c r="W2" s="1" t="s">
        <v>447</v>
      </c>
      <c r="X2" s="1" t="s">
        <v>446</v>
      </c>
    </row>
    <row r="3" spans="1:24">
      <c r="A3" s="1">
        <v>0.4</v>
      </c>
      <c r="B3" s="1">
        <v>1.5100000000000001E-2</v>
      </c>
      <c r="C3" s="1">
        <v>0.2</v>
      </c>
      <c r="D3" s="1">
        <v>0.15229999999999999</v>
      </c>
      <c r="E3" s="1">
        <v>0.2</v>
      </c>
      <c r="F3" s="1">
        <v>8.43E-2</v>
      </c>
      <c r="G3" s="1">
        <v>0.2</v>
      </c>
      <c r="H3" s="1">
        <v>0.20680000000000001</v>
      </c>
      <c r="I3" s="1">
        <v>0.2</v>
      </c>
      <c r="K3" s="1">
        <v>0.4</v>
      </c>
      <c r="L3" s="1">
        <v>0.2162</v>
      </c>
      <c r="M3" s="1">
        <v>0.4</v>
      </c>
      <c r="N3" s="1">
        <v>2.5700000000000001E-2</v>
      </c>
      <c r="O3" s="1">
        <v>0.4</v>
      </c>
      <c r="P3" s="1">
        <v>1.0200000000000001E-2</v>
      </c>
      <c r="Q3" s="1">
        <v>0.4</v>
      </c>
      <c r="R3" s="1">
        <v>6.6E-3</v>
      </c>
      <c r="S3" s="1">
        <v>0.4</v>
      </c>
      <c r="U3" s="1">
        <v>0.4</v>
      </c>
      <c r="V3" s="1">
        <v>0.44679999999999997</v>
      </c>
      <c r="W3" s="1">
        <v>0.4</v>
      </c>
      <c r="X3" s="1">
        <v>0.124</v>
      </c>
    </row>
    <row r="4" spans="1:24">
      <c r="A4" s="1">
        <v>2</v>
      </c>
      <c r="B4" s="1">
        <v>0.38059999999999999</v>
      </c>
      <c r="C4" s="1">
        <v>1</v>
      </c>
      <c r="D4" s="1">
        <v>1.2149000000000001</v>
      </c>
      <c r="E4" s="1">
        <v>1</v>
      </c>
      <c r="F4" s="1">
        <v>0.78869999999999996</v>
      </c>
      <c r="G4" s="1">
        <v>1</v>
      </c>
      <c r="H4" s="1">
        <v>1.0747</v>
      </c>
      <c r="I4" s="1">
        <v>1</v>
      </c>
      <c r="J4" s="1">
        <v>1.1904999999999999</v>
      </c>
      <c r="K4" s="1">
        <v>2</v>
      </c>
      <c r="L4" s="1">
        <v>0.69869999999999999</v>
      </c>
      <c r="M4" s="1">
        <v>2</v>
      </c>
      <c r="N4" s="1">
        <v>0.44280000000000003</v>
      </c>
      <c r="O4" s="1">
        <v>2</v>
      </c>
      <c r="P4" s="1">
        <v>0.248</v>
      </c>
      <c r="Q4" s="1">
        <v>2</v>
      </c>
      <c r="R4" s="1">
        <v>0.13769999999999999</v>
      </c>
      <c r="S4" s="1">
        <v>2</v>
      </c>
      <c r="T4" s="1">
        <v>0.70820000000000005</v>
      </c>
      <c r="U4" s="1">
        <v>2</v>
      </c>
      <c r="V4" s="1">
        <v>2.6855000000000002</v>
      </c>
      <c r="W4" s="1">
        <v>2</v>
      </c>
      <c r="X4" s="1">
        <v>1.7618</v>
      </c>
    </row>
    <row r="5" spans="1:24">
      <c r="A5" s="1">
        <v>10</v>
      </c>
      <c r="B5" s="1">
        <v>6.0345000000000004</v>
      </c>
      <c r="C5" s="1">
        <v>5</v>
      </c>
      <c r="D5" s="1">
        <v>6.2723000000000004</v>
      </c>
      <c r="E5" s="1">
        <v>5</v>
      </c>
      <c r="F5" s="1">
        <v>4.7575000000000003</v>
      </c>
      <c r="G5" s="1">
        <v>5</v>
      </c>
      <c r="H5" s="1">
        <v>6.3217999999999996</v>
      </c>
      <c r="I5" s="1">
        <v>5</v>
      </c>
      <c r="J5" s="1">
        <v>7.5297999999999998</v>
      </c>
      <c r="K5" s="1">
        <v>10</v>
      </c>
      <c r="L5" s="1">
        <v>7.8217999999999996</v>
      </c>
      <c r="M5" s="1">
        <v>10</v>
      </c>
      <c r="N5" s="1">
        <v>4.1483999999999996</v>
      </c>
      <c r="O5" s="1">
        <v>10</v>
      </c>
      <c r="P5" s="1">
        <v>3.742</v>
      </c>
      <c r="Q5" s="1">
        <v>10</v>
      </c>
      <c r="R5" s="1">
        <v>1.7322</v>
      </c>
      <c r="S5" s="1">
        <v>10</v>
      </c>
      <c r="T5" s="1">
        <v>3.4786999999999999</v>
      </c>
      <c r="U5" s="1">
        <v>10</v>
      </c>
      <c r="V5" s="1">
        <v>14.2033</v>
      </c>
      <c r="W5" s="1">
        <v>10</v>
      </c>
      <c r="X5" s="1">
        <v>10.9199</v>
      </c>
    </row>
    <row r="6" spans="1:24">
      <c r="A6" s="1">
        <v>40</v>
      </c>
      <c r="B6" s="1">
        <v>35.714399999999998</v>
      </c>
      <c r="C6" s="1">
        <v>20</v>
      </c>
      <c r="D6" s="1">
        <v>21.978400000000001</v>
      </c>
      <c r="E6" s="1">
        <v>20</v>
      </c>
      <c r="F6" s="1">
        <v>18.7866</v>
      </c>
      <c r="G6" s="1">
        <v>20</v>
      </c>
      <c r="H6" s="1">
        <v>25.221599999999999</v>
      </c>
      <c r="I6" s="1">
        <v>20</v>
      </c>
      <c r="J6" s="1">
        <v>30.2135</v>
      </c>
      <c r="K6" s="1">
        <v>40</v>
      </c>
      <c r="L6" s="1">
        <v>38.971899999999998</v>
      </c>
      <c r="M6" s="1">
        <v>40</v>
      </c>
      <c r="N6" s="1">
        <v>21.884</v>
      </c>
      <c r="O6" s="1">
        <v>40</v>
      </c>
      <c r="P6" s="1">
        <v>21.853000000000002</v>
      </c>
      <c r="Q6" s="1">
        <v>40</v>
      </c>
      <c r="R6" s="1">
        <v>12.3362</v>
      </c>
      <c r="S6" s="1">
        <v>40</v>
      </c>
      <c r="T6" s="1">
        <v>13.4854</v>
      </c>
      <c r="U6" s="1">
        <v>40</v>
      </c>
      <c r="V6" s="1">
        <v>53.267699999999998</v>
      </c>
      <c r="W6" s="1">
        <v>40</v>
      </c>
      <c r="X6" s="1">
        <v>44.930300000000003</v>
      </c>
    </row>
    <row r="7" spans="1:24">
      <c r="A7" s="1">
        <v>80</v>
      </c>
      <c r="B7" s="1">
        <v>60.642800000000001</v>
      </c>
      <c r="C7" s="1">
        <v>40</v>
      </c>
      <c r="D7" s="1">
        <v>41.525700000000001</v>
      </c>
      <c r="E7" s="1">
        <v>40</v>
      </c>
      <c r="F7" s="1">
        <v>33.052900000000001</v>
      </c>
      <c r="G7" s="1">
        <v>40</v>
      </c>
      <c r="H7" s="1">
        <v>43.900700000000001</v>
      </c>
      <c r="I7" s="1">
        <v>40</v>
      </c>
      <c r="J7" s="1">
        <v>54.171799999999998</v>
      </c>
      <c r="K7" s="1">
        <v>80</v>
      </c>
      <c r="L7" s="1">
        <v>81.151799999999994</v>
      </c>
      <c r="M7" s="1">
        <v>80</v>
      </c>
      <c r="N7" s="1">
        <v>43.664900000000003</v>
      </c>
      <c r="O7" s="1">
        <v>80</v>
      </c>
      <c r="P7" s="1">
        <v>39.005200000000002</v>
      </c>
      <c r="Q7" s="1">
        <v>80</v>
      </c>
      <c r="R7" s="1">
        <v>24.8215</v>
      </c>
      <c r="S7" s="1">
        <v>80</v>
      </c>
      <c r="T7" s="1">
        <v>25.014800000000001</v>
      </c>
      <c r="U7" s="1">
        <v>80</v>
      </c>
      <c r="V7" s="1">
        <v>92.516000000000005</v>
      </c>
      <c r="W7" s="1">
        <v>80</v>
      </c>
      <c r="X7" s="1">
        <v>80.373999999999995</v>
      </c>
    </row>
    <row r="8" spans="1:24">
      <c r="A8" s="1">
        <v>100</v>
      </c>
      <c r="B8" s="1">
        <v>71.762299999999996</v>
      </c>
      <c r="C8" s="1">
        <v>50</v>
      </c>
      <c r="D8" s="1">
        <v>53.063099999999999</v>
      </c>
      <c r="E8" s="1">
        <v>50</v>
      </c>
      <c r="F8" s="1">
        <v>44.1738</v>
      </c>
      <c r="G8" s="1">
        <v>50</v>
      </c>
      <c r="H8" s="1">
        <v>55.5182</v>
      </c>
      <c r="I8" s="1">
        <v>50</v>
      </c>
      <c r="J8" s="1">
        <v>72.8142</v>
      </c>
      <c r="K8" s="1">
        <v>100</v>
      </c>
      <c r="L8" s="1">
        <v>105.045</v>
      </c>
      <c r="M8" s="1">
        <v>100</v>
      </c>
      <c r="N8" s="1">
        <v>53.283000000000001</v>
      </c>
      <c r="O8" s="1">
        <v>100</v>
      </c>
      <c r="P8" s="1">
        <v>52.611400000000003</v>
      </c>
      <c r="S8" s="1">
        <v>100</v>
      </c>
      <c r="T8" s="1">
        <v>33.655900000000003</v>
      </c>
    </row>
    <row r="13" spans="1:24">
      <c r="J13" s="2"/>
      <c r="K13" s="2"/>
      <c r="L13" s="2"/>
      <c r="M13" s="2"/>
      <c r="N13" s="2"/>
    </row>
    <row r="38" spans="1:34"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</row>
    <row r="39" spans="1:34" ht="29">
      <c r="B39" s="1" t="s">
        <v>406</v>
      </c>
      <c r="D39" s="1" t="s">
        <v>407</v>
      </c>
      <c r="F39" s="1" t="s">
        <v>408</v>
      </c>
      <c r="H39" s="3" t="s">
        <v>409</v>
      </c>
      <c r="J39" s="20" t="s">
        <v>411</v>
      </c>
      <c r="L39" s="1" t="s">
        <v>412</v>
      </c>
      <c r="N39" s="1" t="s">
        <v>413</v>
      </c>
      <c r="P39" s="1" t="s">
        <v>414</v>
      </c>
      <c r="R39" s="1" t="s">
        <v>415</v>
      </c>
      <c r="T39" s="1" t="s">
        <v>416</v>
      </c>
    </row>
    <row r="40" spans="1:34" ht="43.5">
      <c r="A40" s="1" t="s">
        <v>170</v>
      </c>
      <c r="B40" s="1" t="s">
        <v>446</v>
      </c>
      <c r="C40" s="1" t="s">
        <v>447</v>
      </c>
      <c r="D40" s="1" t="s">
        <v>446</v>
      </c>
      <c r="E40" s="1" t="s">
        <v>447</v>
      </c>
      <c r="F40" s="1" t="s">
        <v>446</v>
      </c>
      <c r="G40" s="1" t="s">
        <v>447</v>
      </c>
      <c r="H40" s="1" t="s">
        <v>446</v>
      </c>
      <c r="I40" s="1" t="s">
        <v>447</v>
      </c>
      <c r="J40" s="20" t="s">
        <v>446</v>
      </c>
      <c r="K40" s="1" t="s">
        <v>447</v>
      </c>
      <c r="L40" s="1" t="s">
        <v>446</v>
      </c>
      <c r="M40" s="1" t="s">
        <v>447</v>
      </c>
      <c r="N40" s="1" t="s">
        <v>446</v>
      </c>
      <c r="O40" s="1" t="s">
        <v>447</v>
      </c>
      <c r="P40" s="1" t="s">
        <v>446</v>
      </c>
      <c r="Q40" s="1" t="s">
        <v>447</v>
      </c>
      <c r="R40" s="1" t="s">
        <v>446</v>
      </c>
      <c r="S40" s="1" t="s">
        <v>447</v>
      </c>
      <c r="T40" s="1" t="s">
        <v>446</v>
      </c>
      <c r="U40" s="1" t="s">
        <v>447</v>
      </c>
      <c r="W40" s="7" t="s">
        <v>170</v>
      </c>
      <c r="X40" s="7" t="s">
        <v>171</v>
      </c>
      <c r="Y40" s="7" t="s">
        <v>172</v>
      </c>
      <c r="Z40" s="7" t="s">
        <v>173</v>
      </c>
      <c r="AA40" s="7" t="s">
        <v>174</v>
      </c>
      <c r="AB40" s="7" t="s">
        <v>175</v>
      </c>
      <c r="AC40" s="7" t="s">
        <v>176</v>
      </c>
      <c r="AD40" s="7" t="s">
        <v>177</v>
      </c>
      <c r="AE40" s="7" t="s">
        <v>178</v>
      </c>
      <c r="AF40" s="7" t="s">
        <v>179</v>
      </c>
      <c r="AG40" s="1" t="s">
        <v>404</v>
      </c>
      <c r="AH40" s="1" t="s">
        <v>405</v>
      </c>
    </row>
    <row r="41" spans="1:34">
      <c r="A41" s="3" t="s">
        <v>393</v>
      </c>
      <c r="B41" s="8">
        <v>9.0399999999999994E-2</v>
      </c>
      <c r="C41" s="4">
        <f>IF(AND(B41&gt;=B$4,B41&lt;=B$8),(B41-0.1225)/1.0439,IF(B41&lt;B$4,B41/B$4*A$4,B41/B$8*A$8))</f>
        <v>0.47503941145559642</v>
      </c>
      <c r="D41" s="10">
        <v>5.5E-2</v>
      </c>
      <c r="E41" s="8">
        <f>D41/D$3*C$3</f>
        <v>7.2225869993434014E-2</v>
      </c>
      <c r="F41" s="8"/>
      <c r="G41" s="8"/>
      <c r="H41" s="5">
        <v>7.9799999999999996E-2</v>
      </c>
      <c r="I41" s="8">
        <f>H41/H$3*G$3</f>
        <v>7.7176015473887805E-2</v>
      </c>
      <c r="J41" s="11">
        <v>16.339400000000001</v>
      </c>
      <c r="K41" s="11">
        <f t="shared" ref="K41:K49" si="0">(J41+1.7608)/1.0519</f>
        <v>17.207148968533129</v>
      </c>
      <c r="L41" s="8">
        <v>25.245000000000001</v>
      </c>
      <c r="M41" s="8">
        <f>(L41+0.5211)/0.5446</f>
        <v>47.311972089607053</v>
      </c>
      <c r="N41" s="8">
        <v>0.35239999999999999</v>
      </c>
      <c r="O41" s="8">
        <f>(N41+0.8073)/0.5237</f>
        <v>2.2144357456559094</v>
      </c>
      <c r="P41" s="3">
        <v>0.18060000000000001</v>
      </c>
      <c r="Q41" s="8">
        <f>(P41+0.619)/0.318</f>
        <v>2.5144654088050316</v>
      </c>
      <c r="R41" s="5">
        <v>0.45629999999999998</v>
      </c>
      <c r="S41" s="8">
        <f>R41/V$3*U$3</f>
        <v>0.4085049239033125</v>
      </c>
      <c r="T41" s="6">
        <v>5.11E-2</v>
      </c>
      <c r="U41" s="8">
        <f>T41/X$3*W$3</f>
        <v>0.16483870967741937</v>
      </c>
      <c r="W41" s="3" t="s">
        <v>393</v>
      </c>
      <c r="X41" s="1">
        <v>0.47503941145559642</v>
      </c>
      <c r="Y41" s="1">
        <v>7.2225869993434014E-2</v>
      </c>
      <c r="AA41" s="1">
        <v>7.7176015473887805E-2</v>
      </c>
      <c r="AC41" s="1">
        <v>17.207148968533129</v>
      </c>
      <c r="AD41" s="1">
        <v>47.311972089607053</v>
      </c>
      <c r="AE41" s="1">
        <v>2.2144357456559094</v>
      </c>
      <c r="AF41" s="1">
        <v>2.5144654088050316</v>
      </c>
      <c r="AG41" s="1">
        <v>0.4085049239033125</v>
      </c>
      <c r="AH41" s="1">
        <v>0.16483870967741937</v>
      </c>
    </row>
    <row r="42" spans="1:34">
      <c r="A42" s="3" t="s">
        <v>394</v>
      </c>
      <c r="B42" s="8">
        <v>8.6900000000000005E-2</v>
      </c>
      <c r="C42" s="4">
        <f t="shared" ref="C42:C49" si="1">IF(AND(B42&gt;=B$4,B42&lt;=B$8),(B42-0.1225)/1.0439,IF(B42&lt;B$4,B42/B$4*A$4,B42/B$8*A$8))</f>
        <v>0.45664739884393069</v>
      </c>
      <c r="D42" s="12">
        <v>1.9699999999999999E-2</v>
      </c>
      <c r="E42" s="8">
        <f t="shared" ref="E42:E49" si="2">D42/D$3*C$3</f>
        <v>2.586999343401182E-2</v>
      </c>
      <c r="F42" s="8"/>
      <c r="G42" s="8"/>
      <c r="H42" s="5">
        <v>3.1300000000000001E-2</v>
      </c>
      <c r="I42" s="8">
        <f t="shared" ref="I42:I49" si="3">H42/H$3*G$3</f>
        <v>3.0270793036750482E-2</v>
      </c>
      <c r="J42" s="11">
        <v>24.2898</v>
      </c>
      <c r="K42" s="11">
        <f t="shared" si="0"/>
        <v>24.765281870900274</v>
      </c>
      <c r="L42" s="8">
        <v>18.2745</v>
      </c>
      <c r="M42" s="8">
        <f t="shared" ref="M42:M49" si="4">(L42+0.5211)/0.5446</f>
        <v>34.512669849430779</v>
      </c>
      <c r="N42" s="8">
        <v>0.68020000000000003</v>
      </c>
      <c r="O42" s="8">
        <f t="shared" ref="O42:O49" si="5">(N42+0.8073)/0.5237</f>
        <v>2.8403666221118957</v>
      </c>
      <c r="P42" s="3">
        <v>0.25590000000000002</v>
      </c>
      <c r="Q42" s="8">
        <f t="shared" ref="Q42:Q49" si="6">(P42+0.619)/0.318</f>
        <v>2.7512578616352199</v>
      </c>
      <c r="R42" s="5">
        <v>0.1147</v>
      </c>
      <c r="S42" s="8">
        <f t="shared" ref="S42:S49" si="7">R42/V$3*U$3</f>
        <v>0.10268576544315132</v>
      </c>
      <c r="T42" s="6">
        <v>4.7199999999999999E-2</v>
      </c>
      <c r="U42" s="8">
        <f t="shared" ref="U42:U49" si="8">T42/X$3*W$3</f>
        <v>0.15225806451612903</v>
      </c>
      <c r="W42" s="3" t="s">
        <v>394</v>
      </c>
      <c r="X42" s="1">
        <v>0.45664739884393069</v>
      </c>
      <c r="Y42" s="1">
        <v>2.586999343401182E-2</v>
      </c>
      <c r="AA42" s="1">
        <v>3.0270793036750482E-2</v>
      </c>
      <c r="AC42" s="1">
        <v>24.765281870900274</v>
      </c>
      <c r="AD42" s="1">
        <v>34.512669849430779</v>
      </c>
      <c r="AE42" s="1">
        <v>2.8403666221118957</v>
      </c>
      <c r="AF42" s="1">
        <v>2.7512578616352199</v>
      </c>
      <c r="AG42" s="1">
        <v>0.10268576544315132</v>
      </c>
      <c r="AH42" s="1">
        <v>0.15225806451612903</v>
      </c>
    </row>
    <row r="43" spans="1:34">
      <c r="A43" s="3" t="s">
        <v>395</v>
      </c>
      <c r="B43" s="8">
        <v>6.8199999999999997E-2</v>
      </c>
      <c r="C43" s="4">
        <f t="shared" si="1"/>
        <v>0.3583815028901734</v>
      </c>
      <c r="D43" s="12"/>
      <c r="E43" s="8">
        <f t="shared" si="2"/>
        <v>0</v>
      </c>
      <c r="F43" s="8"/>
      <c r="G43" s="8"/>
      <c r="H43" s="5">
        <v>5.1299999999999998E-2</v>
      </c>
      <c r="I43" s="8">
        <f t="shared" si="3"/>
        <v>4.9613152804642166E-2</v>
      </c>
      <c r="J43" s="11">
        <v>15.5434</v>
      </c>
      <c r="K43" s="11">
        <f t="shared" si="0"/>
        <v>16.45042304401559</v>
      </c>
      <c r="L43" s="8">
        <v>14.6775</v>
      </c>
      <c r="M43" s="8">
        <f t="shared" si="4"/>
        <v>27.907822254865959</v>
      </c>
      <c r="N43" s="8">
        <v>0.50429999999999997</v>
      </c>
      <c r="O43" s="8">
        <f t="shared" si="5"/>
        <v>2.5044873018903946</v>
      </c>
      <c r="P43" s="3">
        <v>0.18529999999999999</v>
      </c>
      <c r="Q43" s="8">
        <f t="shared" si="6"/>
        <v>2.5292452830188679</v>
      </c>
      <c r="R43" s="5">
        <v>0.29420000000000002</v>
      </c>
      <c r="S43" s="8">
        <f t="shared" si="7"/>
        <v>0.26338406445837065</v>
      </c>
      <c r="T43" s="6">
        <v>2.53E-2</v>
      </c>
      <c r="U43" s="8">
        <f t="shared" si="8"/>
        <v>8.1612903225806457E-2</v>
      </c>
      <c r="W43" s="3" t="s">
        <v>395</v>
      </c>
      <c r="X43" s="1">
        <v>0.3583815028901734</v>
      </c>
      <c r="Y43" s="1">
        <v>0</v>
      </c>
      <c r="AA43" s="1">
        <v>4.9613152804642166E-2</v>
      </c>
      <c r="AC43" s="1">
        <v>16.45042304401559</v>
      </c>
      <c r="AD43" s="1">
        <v>27.907822254865959</v>
      </c>
      <c r="AE43" s="1">
        <v>2.5044873018903946</v>
      </c>
      <c r="AF43" s="1">
        <v>2.5292452830188679</v>
      </c>
      <c r="AG43" s="1">
        <v>0.26338406445837065</v>
      </c>
      <c r="AH43" s="1">
        <v>8.1612903225806457E-2</v>
      </c>
    </row>
    <row r="44" spans="1:34">
      <c r="A44" s="3" t="s">
        <v>396</v>
      </c>
      <c r="B44" s="8">
        <v>7.46E-2</v>
      </c>
      <c r="C44" s="4">
        <f t="shared" si="1"/>
        <v>0.39201261166579088</v>
      </c>
      <c r="D44" s="12">
        <v>1.8100000000000002E-2</v>
      </c>
      <c r="E44" s="8">
        <f t="shared" si="2"/>
        <v>2.3768877216021014E-2</v>
      </c>
      <c r="F44" s="8"/>
      <c r="G44" s="8"/>
      <c r="H44" s="5">
        <v>2.3599999999999999E-2</v>
      </c>
      <c r="I44" s="8">
        <f t="shared" si="3"/>
        <v>2.2823984526112187E-2</v>
      </c>
      <c r="J44" s="11">
        <v>13.550700000000001</v>
      </c>
      <c r="K44" s="11">
        <f t="shared" si="0"/>
        <v>14.556041448806921</v>
      </c>
      <c r="L44" s="8">
        <v>9.2452000000000005</v>
      </c>
      <c r="M44" s="8">
        <f t="shared" si="4"/>
        <v>17.932978332721266</v>
      </c>
      <c r="N44" s="8">
        <v>0.43569999999999998</v>
      </c>
      <c r="O44" s="8">
        <f t="shared" si="5"/>
        <v>2.3734962764941754</v>
      </c>
      <c r="P44" s="3">
        <v>0.13819999999999999</v>
      </c>
      <c r="Q44" s="8">
        <f t="shared" si="6"/>
        <v>2.3811320754716978</v>
      </c>
      <c r="R44" s="5">
        <v>5.9700000000000003E-2</v>
      </c>
      <c r="S44" s="8">
        <f t="shared" si="7"/>
        <v>5.3446732318710846E-2</v>
      </c>
      <c r="T44" s="6">
        <v>1.3299999999999999E-2</v>
      </c>
      <c r="U44" s="8">
        <f t="shared" si="8"/>
        <v>4.2903225806451617E-2</v>
      </c>
      <c r="W44" s="3" t="s">
        <v>396</v>
      </c>
      <c r="X44" s="1">
        <v>0.39201261166579088</v>
      </c>
      <c r="Y44" s="1">
        <v>2.3768877216021014E-2</v>
      </c>
      <c r="AA44" s="1">
        <v>2.2823984526112187E-2</v>
      </c>
      <c r="AC44" s="1">
        <v>14.556041448806921</v>
      </c>
      <c r="AD44" s="1">
        <v>17.932978332721266</v>
      </c>
      <c r="AE44" s="1">
        <v>2.3734962764941754</v>
      </c>
      <c r="AF44" s="1">
        <v>2.3811320754716978</v>
      </c>
      <c r="AG44" s="1">
        <v>5.3446732318710846E-2</v>
      </c>
      <c r="AH44" s="1">
        <v>4.2903225806451617E-2</v>
      </c>
    </row>
    <row r="45" spans="1:34">
      <c r="A45" s="3" t="s">
        <v>397</v>
      </c>
      <c r="B45" s="8">
        <v>6.5699999999999995E-2</v>
      </c>
      <c r="C45" s="4">
        <f t="shared" si="1"/>
        <v>0.3452443510246978</v>
      </c>
      <c r="D45" s="12">
        <v>9.2999999999999992E-3</v>
      </c>
      <c r="E45" s="8">
        <f t="shared" si="2"/>
        <v>1.2212738017071569E-2</v>
      </c>
      <c r="F45" s="8"/>
      <c r="G45" s="8"/>
      <c r="H45" s="5">
        <v>4.2599999999999999E-2</v>
      </c>
      <c r="I45" s="8">
        <f t="shared" si="3"/>
        <v>4.1199226305609286E-2</v>
      </c>
      <c r="J45" s="11">
        <v>20.571899999999999</v>
      </c>
      <c r="K45" s="11">
        <f t="shared" si="0"/>
        <v>21.230820420192032</v>
      </c>
      <c r="L45" s="8">
        <v>15.037100000000001</v>
      </c>
      <c r="M45" s="8">
        <f t="shared" si="4"/>
        <v>28.568123393316199</v>
      </c>
      <c r="N45" s="8">
        <v>0.371</v>
      </c>
      <c r="O45" s="8">
        <f t="shared" si="5"/>
        <v>2.2499522627458468</v>
      </c>
      <c r="P45" s="3">
        <v>0.14710000000000001</v>
      </c>
      <c r="Q45" s="8">
        <f t="shared" si="6"/>
        <v>2.4091194968553458</v>
      </c>
      <c r="R45" s="5">
        <v>8.2100000000000006E-2</v>
      </c>
      <c r="S45" s="8">
        <f t="shared" si="7"/>
        <v>7.3500447627573878E-2</v>
      </c>
      <c r="T45" s="6"/>
      <c r="U45" s="8">
        <f t="shared" si="8"/>
        <v>0</v>
      </c>
      <c r="W45" s="3" t="s">
        <v>397</v>
      </c>
      <c r="X45" s="1">
        <v>0.3452443510246978</v>
      </c>
      <c r="Y45" s="1">
        <v>1.2212738017071569E-2</v>
      </c>
      <c r="AA45" s="1">
        <v>4.1199226305609286E-2</v>
      </c>
      <c r="AC45" s="1">
        <v>21.230820420192032</v>
      </c>
      <c r="AD45" s="1">
        <v>28.568123393316199</v>
      </c>
      <c r="AE45" s="1">
        <v>2.2499522627458468</v>
      </c>
      <c r="AF45" s="1">
        <v>2.4091194968553458</v>
      </c>
      <c r="AG45" s="1">
        <v>7.3500447627573878E-2</v>
      </c>
      <c r="AH45" s="1">
        <v>0</v>
      </c>
    </row>
    <row r="46" spans="1:34">
      <c r="A46" s="3" t="s">
        <v>398</v>
      </c>
      <c r="B46" s="8">
        <v>4.9000000000000002E-2</v>
      </c>
      <c r="C46" s="4">
        <f t="shared" si="1"/>
        <v>0.25748817656332107</v>
      </c>
      <c r="D46" s="12">
        <v>5.1000000000000004E-3</v>
      </c>
      <c r="E46" s="8">
        <f t="shared" si="2"/>
        <v>6.6973079448457004E-3</v>
      </c>
      <c r="F46" s="8"/>
      <c r="G46" s="8"/>
      <c r="H46" s="5">
        <v>1.7500000000000002E-2</v>
      </c>
      <c r="I46" s="8">
        <f t="shared" si="3"/>
        <v>1.6924564796905222E-2</v>
      </c>
      <c r="J46" s="11">
        <v>16.05</v>
      </c>
      <c r="K46" s="11">
        <f t="shared" si="0"/>
        <v>16.932027759292708</v>
      </c>
      <c r="L46" s="3">
        <v>12.354100000000001</v>
      </c>
      <c r="M46" s="8">
        <f t="shared" si="4"/>
        <v>23.641571795813444</v>
      </c>
      <c r="N46" s="8">
        <v>0.25890000000000002</v>
      </c>
      <c r="O46" s="8">
        <f t="shared" si="5"/>
        <v>2.0358984151231621</v>
      </c>
      <c r="P46" s="3">
        <v>0.1196</v>
      </c>
      <c r="Q46" s="8">
        <f t="shared" si="6"/>
        <v>2.3226415094339625</v>
      </c>
      <c r="R46" s="5">
        <v>6.4299999999999996E-2</v>
      </c>
      <c r="S46" s="8">
        <f t="shared" si="7"/>
        <v>5.7564905998209494E-2</v>
      </c>
      <c r="T46" s="6"/>
      <c r="U46" s="8">
        <f t="shared" si="8"/>
        <v>0</v>
      </c>
      <c r="W46" s="3" t="s">
        <v>398</v>
      </c>
      <c r="X46" s="1">
        <v>0.25748817656332107</v>
      </c>
      <c r="Y46" s="1">
        <v>6.6973079448457004E-3</v>
      </c>
      <c r="AA46" s="1">
        <v>1.6924564796905222E-2</v>
      </c>
      <c r="AC46" s="1">
        <v>16.932027759292708</v>
      </c>
      <c r="AD46" s="1">
        <v>23.641571795813444</v>
      </c>
      <c r="AE46" s="1">
        <v>2.0358984151231621</v>
      </c>
      <c r="AF46" s="1">
        <v>2.3226415094339625</v>
      </c>
      <c r="AG46" s="1">
        <v>5.7564905998209494E-2</v>
      </c>
      <c r="AH46" s="1">
        <v>0</v>
      </c>
    </row>
    <row r="47" spans="1:34">
      <c r="A47" s="3" t="s">
        <v>399</v>
      </c>
      <c r="B47" s="8">
        <v>4.8899999999999999E-2</v>
      </c>
      <c r="C47" s="4">
        <f t="shared" si="1"/>
        <v>0.25696269048870207</v>
      </c>
      <c r="D47" s="12">
        <v>9.4000000000000004E-3</v>
      </c>
      <c r="E47" s="8">
        <f t="shared" si="2"/>
        <v>1.2344057780695996E-2</v>
      </c>
      <c r="F47" s="8"/>
      <c r="G47" s="8"/>
      <c r="H47" s="5">
        <v>2.2700000000000001E-2</v>
      </c>
      <c r="I47" s="8">
        <f t="shared" si="3"/>
        <v>2.1953578336557061E-2</v>
      </c>
      <c r="J47" s="11">
        <v>13.296099999999999</v>
      </c>
      <c r="K47" s="11">
        <f t="shared" si="0"/>
        <v>14.31400323224641</v>
      </c>
      <c r="L47" s="8">
        <v>9.4504000000000001</v>
      </c>
      <c r="M47" s="8">
        <f t="shared" si="4"/>
        <v>18.309768637532137</v>
      </c>
      <c r="N47" s="8">
        <v>0.44030000000000002</v>
      </c>
      <c r="O47" s="8">
        <f t="shared" si="5"/>
        <v>2.382279931258354</v>
      </c>
      <c r="P47" s="3">
        <v>0.1421</v>
      </c>
      <c r="Q47" s="8">
        <f t="shared" si="6"/>
        <v>2.3933962264150943</v>
      </c>
      <c r="R47" s="5">
        <v>7.9000000000000001E-2</v>
      </c>
      <c r="S47" s="8">
        <f t="shared" si="7"/>
        <v>7.072515666965086E-2</v>
      </c>
      <c r="T47" s="6"/>
      <c r="U47" s="8">
        <f t="shared" si="8"/>
        <v>0</v>
      </c>
      <c r="W47" s="3" t="s">
        <v>399</v>
      </c>
      <c r="X47" s="1">
        <v>0.25696269048870207</v>
      </c>
      <c r="Y47" s="1">
        <v>1.2344057780695996E-2</v>
      </c>
      <c r="AA47" s="1">
        <v>2.1953578336557061E-2</v>
      </c>
      <c r="AC47" s="1">
        <v>14.31400323224641</v>
      </c>
      <c r="AD47" s="1">
        <v>18.309768637532137</v>
      </c>
      <c r="AE47" s="1">
        <v>2.382279931258354</v>
      </c>
      <c r="AF47" s="1">
        <v>2.3933962264150943</v>
      </c>
      <c r="AG47" s="1">
        <v>7.072515666965086E-2</v>
      </c>
      <c r="AH47" s="1">
        <v>0</v>
      </c>
    </row>
    <row r="48" spans="1:34">
      <c r="A48" s="3" t="s">
        <v>400</v>
      </c>
      <c r="B48" s="8">
        <v>5.16E-2</v>
      </c>
      <c r="C48" s="4">
        <f t="shared" si="1"/>
        <v>0.27115081450341566</v>
      </c>
      <c r="D48" s="12">
        <v>7.4000000000000003E-3</v>
      </c>
      <c r="E48" s="8">
        <f t="shared" si="2"/>
        <v>9.7176625082074867E-3</v>
      </c>
      <c r="F48" s="13"/>
      <c r="G48" s="8"/>
      <c r="H48" s="5">
        <v>2.4299999999999999E-2</v>
      </c>
      <c r="I48" s="8">
        <f t="shared" si="3"/>
        <v>2.3500967117988394E-2</v>
      </c>
      <c r="J48" s="11">
        <v>36.649299999999997</v>
      </c>
      <c r="K48" s="11">
        <f t="shared" si="0"/>
        <v>36.514972906169788</v>
      </c>
      <c r="L48" s="8">
        <v>26.376999999999999</v>
      </c>
      <c r="M48" s="8">
        <f t="shared" si="4"/>
        <v>49.390561880279108</v>
      </c>
      <c r="N48" s="8">
        <v>0.26529999999999998</v>
      </c>
      <c r="O48" s="8">
        <f t="shared" si="5"/>
        <v>2.048119152186366</v>
      </c>
      <c r="P48" s="3">
        <v>0.19719999999999999</v>
      </c>
      <c r="Q48" s="8">
        <f t="shared" si="6"/>
        <v>2.5666666666666669</v>
      </c>
      <c r="R48" s="5">
        <v>0.1116</v>
      </c>
      <c r="S48" s="8">
        <f t="shared" si="7"/>
        <v>9.9910474485228301E-2</v>
      </c>
      <c r="T48" s="6">
        <v>9.4999999999999998E-3</v>
      </c>
      <c r="U48" s="8">
        <f t="shared" si="8"/>
        <v>3.0645161290322583E-2</v>
      </c>
      <c r="W48" s="3" t="s">
        <v>400</v>
      </c>
      <c r="X48" s="1">
        <v>0.27115081450341566</v>
      </c>
      <c r="Y48" s="1">
        <v>9.7176625082074867E-3</v>
      </c>
      <c r="AA48" s="1">
        <v>2.3500967117988394E-2</v>
      </c>
      <c r="AC48" s="1">
        <v>36.514972906169788</v>
      </c>
      <c r="AD48" s="1">
        <v>49.390561880279108</v>
      </c>
      <c r="AE48" s="1">
        <v>2.048119152186366</v>
      </c>
      <c r="AF48" s="1">
        <v>2.5666666666666669</v>
      </c>
      <c r="AG48" s="1">
        <v>9.9910474485228301E-2</v>
      </c>
      <c r="AH48" s="1">
        <v>3.0645161290322583E-2</v>
      </c>
    </row>
    <row r="49" spans="1:34">
      <c r="A49" s="3" t="s">
        <v>401</v>
      </c>
      <c r="B49" s="8">
        <v>5.7500000000000002E-2</v>
      </c>
      <c r="C49" s="4">
        <f t="shared" si="1"/>
        <v>0.30215449290593799</v>
      </c>
      <c r="D49" s="5"/>
      <c r="E49" s="8">
        <f t="shared" si="2"/>
        <v>0</v>
      </c>
      <c r="F49" s="8"/>
      <c r="G49" s="8"/>
      <c r="H49" s="5">
        <v>1.4200000000000001E-2</v>
      </c>
      <c r="I49" s="8">
        <f t="shared" si="3"/>
        <v>1.3733075435203097E-2</v>
      </c>
      <c r="J49" s="11">
        <v>17.0259</v>
      </c>
      <c r="K49" s="11">
        <f t="shared" si="0"/>
        <v>17.859777545394049</v>
      </c>
      <c r="L49" s="8">
        <v>14.631</v>
      </c>
      <c r="M49" s="8">
        <f t="shared" si="4"/>
        <v>27.822438486962913</v>
      </c>
      <c r="N49" s="8">
        <v>0.3049</v>
      </c>
      <c r="O49" s="8">
        <f t="shared" si="5"/>
        <v>2.1237349627649418</v>
      </c>
      <c r="P49" s="3">
        <v>0.13769999999999999</v>
      </c>
      <c r="Q49" s="8">
        <f t="shared" si="6"/>
        <v>2.3795597484276727</v>
      </c>
      <c r="R49" s="5">
        <v>9.5699999999999993E-2</v>
      </c>
      <c r="S49" s="8">
        <f t="shared" si="7"/>
        <v>8.5675917636526419E-2</v>
      </c>
      <c r="T49" s="6">
        <v>6.8999999999999999E-3</v>
      </c>
      <c r="U49" s="8">
        <f t="shared" si="8"/>
        <v>2.2258064516129033E-2</v>
      </c>
      <c r="W49" s="3" t="s">
        <v>401</v>
      </c>
      <c r="X49" s="1">
        <v>0.30215449290593799</v>
      </c>
      <c r="Y49" s="1">
        <v>0</v>
      </c>
      <c r="AA49" s="1">
        <v>1.3733075435203097E-2</v>
      </c>
      <c r="AC49" s="1">
        <v>17.859777545394049</v>
      </c>
      <c r="AD49" s="1">
        <v>27.822438486962913</v>
      </c>
      <c r="AE49" s="1">
        <v>2.1237349627649418</v>
      </c>
      <c r="AF49" s="1">
        <v>2.3795597484276727</v>
      </c>
      <c r="AG49" s="1">
        <v>8.5675917636526419E-2</v>
      </c>
      <c r="AH49" s="1">
        <v>2.2258064516129033E-2</v>
      </c>
    </row>
    <row r="50" spans="1:34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3"/>
      <c r="AB50" s="8"/>
      <c r="AC50" s="3"/>
      <c r="AD50" s="8"/>
    </row>
    <row r="51" spans="1:34">
      <c r="A51" s="14"/>
      <c r="B51" s="8"/>
      <c r="C51" s="8"/>
      <c r="D51" s="8"/>
      <c r="E51" s="8"/>
      <c r="F51" s="8"/>
      <c r="G51" s="8"/>
      <c r="H51" s="8"/>
      <c r="I51" s="8"/>
      <c r="J51" s="24"/>
      <c r="K51" s="24"/>
      <c r="L51" s="24"/>
      <c r="M51" s="24"/>
      <c r="N51" s="24"/>
      <c r="O51" s="24"/>
      <c r="P51" s="24"/>
      <c r="Q51" s="24"/>
      <c r="R51" s="24"/>
      <c r="S51" s="8"/>
      <c r="T51" s="8"/>
      <c r="U51" s="8"/>
      <c r="V51" s="8"/>
      <c r="W51" s="8"/>
      <c r="X51" s="8"/>
      <c r="Y51" s="8"/>
      <c r="Z51" s="8"/>
      <c r="AA51" s="3"/>
      <c r="AB51" s="8"/>
      <c r="AC51" s="3"/>
      <c r="AD51" s="8"/>
    </row>
    <row r="52" spans="1:34">
      <c r="A52" s="14"/>
      <c r="B52" s="8"/>
      <c r="C52" s="8"/>
      <c r="D52" s="8"/>
      <c r="E52" s="8"/>
      <c r="F52" s="8"/>
      <c r="G52" s="8"/>
      <c r="H52" s="8"/>
      <c r="I52" s="8"/>
      <c r="J52" s="24"/>
      <c r="K52" s="24"/>
      <c r="L52" s="24"/>
      <c r="M52" s="24"/>
      <c r="N52" s="24"/>
      <c r="O52" s="24"/>
      <c r="P52" s="24"/>
      <c r="Q52" s="24"/>
      <c r="R52" s="24"/>
      <c r="S52" s="8"/>
      <c r="T52" s="8"/>
      <c r="U52" s="8"/>
      <c r="V52" s="8"/>
      <c r="W52" s="8"/>
      <c r="X52" s="8"/>
      <c r="Y52" s="8"/>
      <c r="Z52" s="8"/>
      <c r="AA52" s="3"/>
      <c r="AB52" s="8"/>
      <c r="AC52" s="3"/>
      <c r="AD52" s="8"/>
    </row>
    <row r="53" spans="1:34">
      <c r="A53" s="14"/>
      <c r="B53" s="8"/>
      <c r="C53" s="8"/>
      <c r="D53" s="8"/>
      <c r="E53" s="8"/>
      <c r="F53" s="8"/>
      <c r="G53" s="8"/>
      <c r="H53" s="8"/>
      <c r="I53" s="8"/>
      <c r="J53" s="24"/>
      <c r="K53" s="24"/>
      <c r="L53" s="24"/>
      <c r="M53" s="24"/>
      <c r="N53" s="24"/>
      <c r="O53" s="24"/>
      <c r="P53" s="24"/>
      <c r="Q53" s="24"/>
      <c r="R53" s="24"/>
      <c r="S53" s="8"/>
      <c r="T53" s="8"/>
      <c r="U53" s="8"/>
      <c r="V53" s="8"/>
      <c r="W53" s="8"/>
      <c r="X53" s="8"/>
      <c r="Y53" s="8"/>
      <c r="Z53" s="8"/>
      <c r="AA53" s="3"/>
      <c r="AB53" s="8"/>
      <c r="AC53" s="3"/>
      <c r="AD53" s="8"/>
    </row>
    <row r="54" spans="1:34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3"/>
      <c r="Q54" s="8"/>
      <c r="R54" s="8"/>
      <c r="S54" s="8"/>
      <c r="T54" s="8"/>
      <c r="U54" s="8"/>
      <c r="V54" s="8"/>
      <c r="W54" s="8"/>
      <c r="X54" s="8"/>
      <c r="Y54" s="8"/>
      <c r="Z54" s="8"/>
      <c r="AA54" s="3"/>
      <c r="AB54" s="8"/>
      <c r="AC54" s="3"/>
      <c r="AD54" s="8"/>
    </row>
    <row r="55" spans="1:34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3"/>
      <c r="AB55" s="8"/>
      <c r="AC55" s="3"/>
      <c r="AD55" s="8"/>
    </row>
    <row r="56" spans="1:34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3"/>
      <c r="AB56" s="8"/>
      <c r="AC56" s="3"/>
      <c r="AD56" s="8"/>
    </row>
    <row r="57" spans="1:34">
      <c r="A57" s="14"/>
      <c r="B57" s="8"/>
      <c r="C57" s="8"/>
      <c r="D57" s="8"/>
      <c r="E57" s="8"/>
      <c r="F57" s="3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3"/>
      <c r="AB57" s="8"/>
      <c r="AC57" s="3"/>
      <c r="AD57" s="8"/>
    </row>
    <row r="58" spans="1:34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3"/>
      <c r="AB58" s="8"/>
      <c r="AC58" s="3"/>
      <c r="AD58" s="8"/>
    </row>
    <row r="59" spans="1:34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3"/>
      <c r="AB59" s="8"/>
      <c r="AC59" s="3"/>
      <c r="AD59" s="8"/>
    </row>
    <row r="60" spans="1:34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3"/>
      <c r="AB60" s="8"/>
      <c r="AC60" s="3"/>
      <c r="AD60" s="8"/>
    </row>
    <row r="61" spans="1:34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3"/>
      <c r="AB61" s="8"/>
      <c r="AC61" s="3"/>
      <c r="AD61" s="8"/>
    </row>
    <row r="62" spans="1:34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3"/>
      <c r="AB62" s="8"/>
      <c r="AC62" s="3"/>
      <c r="AD62" s="8"/>
    </row>
    <row r="63" spans="1:34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3"/>
      <c r="AB63" s="8"/>
      <c r="AC63" s="3"/>
      <c r="AD63" s="8"/>
    </row>
    <row r="64" spans="1:34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3"/>
      <c r="N64" s="8"/>
      <c r="O64" s="8"/>
      <c r="P64" s="8"/>
      <c r="Q64" s="8"/>
      <c r="R64" s="8"/>
      <c r="S64" s="8"/>
      <c r="T64" s="8"/>
      <c r="U64" s="8"/>
      <c r="V64" s="8"/>
      <c r="W64" s="3"/>
      <c r="X64" s="8"/>
      <c r="Y64" s="3"/>
      <c r="Z64" s="8"/>
      <c r="AA64" s="3"/>
      <c r="AB64" s="8"/>
      <c r="AC64" s="3"/>
      <c r="AD64" s="8"/>
    </row>
    <row r="65" spans="1:30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3"/>
      <c r="AB65" s="8"/>
      <c r="AC65" s="3"/>
      <c r="AD65" s="8"/>
    </row>
    <row r="66" spans="1:30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3"/>
      <c r="AB66" s="3"/>
      <c r="AC66" s="3"/>
      <c r="AD66" s="3"/>
    </row>
    <row r="67" spans="1:30">
      <c r="A67" s="14"/>
      <c r="B67" s="3"/>
      <c r="C67" s="8"/>
      <c r="D67" s="3"/>
      <c r="E67" s="8"/>
      <c r="F67" s="8"/>
      <c r="G67" s="8"/>
      <c r="H67" s="8"/>
      <c r="I67" s="8"/>
      <c r="J67" s="3"/>
      <c r="K67" s="8"/>
      <c r="L67" s="8"/>
      <c r="M67" s="3"/>
      <c r="N67" s="8"/>
      <c r="O67" s="8"/>
      <c r="P67" s="8"/>
      <c r="Q67" s="3"/>
      <c r="R67" s="8"/>
      <c r="S67" s="3"/>
      <c r="T67" s="8"/>
      <c r="U67" s="3"/>
      <c r="V67" s="8"/>
      <c r="W67" s="3"/>
      <c r="X67" s="8"/>
      <c r="Y67" s="3"/>
      <c r="Z67" s="8"/>
      <c r="AA67" s="3"/>
      <c r="AB67" s="3"/>
      <c r="AC67" s="3"/>
      <c r="AD67" s="3"/>
    </row>
    <row r="68" spans="1:30">
      <c r="A68" s="15"/>
      <c r="B68" s="3"/>
      <c r="C68" s="8"/>
      <c r="D68" s="3"/>
      <c r="E68" s="8"/>
      <c r="F68" s="8"/>
      <c r="G68" s="8"/>
      <c r="H68" s="8"/>
      <c r="I68" s="8"/>
      <c r="J68" s="3"/>
      <c r="K68" s="8"/>
      <c r="L68" s="8"/>
      <c r="M68" s="3"/>
      <c r="N68" s="3"/>
      <c r="O68" s="8"/>
      <c r="P68" s="8"/>
      <c r="Q68" s="3"/>
      <c r="R68" s="8"/>
      <c r="S68" s="3"/>
      <c r="T68" s="8"/>
      <c r="U68" s="3"/>
      <c r="V68" s="8"/>
      <c r="W68" s="3"/>
      <c r="X68" s="8"/>
      <c r="Y68" s="3"/>
      <c r="Z68" s="8"/>
      <c r="AA68" s="3"/>
      <c r="AB68" s="3"/>
      <c r="AC68" s="3"/>
      <c r="AD68" s="3"/>
    </row>
    <row r="69" spans="1:30">
      <c r="A69" s="15"/>
      <c r="B69" s="3"/>
      <c r="C69" s="8"/>
      <c r="D69" s="3"/>
      <c r="E69" s="8"/>
      <c r="F69" s="8"/>
      <c r="G69" s="8"/>
      <c r="H69" s="8"/>
      <c r="I69" s="8"/>
      <c r="J69" s="3"/>
      <c r="K69" s="8"/>
      <c r="L69" s="8"/>
      <c r="M69" s="3"/>
      <c r="N69" s="8"/>
      <c r="O69" s="8"/>
      <c r="P69" s="8"/>
      <c r="Q69" s="3"/>
      <c r="R69" s="8"/>
      <c r="S69" s="3"/>
      <c r="T69" s="8"/>
      <c r="U69" s="3"/>
      <c r="V69" s="8"/>
      <c r="W69" s="3"/>
      <c r="X69" s="8"/>
      <c r="Y69" s="3"/>
      <c r="Z69" s="8"/>
      <c r="AA69" s="3"/>
      <c r="AB69" s="3"/>
      <c r="AC69" s="3"/>
      <c r="AD69" s="3"/>
    </row>
    <row r="70" spans="1:30">
      <c r="A70" s="15"/>
      <c r="B70" s="3"/>
      <c r="C70" s="8"/>
      <c r="D70" s="3"/>
      <c r="E70" s="8"/>
      <c r="F70" s="8"/>
      <c r="G70" s="8"/>
      <c r="H70" s="8"/>
      <c r="I70" s="8"/>
      <c r="J70" s="3"/>
      <c r="K70" s="8"/>
      <c r="L70" s="8"/>
      <c r="M70" s="3"/>
      <c r="N70" s="8"/>
      <c r="O70" s="8"/>
      <c r="P70" s="8"/>
      <c r="Q70" s="3"/>
      <c r="R70" s="8"/>
      <c r="S70" s="3"/>
      <c r="T70" s="8"/>
      <c r="U70" s="3"/>
      <c r="V70" s="8"/>
      <c r="W70" s="3"/>
      <c r="X70" s="8"/>
      <c r="Y70" s="3"/>
      <c r="Z70" s="8"/>
      <c r="AA70" s="3"/>
      <c r="AB70" s="3"/>
      <c r="AC70" s="3"/>
      <c r="AD70" s="3"/>
    </row>
    <row r="71" spans="1:30">
      <c r="A71" s="15"/>
      <c r="B71" s="3"/>
      <c r="C71" s="8"/>
      <c r="D71" s="3"/>
      <c r="E71" s="8"/>
      <c r="F71" s="8"/>
      <c r="G71" s="8"/>
      <c r="H71" s="8"/>
      <c r="I71" s="8"/>
      <c r="J71" s="3"/>
      <c r="K71" s="8"/>
      <c r="L71" s="8"/>
      <c r="M71" s="3"/>
      <c r="N71" s="8"/>
      <c r="O71" s="8"/>
      <c r="P71" s="8"/>
      <c r="Q71" s="3"/>
      <c r="R71" s="8"/>
      <c r="S71" s="3"/>
      <c r="T71" s="8"/>
      <c r="U71" s="3"/>
      <c r="V71" s="8"/>
      <c r="W71" s="3"/>
      <c r="X71" s="8"/>
      <c r="Y71" s="3"/>
      <c r="Z71" s="8"/>
      <c r="AA71" s="3"/>
      <c r="AB71" s="3"/>
      <c r="AC71" s="3"/>
      <c r="AD71" s="3"/>
    </row>
    <row r="72" spans="1:30">
      <c r="A72" s="15"/>
      <c r="B72" s="3"/>
      <c r="C72" s="8"/>
      <c r="D72" s="3"/>
      <c r="E72" s="8"/>
      <c r="F72" s="8"/>
      <c r="G72" s="8"/>
      <c r="H72" s="8"/>
      <c r="I72" s="8"/>
      <c r="J72" s="3"/>
      <c r="K72" s="8"/>
      <c r="L72" s="8"/>
      <c r="M72" s="3"/>
      <c r="N72" s="8"/>
      <c r="O72" s="8"/>
      <c r="P72" s="8"/>
      <c r="Q72" s="3"/>
      <c r="R72" s="8"/>
      <c r="S72" s="3"/>
      <c r="T72" s="8"/>
      <c r="U72" s="3"/>
      <c r="V72" s="8"/>
      <c r="W72" s="3"/>
      <c r="X72" s="8"/>
      <c r="Y72" s="3"/>
      <c r="Z72" s="8"/>
      <c r="AA72" s="3"/>
      <c r="AB72" s="3"/>
      <c r="AC72" s="3"/>
      <c r="AD72" s="3"/>
    </row>
    <row r="73" spans="1:30">
      <c r="A73" s="15"/>
      <c r="B73" s="3"/>
      <c r="C73" s="8"/>
      <c r="D73" s="3"/>
      <c r="E73" s="8"/>
      <c r="F73" s="8"/>
      <c r="G73" s="8"/>
      <c r="H73" s="8"/>
      <c r="I73" s="8"/>
      <c r="J73" s="3"/>
      <c r="K73" s="8"/>
      <c r="L73" s="8"/>
      <c r="M73" s="3"/>
      <c r="N73" s="8"/>
      <c r="O73" s="8"/>
      <c r="P73" s="8"/>
      <c r="Q73" s="3"/>
      <c r="R73" s="8"/>
      <c r="S73" s="3"/>
      <c r="T73" s="8"/>
      <c r="U73" s="3"/>
      <c r="V73" s="8"/>
      <c r="W73" s="3"/>
      <c r="X73" s="8"/>
      <c r="Y73" s="3"/>
      <c r="Z73" s="8"/>
      <c r="AA73" s="3"/>
      <c r="AB73" s="3"/>
      <c r="AC73" s="3"/>
      <c r="AD73" s="3"/>
    </row>
    <row r="74" spans="1:30">
      <c r="A74" s="15"/>
      <c r="B74" s="3"/>
      <c r="C74" s="8"/>
      <c r="D74" s="3"/>
      <c r="E74" s="8"/>
      <c r="F74" s="8"/>
      <c r="G74" s="8"/>
      <c r="H74" s="8"/>
      <c r="I74" s="8"/>
      <c r="J74" s="3"/>
      <c r="K74" s="8"/>
      <c r="L74" s="8"/>
      <c r="M74" s="3"/>
      <c r="N74" s="8"/>
      <c r="O74" s="8"/>
      <c r="P74" s="8"/>
      <c r="Q74" s="3"/>
      <c r="R74" s="8"/>
      <c r="S74" s="3"/>
      <c r="T74" s="8"/>
      <c r="U74" s="3"/>
      <c r="V74" s="8"/>
      <c r="W74" s="3"/>
      <c r="X74" s="8"/>
      <c r="Y74" s="3"/>
      <c r="Z74" s="8"/>
      <c r="AA74" s="3"/>
      <c r="AB74" s="3"/>
      <c r="AC74" s="3"/>
      <c r="AD74" s="3"/>
    </row>
    <row r="75" spans="1:30">
      <c r="A75" s="15"/>
      <c r="B75" s="3"/>
      <c r="C75" s="8"/>
      <c r="D75" s="3"/>
      <c r="E75" s="8"/>
      <c r="F75" s="8"/>
      <c r="G75" s="8"/>
      <c r="H75" s="8"/>
      <c r="I75" s="8"/>
      <c r="J75" s="3"/>
      <c r="K75" s="8"/>
      <c r="L75" s="8"/>
      <c r="M75" s="3"/>
      <c r="N75" s="8"/>
      <c r="O75" s="8"/>
      <c r="P75" s="8"/>
      <c r="Q75" s="3"/>
      <c r="R75" s="8"/>
      <c r="S75" s="3"/>
      <c r="T75" s="8"/>
      <c r="U75" s="3"/>
      <c r="V75" s="8"/>
      <c r="W75" s="3"/>
      <c r="X75" s="8"/>
      <c r="Y75" s="3"/>
      <c r="Z75" s="8"/>
      <c r="AA75" s="3"/>
      <c r="AB75" s="3"/>
      <c r="AC75" s="3"/>
      <c r="AD75" s="3"/>
    </row>
    <row r="76" spans="1:30">
      <c r="A76" s="16"/>
      <c r="B76" s="3"/>
      <c r="C76" s="8"/>
      <c r="D76" s="3"/>
      <c r="E76" s="8"/>
      <c r="F76" s="4"/>
      <c r="H76" s="4"/>
      <c r="I76" s="4"/>
      <c r="K76" s="4"/>
      <c r="L76" s="4"/>
      <c r="M76" s="4"/>
      <c r="N76" s="4"/>
      <c r="O76" s="4"/>
      <c r="P76" s="4"/>
      <c r="R76" s="4"/>
      <c r="T76" s="4"/>
      <c r="V76" s="4"/>
      <c r="X76" s="4"/>
      <c r="Z76" s="4"/>
    </row>
    <row r="77" spans="1:30">
      <c r="A77" s="16"/>
      <c r="B77" s="3"/>
      <c r="C77" s="8"/>
      <c r="D77" s="3"/>
      <c r="E77" s="8"/>
      <c r="F77" s="4"/>
      <c r="H77" s="4"/>
      <c r="I77" s="4"/>
      <c r="K77" s="4"/>
      <c r="L77" s="4"/>
      <c r="M77" s="4"/>
      <c r="N77" s="4"/>
      <c r="O77" s="4"/>
      <c r="P77" s="4"/>
      <c r="R77" s="4"/>
      <c r="T77" s="4"/>
      <c r="V77" s="4"/>
      <c r="X77" s="4"/>
      <c r="Z77" s="4"/>
    </row>
    <row r="78" spans="1:30">
      <c r="A78" s="16"/>
      <c r="B78" s="3"/>
      <c r="C78" s="8"/>
      <c r="D78" s="3"/>
      <c r="E78" s="8"/>
      <c r="F78" s="4"/>
      <c r="H78" s="4"/>
      <c r="I78" s="4"/>
      <c r="K78" s="4"/>
      <c r="L78" s="4"/>
      <c r="M78" s="4"/>
      <c r="N78" s="4"/>
      <c r="O78" s="4"/>
      <c r="P78" s="4"/>
      <c r="R78" s="4"/>
      <c r="T78" s="4"/>
      <c r="V78" s="4"/>
      <c r="X78" s="4"/>
      <c r="Z78" s="4"/>
    </row>
    <row r="79" spans="1:30">
      <c r="A79" s="16"/>
      <c r="B79" s="3"/>
      <c r="C79" s="8"/>
      <c r="D79" s="3"/>
      <c r="E79" s="8"/>
      <c r="F79" s="4"/>
      <c r="H79" s="4"/>
      <c r="I79" s="4"/>
      <c r="K79" s="4"/>
      <c r="L79" s="4"/>
      <c r="M79" s="4"/>
      <c r="N79" s="4"/>
      <c r="O79" s="4"/>
      <c r="P79" s="4"/>
      <c r="R79" s="4"/>
      <c r="T79" s="4"/>
      <c r="V79" s="4"/>
      <c r="X79" s="4"/>
      <c r="Z79" s="4"/>
    </row>
    <row r="80" spans="1:30">
      <c r="A80" s="16"/>
      <c r="B80" s="3"/>
      <c r="C80" s="8"/>
      <c r="D80" s="3"/>
      <c r="E80" s="8"/>
      <c r="F80" s="4"/>
      <c r="H80" s="4"/>
      <c r="I80" s="4"/>
      <c r="K80" s="4"/>
      <c r="L80" s="4"/>
      <c r="M80" s="4"/>
      <c r="N80" s="4"/>
      <c r="O80" s="4"/>
      <c r="P80" s="4"/>
      <c r="R80" s="4"/>
      <c r="T80" s="4"/>
      <c r="V80" s="4"/>
      <c r="X80" s="4"/>
      <c r="Z80" s="4"/>
    </row>
    <row r="81" spans="1:26">
      <c r="A81" s="16"/>
      <c r="B81" s="3"/>
      <c r="C81" s="8"/>
      <c r="D81" s="3"/>
      <c r="E81" s="8"/>
      <c r="F81" s="4"/>
      <c r="H81" s="4"/>
      <c r="I81" s="4"/>
      <c r="K81" s="4"/>
      <c r="L81" s="4"/>
      <c r="M81" s="4"/>
      <c r="N81" s="4"/>
      <c r="O81" s="4"/>
      <c r="P81" s="4"/>
      <c r="R81" s="4"/>
      <c r="T81" s="4"/>
      <c r="V81" s="4"/>
      <c r="X81" s="4"/>
      <c r="Z81" s="4"/>
    </row>
    <row r="82" spans="1:26">
      <c r="A82" s="16"/>
      <c r="B82" s="3"/>
      <c r="C82" s="8"/>
      <c r="D82" s="3"/>
      <c r="E82" s="8"/>
      <c r="F82" s="4"/>
      <c r="H82" s="4"/>
      <c r="I82" s="4"/>
      <c r="K82" s="4"/>
      <c r="L82" s="4"/>
      <c r="M82" s="4"/>
      <c r="N82" s="4"/>
      <c r="O82" s="4"/>
      <c r="P82" s="4"/>
      <c r="R82" s="4"/>
      <c r="T82" s="4"/>
      <c r="V82" s="4"/>
      <c r="X82" s="4"/>
      <c r="Z82" s="4"/>
    </row>
    <row r="83" spans="1:26">
      <c r="A83" s="16"/>
      <c r="B83" s="3"/>
      <c r="C83" s="8"/>
      <c r="D83" s="3"/>
      <c r="E83" s="8"/>
      <c r="F83" s="4"/>
      <c r="H83" s="4"/>
      <c r="I83" s="4"/>
      <c r="K83" s="4"/>
      <c r="L83" s="4"/>
      <c r="M83" s="4"/>
      <c r="N83" s="4"/>
      <c r="P83" s="4"/>
      <c r="R83" s="4"/>
      <c r="T83" s="4"/>
      <c r="V83" s="4"/>
      <c r="X83" s="4"/>
      <c r="Z83" s="4"/>
    </row>
    <row r="84" spans="1:26">
      <c r="A84" s="16"/>
      <c r="B84" s="3"/>
      <c r="C84" s="8"/>
      <c r="D84" s="3"/>
      <c r="E84" s="8"/>
      <c r="F84" s="4"/>
      <c r="H84" s="4"/>
      <c r="I84" s="4"/>
      <c r="K84" s="4"/>
      <c r="L84" s="4"/>
      <c r="M84" s="4"/>
      <c r="N84" s="4"/>
      <c r="P84" s="4"/>
      <c r="R84" s="4"/>
      <c r="T84" s="4"/>
      <c r="V84" s="4"/>
      <c r="X84" s="4"/>
      <c r="Z84" s="4"/>
    </row>
    <row r="85" spans="1:26">
      <c r="A85" s="16"/>
      <c r="B85" s="3"/>
      <c r="C85" s="8"/>
      <c r="D85" s="3"/>
      <c r="E85" s="8"/>
      <c r="F85" s="4"/>
      <c r="H85" s="4"/>
      <c r="I85" s="4"/>
      <c r="K85" s="4"/>
      <c r="L85" s="4"/>
      <c r="M85" s="4"/>
      <c r="N85" s="4"/>
      <c r="P85" s="4"/>
      <c r="R85" s="4"/>
      <c r="T85" s="4"/>
      <c r="V85" s="4"/>
      <c r="X85" s="4"/>
      <c r="Z85" s="4"/>
    </row>
    <row r="86" spans="1:26">
      <c r="A86" s="16"/>
      <c r="B86" s="3"/>
      <c r="C86" s="8"/>
      <c r="D86" s="3"/>
      <c r="E86" s="8"/>
      <c r="F86" s="4"/>
      <c r="H86" s="4"/>
      <c r="I86" s="4"/>
      <c r="K86" s="4"/>
      <c r="L86" s="4"/>
      <c r="M86" s="4"/>
      <c r="N86" s="4"/>
      <c r="P86" s="4"/>
      <c r="R86" s="4"/>
      <c r="T86" s="4"/>
      <c r="V86" s="4"/>
      <c r="X86" s="4"/>
      <c r="Z86" s="4"/>
    </row>
    <row r="87" spans="1:26">
      <c r="A87" s="16"/>
      <c r="B87" s="3"/>
      <c r="C87" s="8"/>
      <c r="D87" s="3"/>
      <c r="E87" s="8"/>
      <c r="F87" s="4"/>
      <c r="H87" s="4"/>
      <c r="I87" s="4"/>
      <c r="K87" s="4"/>
      <c r="L87" s="4"/>
      <c r="M87" s="4"/>
      <c r="N87" s="4"/>
      <c r="O87" s="4"/>
      <c r="P87" s="4"/>
      <c r="R87" s="4"/>
      <c r="T87" s="4"/>
      <c r="V87" s="4"/>
      <c r="X87" s="4"/>
      <c r="Z87" s="4"/>
    </row>
    <row r="88" spans="1:26">
      <c r="A88" s="16"/>
      <c r="B88" s="3"/>
      <c r="C88" s="8"/>
      <c r="D88" s="3"/>
      <c r="E88" s="8"/>
      <c r="F88" s="4"/>
      <c r="H88" s="4"/>
      <c r="I88" s="4"/>
      <c r="K88" s="4"/>
      <c r="L88" s="4"/>
      <c r="M88" s="4"/>
      <c r="N88" s="4"/>
      <c r="P88" s="4"/>
      <c r="R88" s="4"/>
      <c r="T88" s="4"/>
      <c r="V88" s="4"/>
      <c r="X88" s="4"/>
      <c r="Z88" s="4"/>
    </row>
    <row r="89" spans="1:26">
      <c r="A89" s="16"/>
      <c r="B89" s="3"/>
      <c r="C89" s="8"/>
      <c r="D89" s="3"/>
      <c r="E89" s="8"/>
      <c r="F89" s="4"/>
      <c r="H89" s="4"/>
      <c r="I89" s="4"/>
      <c r="K89" s="4"/>
      <c r="L89" s="4"/>
      <c r="M89" s="4"/>
      <c r="N89" s="4"/>
      <c r="P89" s="4"/>
      <c r="R89" s="4"/>
      <c r="T89" s="4"/>
      <c r="V89" s="4"/>
      <c r="X89" s="4"/>
      <c r="Z89" s="4"/>
    </row>
    <row r="90" spans="1:26">
      <c r="A90" s="17"/>
      <c r="B90" s="18"/>
      <c r="C90" s="19"/>
      <c r="E90" s="8"/>
      <c r="F90" s="4"/>
      <c r="H90" s="4"/>
      <c r="I90" s="4"/>
      <c r="K90" s="4"/>
      <c r="L90" s="4"/>
      <c r="M90" s="4"/>
      <c r="N90" s="4"/>
      <c r="O90" s="4"/>
      <c r="P90" s="4"/>
      <c r="R90" s="4"/>
      <c r="T90" s="4"/>
      <c r="V90" s="4"/>
      <c r="X90" s="4"/>
      <c r="Z90" s="4"/>
    </row>
    <row r="91" spans="1:26">
      <c r="A91" s="16"/>
      <c r="B91" s="3"/>
      <c r="C91" s="8"/>
      <c r="D91" s="3"/>
      <c r="E91" s="8"/>
      <c r="F91" s="4"/>
      <c r="H91" s="4"/>
      <c r="I91" s="4"/>
      <c r="K91" s="4"/>
      <c r="L91" s="4"/>
      <c r="M91" s="4"/>
      <c r="N91" s="4"/>
      <c r="P91" s="4"/>
      <c r="R91" s="4"/>
      <c r="T91" s="4"/>
      <c r="V91" s="4"/>
      <c r="X91" s="4"/>
      <c r="Z91" s="4"/>
    </row>
    <row r="92" spans="1:26">
      <c r="A92" s="16"/>
      <c r="B92" s="3"/>
      <c r="C92" s="8"/>
      <c r="D92" s="3"/>
      <c r="E92" s="8"/>
      <c r="F92" s="4"/>
      <c r="H92" s="4"/>
      <c r="I92" s="4"/>
      <c r="K92" s="4"/>
      <c r="L92" s="4"/>
      <c r="M92" s="4"/>
      <c r="N92" s="4"/>
      <c r="P92" s="4"/>
      <c r="R92" s="4"/>
      <c r="T92" s="4"/>
      <c r="V92" s="4"/>
      <c r="X92" s="4"/>
      <c r="Z92" s="4"/>
    </row>
    <row r="93" spans="1:26">
      <c r="A93" s="16"/>
      <c r="B93" s="3"/>
      <c r="C93" s="8"/>
      <c r="D93" s="3"/>
      <c r="E93" s="8"/>
      <c r="F93" s="4"/>
      <c r="H93" s="4"/>
      <c r="I93" s="4"/>
      <c r="K93" s="4"/>
      <c r="L93" s="4"/>
      <c r="M93" s="4"/>
      <c r="N93" s="4"/>
      <c r="P93" s="4"/>
      <c r="R93" s="4"/>
      <c r="T93" s="4"/>
      <c r="V93" s="4"/>
      <c r="X93" s="4"/>
      <c r="Z93" s="4"/>
    </row>
    <row r="94" spans="1:26">
      <c r="A94" s="16"/>
      <c r="B94" s="3"/>
      <c r="C94" s="8"/>
      <c r="D94" s="3"/>
      <c r="E94" s="8"/>
      <c r="F94" s="4"/>
      <c r="H94" s="4"/>
      <c r="I94" s="4"/>
      <c r="K94" s="4"/>
      <c r="L94" s="4"/>
      <c r="M94" s="4"/>
      <c r="N94" s="4"/>
      <c r="P94" s="4"/>
      <c r="R94" s="4"/>
      <c r="T94" s="4"/>
      <c r="V94" s="4"/>
      <c r="X94" s="4"/>
      <c r="Z94" s="4"/>
    </row>
    <row r="95" spans="1:26">
      <c r="A95" s="16"/>
      <c r="B95" s="3"/>
      <c r="C95" s="8"/>
      <c r="D95" s="3"/>
      <c r="E95" s="8"/>
      <c r="F95" s="4"/>
      <c r="H95" s="4"/>
      <c r="I95" s="4"/>
      <c r="K95" s="4"/>
      <c r="L95" s="4"/>
      <c r="M95" s="4"/>
      <c r="N95" s="4"/>
      <c r="P95" s="4"/>
      <c r="R95" s="4"/>
      <c r="T95" s="4"/>
      <c r="V95" s="4"/>
      <c r="X95" s="4"/>
      <c r="Z95" s="4"/>
    </row>
    <row r="96" spans="1:26">
      <c r="A96" s="16"/>
      <c r="C96" s="8"/>
      <c r="E96" s="8"/>
      <c r="F96" s="4"/>
      <c r="H96" s="4"/>
      <c r="I96" s="4"/>
      <c r="K96" s="4"/>
      <c r="L96" s="4"/>
      <c r="N96" s="4"/>
      <c r="P96" s="4"/>
      <c r="R96" s="4"/>
      <c r="T96" s="4"/>
      <c r="V96" s="4"/>
      <c r="X96" s="4"/>
      <c r="Z96" s="4"/>
    </row>
    <row r="97" spans="3:26">
      <c r="C97" s="8"/>
      <c r="E97" s="8"/>
      <c r="F97" s="4"/>
      <c r="H97" s="4"/>
      <c r="I97" s="4"/>
      <c r="K97" s="4"/>
      <c r="L97" s="4"/>
      <c r="N97" s="4"/>
      <c r="P97" s="4"/>
      <c r="R97" s="4"/>
      <c r="T97" s="4"/>
      <c r="V97" s="4"/>
      <c r="X97" s="4"/>
      <c r="Z97" s="4"/>
    </row>
    <row r="98" spans="3:26">
      <c r="C98" s="8"/>
      <c r="E98" s="8"/>
      <c r="F98" s="4"/>
      <c r="H98" s="4"/>
      <c r="I98" s="4"/>
      <c r="K98" s="4"/>
      <c r="L98" s="4"/>
      <c r="N98" s="4"/>
      <c r="P98" s="4"/>
      <c r="R98" s="4"/>
      <c r="T98" s="4"/>
      <c r="V98" s="4"/>
      <c r="X98" s="4"/>
      <c r="Z98" s="4"/>
    </row>
    <row r="99" spans="3:26">
      <c r="C99" s="8"/>
      <c r="E99" s="8"/>
      <c r="F99" s="4"/>
      <c r="H99" s="4"/>
      <c r="I99" s="4"/>
      <c r="K99" s="4"/>
      <c r="L99" s="4"/>
      <c r="N99" s="4"/>
      <c r="P99" s="4"/>
      <c r="R99" s="4"/>
      <c r="T99" s="4"/>
      <c r="V99" s="4"/>
      <c r="X99" s="4"/>
      <c r="Z99" s="4"/>
    </row>
    <row r="100" spans="3:26">
      <c r="C100" s="8"/>
      <c r="E100" s="8"/>
      <c r="F100" s="4"/>
      <c r="H100" s="4"/>
      <c r="I100" s="4"/>
      <c r="K100" s="4"/>
      <c r="L100" s="4"/>
      <c r="N100" s="4"/>
      <c r="P100" s="4"/>
      <c r="R100" s="4"/>
      <c r="T100" s="4"/>
      <c r="V100" s="4"/>
      <c r="X100" s="4"/>
      <c r="Z100" s="4"/>
    </row>
    <row r="101" spans="3:26">
      <c r="C101" s="8"/>
      <c r="E101" s="8"/>
      <c r="F101" s="4"/>
      <c r="H101" s="4"/>
      <c r="I101" s="4"/>
      <c r="K101" s="4"/>
      <c r="L101" s="4"/>
      <c r="N101" s="4"/>
      <c r="P101" s="4"/>
      <c r="R101" s="4"/>
      <c r="T101" s="4"/>
      <c r="V101" s="4"/>
      <c r="X101" s="4"/>
      <c r="Z101" s="4"/>
    </row>
    <row r="102" spans="3:26">
      <c r="C102" s="8"/>
      <c r="E102" s="8"/>
      <c r="F102" s="4"/>
      <c r="H102" s="4"/>
      <c r="I102" s="4"/>
      <c r="K102" s="4"/>
      <c r="L102" s="4"/>
      <c r="N102" s="4"/>
      <c r="P102" s="4"/>
      <c r="R102" s="4"/>
      <c r="T102" s="4"/>
      <c r="V102" s="4"/>
      <c r="X102" s="4"/>
      <c r="Z102" s="4"/>
    </row>
    <row r="103" spans="3:26">
      <c r="C103" s="8"/>
      <c r="E103" s="8"/>
      <c r="F103" s="4"/>
      <c r="H103" s="4"/>
      <c r="I103" s="4"/>
      <c r="K103" s="4"/>
      <c r="L103" s="4"/>
      <c r="N103" s="4"/>
      <c r="P103" s="4"/>
      <c r="R103" s="4"/>
      <c r="T103" s="4"/>
      <c r="V103" s="4"/>
      <c r="X103" s="4"/>
      <c r="Z103" s="4"/>
    </row>
    <row r="104" spans="3:26">
      <c r="C104" s="8"/>
      <c r="E104" s="8"/>
      <c r="F104" s="4"/>
      <c r="H104" s="4"/>
      <c r="I104" s="4"/>
      <c r="K104" s="4"/>
      <c r="L104" s="4"/>
      <c r="N104" s="4"/>
      <c r="P104" s="4"/>
      <c r="R104" s="4"/>
      <c r="T104" s="4"/>
      <c r="V104" s="4"/>
      <c r="X104" s="4"/>
      <c r="Z104" s="4"/>
    </row>
    <row r="105" spans="3:26">
      <c r="C105" s="8"/>
      <c r="E105" s="8"/>
      <c r="F105" s="4"/>
      <c r="H105" s="4"/>
      <c r="I105" s="4"/>
      <c r="K105" s="4"/>
      <c r="L105" s="4"/>
      <c r="N105" s="4"/>
      <c r="P105" s="4"/>
      <c r="R105" s="4"/>
      <c r="T105" s="4"/>
      <c r="V105" s="4"/>
      <c r="X105" s="4"/>
      <c r="Z105" s="4"/>
    </row>
    <row r="106" spans="3:26">
      <c r="C106" s="8"/>
      <c r="E106" s="8"/>
      <c r="F106" s="4"/>
      <c r="H106" s="4"/>
      <c r="I106" s="4"/>
      <c r="K106" s="4"/>
      <c r="L106" s="4"/>
      <c r="N106" s="4"/>
      <c r="P106" s="4"/>
      <c r="R106" s="4"/>
      <c r="T106" s="4"/>
      <c r="V106" s="4"/>
      <c r="X106" s="4"/>
      <c r="Z106" s="4"/>
    </row>
    <row r="107" spans="3:26">
      <c r="C107" s="8"/>
      <c r="E107" s="8"/>
      <c r="F107" s="4"/>
      <c r="H107" s="4"/>
      <c r="I107" s="4"/>
      <c r="K107" s="4"/>
      <c r="L107" s="4"/>
      <c r="N107" s="4"/>
      <c r="P107" s="4"/>
      <c r="R107" s="4"/>
      <c r="T107" s="4"/>
      <c r="V107" s="4"/>
      <c r="X107" s="4"/>
      <c r="Z107" s="4"/>
    </row>
  </sheetData>
  <mergeCells count="3">
    <mergeCell ref="J52:R52"/>
    <mergeCell ref="J53:R53"/>
    <mergeCell ref="J51:R51"/>
  </mergeCells>
  <phoneticPr fontId="1" type="noConversion"/>
  <conditionalFormatting sqref="W40:AF40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W38:AF38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C41:AC49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{091C853D-DFF1-496E-86F2-69B0FB860B90}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91C853D-DFF1-496E-86F2-69B0FB860B9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AC41:AC49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69"/>
  <sheetViews>
    <sheetView tabSelected="1" topLeftCell="A30" zoomScale="85" zoomScaleNormal="85" workbookViewId="0">
      <selection activeCell="H75" sqref="H75"/>
    </sheetView>
  </sheetViews>
  <sheetFormatPr defaultColWidth="9.08984375" defaultRowHeight="14.5"/>
  <cols>
    <col min="1" max="3" width="9.54296875" style="1" customWidth="1"/>
    <col min="4" max="4" width="12.81640625" style="1" bestFit="1" customWidth="1"/>
    <col min="5" max="5" width="8.81640625" style="1" customWidth="1"/>
    <col min="6" max="6" width="15" style="1" bestFit="1" customWidth="1"/>
    <col min="7" max="7" width="10.54296875" style="1" customWidth="1"/>
    <col min="8" max="8" width="12.81640625" style="1" bestFit="1" customWidth="1"/>
    <col min="9" max="9" width="10.453125" style="1" bestFit="1" customWidth="1"/>
    <col min="10" max="10" width="11.7265625" style="1" bestFit="1" customWidth="1"/>
    <col min="11" max="11" width="11.7265625" style="1" customWidth="1"/>
    <col min="12" max="12" width="12.08984375" style="1" customWidth="1"/>
    <col min="13" max="14" width="10.453125" style="1" customWidth="1"/>
    <col min="15" max="15" width="12.81640625" style="1" bestFit="1" customWidth="1"/>
    <col min="16" max="16" width="11.7265625" style="1" bestFit="1" customWidth="1"/>
    <col min="17" max="17" width="9.54296875" style="1" bestFit="1" customWidth="1"/>
    <col min="18" max="19" width="9.54296875" style="1" customWidth="1"/>
    <col min="20" max="20" width="12.81640625" style="1" bestFit="1" customWidth="1"/>
    <col min="21" max="21" width="10.453125" style="1" bestFit="1" customWidth="1"/>
    <col min="22" max="22" width="12.81640625" style="1" bestFit="1" customWidth="1"/>
    <col min="23" max="23" width="9.54296875" style="1" bestFit="1" customWidth="1"/>
    <col min="24" max="24" width="9.54296875" style="1" customWidth="1"/>
    <col min="25" max="25" width="9.453125" style="1" bestFit="1" customWidth="1"/>
    <col min="26" max="26" width="9.08984375" style="1"/>
    <col min="27" max="27" width="16.08984375" style="1" bestFit="1" customWidth="1"/>
    <col min="28" max="28" width="9.453125" style="1" bestFit="1" customWidth="1"/>
    <col min="29" max="29" width="12.7265625" style="1" bestFit="1" customWidth="1"/>
    <col min="30" max="16384" width="9.08984375" style="1"/>
  </cols>
  <sheetData>
    <row r="1" spans="1:24" ht="29">
      <c r="A1" s="1" t="s">
        <v>407</v>
      </c>
      <c r="C1" s="1" t="s">
        <v>408</v>
      </c>
      <c r="E1" s="1" t="s">
        <v>409</v>
      </c>
      <c r="G1" s="1" t="s">
        <v>451</v>
      </c>
      <c r="I1" s="1" t="s">
        <v>411</v>
      </c>
      <c r="K1" s="1" t="s">
        <v>412</v>
      </c>
      <c r="M1" s="1" t="s">
        <v>413</v>
      </c>
      <c r="O1" s="1" t="s">
        <v>414</v>
      </c>
      <c r="Q1" s="1" t="s">
        <v>448</v>
      </c>
      <c r="S1" s="1" t="s">
        <v>415</v>
      </c>
      <c r="U1" s="1" t="s">
        <v>416</v>
      </c>
      <c r="W1" s="1" t="s">
        <v>406</v>
      </c>
    </row>
    <row r="2" spans="1:24" ht="43.5">
      <c r="A2" s="1" t="s">
        <v>447</v>
      </c>
      <c r="B2" s="1" t="s">
        <v>446</v>
      </c>
      <c r="C2" s="1" t="s">
        <v>447</v>
      </c>
      <c r="D2" s="1" t="s">
        <v>446</v>
      </c>
      <c r="E2" s="1" t="s">
        <v>447</v>
      </c>
      <c r="F2" s="1" t="s">
        <v>446</v>
      </c>
      <c r="G2" s="1" t="s">
        <v>447</v>
      </c>
      <c r="H2" s="1" t="s">
        <v>446</v>
      </c>
      <c r="I2" s="1" t="s">
        <v>447</v>
      </c>
      <c r="J2" s="1" t="s">
        <v>446</v>
      </c>
      <c r="K2" s="1" t="s">
        <v>447</v>
      </c>
      <c r="L2" s="1" t="s">
        <v>446</v>
      </c>
      <c r="M2" s="1" t="s">
        <v>447</v>
      </c>
      <c r="N2" s="1" t="s">
        <v>446</v>
      </c>
      <c r="O2" s="1" t="s">
        <v>447</v>
      </c>
      <c r="P2" s="1" t="s">
        <v>446</v>
      </c>
      <c r="Q2" s="1" t="s">
        <v>447</v>
      </c>
      <c r="R2" s="1" t="s">
        <v>446</v>
      </c>
      <c r="S2" s="1" t="s">
        <v>447</v>
      </c>
      <c r="T2" s="1" t="s">
        <v>446</v>
      </c>
      <c r="U2" s="1" t="s">
        <v>447</v>
      </c>
      <c r="V2" s="1" t="s">
        <v>446</v>
      </c>
      <c r="W2" s="1" t="s">
        <v>447</v>
      </c>
      <c r="X2" s="1" t="s">
        <v>446</v>
      </c>
    </row>
    <row r="3" spans="1:24">
      <c r="A3" s="1">
        <v>0.2</v>
      </c>
      <c r="B3" s="1">
        <v>0.15229999999999999</v>
      </c>
      <c r="C3" s="1">
        <v>0.2</v>
      </c>
      <c r="D3" s="1">
        <v>8.43E-2</v>
      </c>
      <c r="E3" s="1">
        <v>0.2</v>
      </c>
      <c r="F3" s="1">
        <v>0.20680000000000001</v>
      </c>
      <c r="G3" s="1">
        <v>0.2</v>
      </c>
      <c r="I3" s="1">
        <v>0.4</v>
      </c>
      <c r="J3" s="1">
        <v>0.2162</v>
      </c>
      <c r="K3" s="1">
        <v>0.4</v>
      </c>
      <c r="L3" s="1">
        <v>2.5700000000000001E-2</v>
      </c>
      <c r="M3" s="1">
        <v>0.4</v>
      </c>
      <c r="N3" s="1">
        <v>1.0200000000000001E-2</v>
      </c>
      <c r="O3" s="1">
        <v>0.4</v>
      </c>
      <c r="P3" s="1">
        <v>6.6E-3</v>
      </c>
      <c r="Q3" s="1">
        <v>0.4</v>
      </c>
      <c r="S3" s="1">
        <v>0.4</v>
      </c>
      <c r="T3" s="1">
        <v>0.44679999999999997</v>
      </c>
      <c r="U3" s="1">
        <v>0.4</v>
      </c>
      <c r="V3" s="1">
        <v>0.124</v>
      </c>
      <c r="W3" s="1">
        <v>0.4</v>
      </c>
      <c r="X3" s="1">
        <v>1.5100000000000001E-2</v>
      </c>
    </row>
    <row r="4" spans="1:24">
      <c r="A4" s="1">
        <v>1</v>
      </c>
      <c r="B4" s="1">
        <v>1.2149000000000001</v>
      </c>
      <c r="C4" s="1">
        <v>1</v>
      </c>
      <c r="D4" s="1">
        <v>0.78869999999999996</v>
      </c>
      <c r="E4" s="1">
        <v>1</v>
      </c>
      <c r="F4" s="1">
        <v>1.0747</v>
      </c>
      <c r="G4" s="1">
        <v>1</v>
      </c>
      <c r="H4" s="1">
        <v>1.1904999999999999</v>
      </c>
      <c r="I4" s="1">
        <v>2</v>
      </c>
      <c r="J4" s="1">
        <v>0.69869999999999999</v>
      </c>
      <c r="K4" s="1">
        <v>2</v>
      </c>
      <c r="L4" s="1">
        <v>0.44280000000000003</v>
      </c>
      <c r="M4" s="1">
        <v>2</v>
      </c>
      <c r="N4" s="1">
        <v>0.248</v>
      </c>
      <c r="O4" s="1">
        <v>2</v>
      </c>
      <c r="P4" s="1">
        <v>0.13769999999999999</v>
      </c>
      <c r="Q4" s="1">
        <v>2</v>
      </c>
      <c r="R4" s="1">
        <v>0.70820000000000005</v>
      </c>
      <c r="S4" s="1">
        <v>2</v>
      </c>
      <c r="T4" s="1">
        <v>2.6855000000000002</v>
      </c>
      <c r="U4" s="1">
        <v>2</v>
      </c>
      <c r="V4" s="1">
        <v>1.7618</v>
      </c>
      <c r="W4" s="1">
        <v>2</v>
      </c>
      <c r="X4" s="1">
        <v>0.38059999999999999</v>
      </c>
    </row>
    <row r="5" spans="1:24">
      <c r="A5" s="1">
        <v>5</v>
      </c>
      <c r="B5" s="1">
        <v>6.2723000000000004</v>
      </c>
      <c r="C5" s="1">
        <v>5</v>
      </c>
      <c r="D5" s="1">
        <v>4.7575000000000003</v>
      </c>
      <c r="E5" s="1">
        <v>5</v>
      </c>
      <c r="F5" s="1">
        <v>6.3217999999999996</v>
      </c>
      <c r="G5" s="1">
        <v>5</v>
      </c>
      <c r="H5" s="1">
        <v>7.5297999999999998</v>
      </c>
      <c r="I5" s="1">
        <v>10</v>
      </c>
      <c r="J5" s="1">
        <v>7.8217999999999996</v>
      </c>
      <c r="K5" s="1">
        <v>10</v>
      </c>
      <c r="L5" s="1">
        <v>4.1483999999999996</v>
      </c>
      <c r="M5" s="1">
        <v>10</v>
      </c>
      <c r="N5" s="1">
        <v>3.742</v>
      </c>
      <c r="O5" s="1">
        <v>10</v>
      </c>
      <c r="P5" s="1">
        <v>1.7322</v>
      </c>
      <c r="Q5" s="1">
        <v>10</v>
      </c>
      <c r="R5" s="1">
        <v>3.4786999999999999</v>
      </c>
      <c r="S5" s="1">
        <v>10</v>
      </c>
      <c r="T5" s="1">
        <v>14.2033</v>
      </c>
      <c r="U5" s="1">
        <v>10</v>
      </c>
      <c r="V5" s="1">
        <v>10.9199</v>
      </c>
      <c r="W5" s="1">
        <v>10</v>
      </c>
      <c r="X5" s="1">
        <v>6.0345000000000004</v>
      </c>
    </row>
    <row r="6" spans="1:24">
      <c r="A6" s="1">
        <v>20</v>
      </c>
      <c r="B6" s="1">
        <v>21.978400000000001</v>
      </c>
      <c r="C6" s="1">
        <v>20</v>
      </c>
      <c r="D6" s="1">
        <v>18.7866</v>
      </c>
      <c r="E6" s="1">
        <v>20</v>
      </c>
      <c r="F6" s="1">
        <v>25.221599999999999</v>
      </c>
      <c r="G6" s="1">
        <v>20</v>
      </c>
      <c r="H6" s="1">
        <v>30.2135</v>
      </c>
      <c r="I6" s="1">
        <v>40</v>
      </c>
      <c r="J6" s="1">
        <v>38.971899999999998</v>
      </c>
      <c r="K6" s="1">
        <v>40</v>
      </c>
      <c r="L6" s="1">
        <v>21.884</v>
      </c>
      <c r="M6" s="1">
        <v>40</v>
      </c>
      <c r="N6" s="1">
        <v>21.853000000000002</v>
      </c>
      <c r="O6" s="1">
        <v>40</v>
      </c>
      <c r="P6" s="1">
        <v>12.3362</v>
      </c>
      <c r="Q6" s="1">
        <v>40</v>
      </c>
      <c r="R6" s="1">
        <v>13.4854</v>
      </c>
      <c r="S6" s="1">
        <v>40</v>
      </c>
      <c r="T6" s="1">
        <v>53.267699999999998</v>
      </c>
      <c r="U6" s="1">
        <v>40</v>
      </c>
      <c r="V6" s="1">
        <v>44.930300000000003</v>
      </c>
      <c r="W6" s="1">
        <v>40</v>
      </c>
      <c r="X6" s="1">
        <v>35.714399999999998</v>
      </c>
    </row>
    <row r="7" spans="1:24">
      <c r="A7" s="1">
        <v>40</v>
      </c>
      <c r="B7" s="1">
        <v>41.525700000000001</v>
      </c>
      <c r="C7" s="1">
        <v>40</v>
      </c>
      <c r="D7" s="1">
        <v>33.052900000000001</v>
      </c>
      <c r="E7" s="1">
        <v>40</v>
      </c>
      <c r="F7" s="1">
        <v>43.900700000000001</v>
      </c>
      <c r="G7" s="1">
        <v>40</v>
      </c>
      <c r="H7" s="1">
        <v>54.171799999999998</v>
      </c>
      <c r="I7" s="1">
        <v>80</v>
      </c>
      <c r="J7" s="1">
        <v>81.151799999999994</v>
      </c>
      <c r="K7" s="1">
        <v>80</v>
      </c>
      <c r="L7" s="1">
        <v>43.664900000000003</v>
      </c>
      <c r="M7" s="1">
        <v>80</v>
      </c>
      <c r="N7" s="1">
        <v>39.005200000000002</v>
      </c>
      <c r="O7" s="1">
        <v>80</v>
      </c>
      <c r="P7" s="1">
        <v>24.8215</v>
      </c>
      <c r="Q7" s="1">
        <v>80</v>
      </c>
      <c r="R7" s="1">
        <v>25.014800000000001</v>
      </c>
      <c r="S7" s="1">
        <v>80</v>
      </c>
      <c r="T7" s="1">
        <v>92.516000000000005</v>
      </c>
      <c r="U7" s="1">
        <v>80</v>
      </c>
      <c r="V7" s="1">
        <v>80.373999999999995</v>
      </c>
      <c r="W7" s="1">
        <v>80</v>
      </c>
      <c r="X7" s="1">
        <v>60.642800000000001</v>
      </c>
    </row>
    <row r="8" spans="1:24">
      <c r="A8" s="1">
        <v>50</v>
      </c>
      <c r="B8" s="1">
        <v>53.063099999999999</v>
      </c>
      <c r="C8" s="1">
        <v>50</v>
      </c>
      <c r="D8" s="1">
        <v>44.1738</v>
      </c>
      <c r="E8" s="1">
        <v>50</v>
      </c>
      <c r="F8" s="1">
        <v>55.5182</v>
      </c>
      <c r="G8" s="1">
        <v>50</v>
      </c>
      <c r="H8" s="1">
        <v>72.8142</v>
      </c>
      <c r="I8" s="1">
        <v>100</v>
      </c>
      <c r="J8" s="1">
        <v>105.045</v>
      </c>
      <c r="K8" s="1">
        <v>100</v>
      </c>
      <c r="L8" s="1">
        <v>53.283000000000001</v>
      </c>
      <c r="M8" s="1">
        <v>100</v>
      </c>
      <c r="N8" s="1">
        <v>52.611400000000003</v>
      </c>
      <c r="Q8" s="1">
        <v>100</v>
      </c>
      <c r="R8" s="1">
        <v>33.655900000000003</v>
      </c>
    </row>
    <row r="13" spans="1:24">
      <c r="J13" s="2"/>
      <c r="K13" s="2"/>
      <c r="L13" s="2"/>
      <c r="M13" s="2"/>
      <c r="N13" s="2"/>
    </row>
    <row r="39" spans="1:27" ht="27" customHeight="1">
      <c r="A39" s="3"/>
      <c r="B39" s="3" t="s">
        <v>406</v>
      </c>
      <c r="C39" s="3"/>
      <c r="D39" s="3" t="s">
        <v>407</v>
      </c>
      <c r="E39" s="3"/>
      <c r="F39" s="3" t="s">
        <v>453</v>
      </c>
      <c r="G39" s="3"/>
      <c r="H39" s="3" t="s">
        <v>409</v>
      </c>
      <c r="I39" s="3"/>
      <c r="J39" s="23" t="s">
        <v>451</v>
      </c>
      <c r="K39" s="23"/>
      <c r="L39" s="23"/>
      <c r="M39" s="23" t="s">
        <v>411</v>
      </c>
      <c r="N39" s="23"/>
      <c r="O39" s="23"/>
      <c r="P39" s="3" t="s">
        <v>412</v>
      </c>
      <c r="Q39" s="3"/>
      <c r="R39" s="3" t="s">
        <v>413</v>
      </c>
      <c r="S39" s="3"/>
      <c r="T39" s="3" t="s">
        <v>448</v>
      </c>
      <c r="U39" s="3"/>
      <c r="V39" s="3" t="s">
        <v>415</v>
      </c>
      <c r="W39" s="3"/>
      <c r="X39" s="3" t="s">
        <v>416</v>
      </c>
      <c r="Y39" s="3"/>
      <c r="Z39" s="3" t="s">
        <v>414</v>
      </c>
      <c r="AA39" s="3"/>
    </row>
    <row r="40" spans="1:27" ht="43.5">
      <c r="A40" s="3" t="s">
        <v>170</v>
      </c>
      <c r="B40" s="3" t="s">
        <v>446</v>
      </c>
      <c r="C40" s="3" t="s">
        <v>447</v>
      </c>
      <c r="D40" s="3" t="s">
        <v>446</v>
      </c>
      <c r="E40" s="3" t="s">
        <v>447</v>
      </c>
      <c r="F40" s="3" t="s">
        <v>446</v>
      </c>
      <c r="G40" s="3" t="s">
        <v>447</v>
      </c>
      <c r="H40" s="3" t="s">
        <v>446</v>
      </c>
      <c r="I40" s="3" t="s">
        <v>447</v>
      </c>
      <c r="J40" s="23" t="s">
        <v>454</v>
      </c>
      <c r="K40" s="3" t="s">
        <v>446</v>
      </c>
      <c r="L40" s="3" t="s">
        <v>447</v>
      </c>
      <c r="M40" s="23" t="s">
        <v>454</v>
      </c>
      <c r="N40" s="3" t="s">
        <v>446</v>
      </c>
      <c r="O40" s="3" t="s">
        <v>447</v>
      </c>
      <c r="P40" s="3" t="s">
        <v>446</v>
      </c>
      <c r="Q40" s="3" t="s">
        <v>447</v>
      </c>
      <c r="R40" s="3" t="s">
        <v>446</v>
      </c>
      <c r="S40" s="3" t="s">
        <v>447</v>
      </c>
      <c r="T40" s="3" t="s">
        <v>446</v>
      </c>
      <c r="U40" s="3" t="s">
        <v>447</v>
      </c>
      <c r="V40" s="3" t="s">
        <v>446</v>
      </c>
      <c r="W40" s="3" t="s">
        <v>447</v>
      </c>
      <c r="X40" s="3" t="s">
        <v>446</v>
      </c>
      <c r="Y40" s="3" t="s">
        <v>447</v>
      </c>
      <c r="Z40" s="3" t="s">
        <v>446</v>
      </c>
      <c r="AA40" s="3" t="s">
        <v>447</v>
      </c>
    </row>
    <row r="41" spans="1:27">
      <c r="A41" s="14" t="s">
        <v>417</v>
      </c>
      <c r="B41" s="22">
        <v>2.1419999999999999</v>
      </c>
      <c r="C41" s="22">
        <f t="shared" ref="C41:C61" si="0">(B41+0.2852)/0.7871</f>
        <v>3.0837250667005462</v>
      </c>
      <c r="D41" s="3">
        <v>0.73329999999999995</v>
      </c>
      <c r="E41" s="22">
        <f t="shared" ref="E41:E62" si="1">(D41-0.4387)/1.0463</f>
        <v>0.28156360508458372</v>
      </c>
      <c r="F41" s="22">
        <v>0.2475</v>
      </c>
      <c r="G41" s="22">
        <f t="shared" ref="G41:G62" si="2">(F41-0.2378)/0.8625</f>
        <v>1.1246376811594187E-2</v>
      </c>
      <c r="H41" s="22">
        <v>0.1605</v>
      </c>
      <c r="I41" s="22"/>
      <c r="J41" s="22">
        <v>6.8125999999999998</v>
      </c>
      <c r="K41" s="11">
        <f t="shared" ref="K41:K61" si="3">J41*2</f>
        <v>13.6252</v>
      </c>
      <c r="L41" s="11">
        <f t="shared" ref="L41:L61" si="4">(K41-0.2913)/1.4178</f>
        <v>9.4046409930878827</v>
      </c>
      <c r="M41" s="22">
        <v>46.363399999999999</v>
      </c>
      <c r="N41" s="22">
        <f t="shared" ref="N41:N52" si="5">M41*2</f>
        <v>92.726799999999997</v>
      </c>
      <c r="O41" s="11">
        <f t="shared" ref="O41:O61" si="6">(N41+1.7608)/1.0519</f>
        <v>89.825648825934024</v>
      </c>
      <c r="P41" s="22">
        <v>4.8531000000000004</v>
      </c>
      <c r="Q41" s="22">
        <f t="shared" ref="Q41:Q61" si="7">(P41+0.5211)/0.5446</f>
        <v>9.8681601175174443</v>
      </c>
      <c r="R41" s="22">
        <v>8.5238999999999994</v>
      </c>
      <c r="S41" s="22">
        <f t="shared" ref="S41:S61" si="8">(R41+0.8073)/0.5237</f>
        <v>17.817834638151609</v>
      </c>
      <c r="T41" s="22">
        <v>1.7806</v>
      </c>
      <c r="U41" s="22">
        <f t="shared" ref="U41:U61" si="9">(T41-0.0948)/0.327</f>
        <v>5.1553516819571863</v>
      </c>
      <c r="V41" s="22">
        <v>5.9627999999999997</v>
      </c>
      <c r="W41" s="22">
        <f t="shared" ref="W41:W61" si="10">(V41-1.7559)/1.1657</f>
        <v>3.608904520888736</v>
      </c>
      <c r="X41" s="3">
        <v>1.2948999999999999</v>
      </c>
      <c r="Y41" s="22">
        <f t="shared" ref="Y41:Y61" si="11">(X41-0.6551)/1.0184</f>
        <v>0.62824037706205804</v>
      </c>
      <c r="Z41" s="3">
        <v>0.25569999999999998</v>
      </c>
      <c r="AA41" s="22">
        <f t="shared" ref="AA41:AA61" si="12">(Z41+0.6191)/0.3182</f>
        <v>2.7492143306096795</v>
      </c>
    </row>
    <row r="42" spans="1:27">
      <c r="A42" s="14" t="s">
        <v>418</v>
      </c>
      <c r="B42" s="22">
        <v>6.0625999999999998</v>
      </c>
      <c r="C42" s="22">
        <f t="shared" si="0"/>
        <v>8.0647948164146861</v>
      </c>
      <c r="D42" s="3">
        <v>0.41260000000000002</v>
      </c>
      <c r="E42" s="22"/>
      <c r="F42" s="22">
        <v>0.28939999999999999</v>
      </c>
      <c r="G42" s="22">
        <f t="shared" si="2"/>
        <v>5.982608695652171E-2</v>
      </c>
      <c r="H42" s="22">
        <v>8.6099999999999996E-2</v>
      </c>
      <c r="I42" s="22"/>
      <c r="J42" s="22">
        <v>9.4274000000000004</v>
      </c>
      <c r="K42" s="11">
        <f t="shared" si="3"/>
        <v>18.854800000000001</v>
      </c>
      <c r="L42" s="11">
        <f t="shared" si="4"/>
        <v>13.093172520806885</v>
      </c>
      <c r="M42" s="22">
        <v>23.095400000000001</v>
      </c>
      <c r="N42" s="22">
        <f t="shared" si="5"/>
        <v>46.190800000000003</v>
      </c>
      <c r="O42" s="11">
        <f t="shared" si="6"/>
        <v>45.585702062933741</v>
      </c>
      <c r="P42" s="22">
        <v>9.7731999999999992</v>
      </c>
      <c r="Q42" s="22">
        <f t="shared" si="7"/>
        <v>18.902497245684906</v>
      </c>
      <c r="R42" s="22">
        <v>5.4269999999999996</v>
      </c>
      <c r="S42" s="22">
        <f t="shared" si="8"/>
        <v>11.904334542677102</v>
      </c>
      <c r="T42" s="22">
        <v>1.1166</v>
      </c>
      <c r="U42" s="22">
        <f t="shared" si="9"/>
        <v>3.1247706422018346</v>
      </c>
      <c r="V42" s="22">
        <v>4.9500999999999999</v>
      </c>
      <c r="W42" s="22">
        <f t="shared" si="10"/>
        <v>2.7401561293643306</v>
      </c>
      <c r="X42" s="3">
        <v>1.615</v>
      </c>
      <c r="Y42" s="22">
        <f t="shared" si="11"/>
        <v>0.94255695208169676</v>
      </c>
      <c r="Z42" s="3">
        <v>0.24149999999999999</v>
      </c>
      <c r="AA42" s="22">
        <f t="shared" si="12"/>
        <v>2.7045883092394725</v>
      </c>
    </row>
    <row r="43" spans="1:27">
      <c r="A43" s="14" t="s">
        <v>419</v>
      </c>
      <c r="B43" s="3">
        <v>1.0443</v>
      </c>
      <c r="C43" s="22">
        <f t="shared" si="0"/>
        <v>1.6891119298691397</v>
      </c>
      <c r="D43" s="3">
        <v>0.88839999999999997</v>
      </c>
      <c r="E43" s="22">
        <f t="shared" si="1"/>
        <v>0.42980024849469556</v>
      </c>
      <c r="F43" s="22">
        <v>0.62719999999999998</v>
      </c>
      <c r="G43" s="22">
        <f t="shared" si="2"/>
        <v>0.45147826086956516</v>
      </c>
      <c r="H43" s="22">
        <v>0.42670000000000002</v>
      </c>
      <c r="I43" s="22"/>
      <c r="J43" s="3">
        <v>6.0484</v>
      </c>
      <c r="K43" s="11">
        <f t="shared" si="3"/>
        <v>12.0968</v>
      </c>
      <c r="L43" s="11">
        <f t="shared" si="4"/>
        <v>8.3266328113979409</v>
      </c>
      <c r="M43" s="13">
        <v>64.47</v>
      </c>
      <c r="N43" s="13">
        <f t="shared" si="5"/>
        <v>128.94</v>
      </c>
      <c r="O43" s="11">
        <f t="shared" si="6"/>
        <v>124.25211522007794</v>
      </c>
      <c r="P43" s="3">
        <v>7.1928000000000001</v>
      </c>
      <c r="Q43" s="22">
        <f t="shared" si="7"/>
        <v>14.164340800587587</v>
      </c>
      <c r="R43" s="3">
        <v>6.6219999999999999</v>
      </c>
      <c r="S43" s="22">
        <f t="shared" si="8"/>
        <v>14.186175291197248</v>
      </c>
      <c r="T43" s="3">
        <v>2.6154999999999999</v>
      </c>
      <c r="U43" s="22">
        <f t="shared" si="9"/>
        <v>7.7085626911314975</v>
      </c>
      <c r="V43" s="3">
        <v>4.5647000000000002</v>
      </c>
      <c r="W43" s="22">
        <f t="shared" si="10"/>
        <v>2.4095393325898602</v>
      </c>
      <c r="X43" s="3">
        <v>2.0541</v>
      </c>
      <c r="Y43" s="22">
        <f t="shared" si="11"/>
        <v>1.3737234878240379</v>
      </c>
      <c r="Z43" s="3">
        <v>0.31819999999999998</v>
      </c>
      <c r="AA43" s="22">
        <f t="shared" si="12"/>
        <v>2.9456316781898177</v>
      </c>
    </row>
    <row r="44" spans="1:27">
      <c r="A44" s="15" t="s">
        <v>420</v>
      </c>
      <c r="B44" s="3">
        <v>2.895</v>
      </c>
      <c r="C44" s="22">
        <f t="shared" si="0"/>
        <v>4.0404014737644518</v>
      </c>
      <c r="D44" s="3">
        <v>0.17050000000000001</v>
      </c>
      <c r="E44" s="22"/>
      <c r="F44" s="3">
        <v>0.35339999999999999</v>
      </c>
      <c r="G44" s="22">
        <f t="shared" si="2"/>
        <v>0.13402898550724635</v>
      </c>
      <c r="H44" s="22">
        <v>6.7699999999999996E-2</v>
      </c>
      <c r="I44" s="22"/>
      <c r="J44" s="3">
        <v>2.7671999999999999</v>
      </c>
      <c r="K44" s="11">
        <f t="shared" si="3"/>
        <v>5.5343999999999998</v>
      </c>
      <c r="L44" s="11">
        <f t="shared" si="4"/>
        <v>3.6980533220482439</v>
      </c>
      <c r="M44" s="22">
        <v>24.993200000000002</v>
      </c>
      <c r="N44" s="22">
        <f t="shared" si="5"/>
        <v>49.986400000000003</v>
      </c>
      <c r="O44" s="11">
        <f t="shared" si="6"/>
        <v>49.194029850746276</v>
      </c>
      <c r="P44" s="3">
        <v>1.2659</v>
      </c>
      <c r="Q44" s="22">
        <f t="shared" si="7"/>
        <v>3.2813073815644511</v>
      </c>
      <c r="R44" s="3">
        <v>4.7515000000000001</v>
      </c>
      <c r="S44" s="22">
        <f t="shared" si="8"/>
        <v>10.61447393545923</v>
      </c>
      <c r="T44" s="3">
        <v>1.2376</v>
      </c>
      <c r="U44" s="22">
        <f t="shared" si="9"/>
        <v>3.4948012232415904</v>
      </c>
      <c r="V44" s="3">
        <v>3.3757000000000001</v>
      </c>
      <c r="W44" s="22">
        <f t="shared" si="10"/>
        <v>1.3895513425409627</v>
      </c>
      <c r="X44" s="3">
        <v>1.3956999999999999</v>
      </c>
      <c r="Y44" s="22">
        <f t="shared" si="11"/>
        <v>0.72721916732128822</v>
      </c>
      <c r="Z44" s="3">
        <v>0.1588</v>
      </c>
      <c r="AA44" s="22">
        <f t="shared" si="12"/>
        <v>2.4446888749214333</v>
      </c>
    </row>
    <row r="45" spans="1:27">
      <c r="A45" s="15" t="s">
        <v>421</v>
      </c>
      <c r="B45" s="3">
        <v>0.79069999999999996</v>
      </c>
      <c r="C45" s="22">
        <f t="shared" si="0"/>
        <v>1.3669165290306184</v>
      </c>
      <c r="D45" s="3">
        <v>0.42580000000000001</v>
      </c>
      <c r="E45" s="22"/>
      <c r="F45" s="22">
        <v>0.2281</v>
      </c>
      <c r="G45" s="22"/>
      <c r="H45" s="22">
        <v>0.3387</v>
      </c>
      <c r="I45" s="22"/>
      <c r="J45" s="3">
        <v>1.7968</v>
      </c>
      <c r="K45" s="11">
        <f t="shared" si="3"/>
        <v>3.5935999999999999</v>
      </c>
      <c r="L45" s="11">
        <f t="shared" si="4"/>
        <v>2.3291719565524049</v>
      </c>
      <c r="M45" s="22">
        <v>26.472899999999999</v>
      </c>
      <c r="N45" s="22">
        <f t="shared" si="5"/>
        <v>52.945799999999998</v>
      </c>
      <c r="O45" s="11">
        <f t="shared" si="6"/>
        <v>52.007415153531703</v>
      </c>
      <c r="P45" s="3">
        <v>2.4607000000000001</v>
      </c>
      <c r="Q45" s="22">
        <f t="shared" si="7"/>
        <v>5.4752111641571801</v>
      </c>
      <c r="R45" s="3">
        <v>5.9729000000000001</v>
      </c>
      <c r="S45" s="22">
        <f t="shared" si="8"/>
        <v>12.946725224365093</v>
      </c>
      <c r="T45" s="3">
        <v>2.1579000000000002</v>
      </c>
      <c r="U45" s="22">
        <f t="shared" si="9"/>
        <v>6.3091743119266068</v>
      </c>
      <c r="V45" s="3">
        <v>3.7776000000000001</v>
      </c>
      <c r="W45" s="22">
        <f t="shared" si="10"/>
        <v>1.7343227245431931</v>
      </c>
      <c r="X45" s="3">
        <v>1.8042</v>
      </c>
      <c r="Y45" s="22">
        <f t="shared" si="11"/>
        <v>1.1283385703063629</v>
      </c>
      <c r="Z45" s="3">
        <v>0.2661</v>
      </c>
      <c r="AA45" s="22">
        <f t="shared" si="12"/>
        <v>2.7818981772470144</v>
      </c>
    </row>
    <row r="46" spans="1:27">
      <c r="A46" s="15" t="s">
        <v>422</v>
      </c>
      <c r="B46" s="3">
        <v>3.5821000000000001</v>
      </c>
      <c r="C46" s="22">
        <f t="shared" si="0"/>
        <v>4.9133528141278111</v>
      </c>
      <c r="D46" s="3">
        <v>0.40749999999999997</v>
      </c>
      <c r="E46" s="22"/>
      <c r="F46" s="22">
        <v>0.28689999999999999</v>
      </c>
      <c r="G46" s="22">
        <f t="shared" si="2"/>
        <v>5.6927536231884027E-2</v>
      </c>
      <c r="H46" s="22">
        <v>7.6700000000000004E-2</v>
      </c>
      <c r="I46" s="22"/>
      <c r="J46" s="3">
        <v>1.4803999999999999</v>
      </c>
      <c r="K46" s="11">
        <f t="shared" si="3"/>
        <v>2.9607999999999999</v>
      </c>
      <c r="L46" s="11">
        <f t="shared" si="4"/>
        <v>1.8828466638453942</v>
      </c>
      <c r="M46" s="3">
        <v>14.404299999999999</v>
      </c>
      <c r="N46" s="22">
        <f t="shared" si="5"/>
        <v>28.808599999999998</v>
      </c>
      <c r="O46" s="11">
        <f t="shared" si="6"/>
        <v>29.061127483601098</v>
      </c>
      <c r="P46" s="3">
        <v>2.1255999999999999</v>
      </c>
      <c r="Q46" s="22">
        <f t="shared" si="7"/>
        <v>4.8598971722365043</v>
      </c>
      <c r="R46" s="3">
        <v>3.7439</v>
      </c>
      <c r="S46" s="22">
        <f t="shared" si="8"/>
        <v>8.6904716440710317</v>
      </c>
      <c r="T46" s="3">
        <v>1.3150999999999999</v>
      </c>
      <c r="U46" s="22">
        <f t="shared" si="9"/>
        <v>3.7318042813455654</v>
      </c>
      <c r="V46" s="3">
        <v>3.5472999999999999</v>
      </c>
      <c r="W46" s="22">
        <f t="shared" si="10"/>
        <v>1.536759028909668</v>
      </c>
      <c r="X46" s="3">
        <v>0.84240000000000004</v>
      </c>
      <c r="Y46" s="22">
        <f t="shared" si="11"/>
        <v>0.18391594658287513</v>
      </c>
      <c r="Z46" s="3">
        <v>0.2001</v>
      </c>
      <c r="AA46" s="22">
        <f t="shared" si="12"/>
        <v>2.5744814582023885</v>
      </c>
    </row>
    <row r="47" spans="1:27">
      <c r="A47" s="15" t="s">
        <v>423</v>
      </c>
      <c r="B47" s="3">
        <v>0.68740000000000001</v>
      </c>
      <c r="C47" s="22">
        <f t="shared" si="0"/>
        <v>1.2356752636259687</v>
      </c>
      <c r="D47" s="3">
        <v>0.42909999999999998</v>
      </c>
      <c r="E47" s="22"/>
      <c r="F47" s="22">
        <v>0.51029999999999998</v>
      </c>
      <c r="G47" s="22">
        <f t="shared" si="2"/>
        <v>0.31594202898550716</v>
      </c>
      <c r="H47" s="22">
        <v>0.22600000000000001</v>
      </c>
      <c r="I47" s="22"/>
      <c r="J47" s="3">
        <v>2.1537000000000002</v>
      </c>
      <c r="K47" s="11">
        <f t="shared" si="3"/>
        <v>4.3074000000000003</v>
      </c>
      <c r="L47" s="11">
        <f t="shared" si="4"/>
        <v>2.8326280152348713</v>
      </c>
      <c r="M47" s="22">
        <v>24.866800000000001</v>
      </c>
      <c r="N47" s="22">
        <f t="shared" si="5"/>
        <v>49.733600000000003</v>
      </c>
      <c r="O47" s="11">
        <f t="shared" si="6"/>
        <v>48.953702823462308</v>
      </c>
      <c r="P47" s="3">
        <v>4.0246000000000004</v>
      </c>
      <c r="Q47" s="22">
        <f t="shared" si="7"/>
        <v>8.3468600807932436</v>
      </c>
      <c r="R47" s="3">
        <v>4.9313000000000002</v>
      </c>
      <c r="S47" s="22">
        <f t="shared" si="8"/>
        <v>10.957800267328622</v>
      </c>
      <c r="T47" s="3">
        <v>1.8664000000000001</v>
      </c>
      <c r="U47" s="22">
        <f t="shared" si="9"/>
        <v>5.4177370030581038</v>
      </c>
      <c r="V47" s="3">
        <v>3.7349999999999999</v>
      </c>
      <c r="W47" s="22">
        <f t="shared" si="10"/>
        <v>1.6977781590460668</v>
      </c>
      <c r="X47" s="3">
        <v>0.88260000000000005</v>
      </c>
      <c r="Y47" s="22">
        <f t="shared" si="11"/>
        <v>0.22338963079340146</v>
      </c>
      <c r="Z47" s="3">
        <v>0.23050000000000001</v>
      </c>
      <c r="AA47" s="22">
        <f t="shared" si="12"/>
        <v>2.6700188560653677</v>
      </c>
    </row>
    <row r="48" spans="1:27">
      <c r="A48" s="15" t="s">
        <v>424</v>
      </c>
      <c r="B48" s="3">
        <v>1.1138999999999999</v>
      </c>
      <c r="C48" s="22">
        <f t="shared" si="0"/>
        <v>1.7775377969762416</v>
      </c>
      <c r="D48" s="3">
        <v>0.21360000000000001</v>
      </c>
      <c r="E48" s="22"/>
      <c r="F48" s="22">
        <v>0.33550000000000002</v>
      </c>
      <c r="G48" s="22">
        <f t="shared" si="2"/>
        <v>0.11327536231884058</v>
      </c>
      <c r="H48" s="22">
        <v>8.1799999999999998E-2</v>
      </c>
      <c r="I48" s="22"/>
      <c r="J48" s="3">
        <v>1.2265999999999999</v>
      </c>
      <c r="K48" s="11">
        <f t="shared" si="3"/>
        <v>2.4531999999999998</v>
      </c>
      <c r="L48" s="11">
        <f t="shared" si="4"/>
        <v>1.5248271970658767</v>
      </c>
      <c r="M48" s="22">
        <v>17.177700000000002</v>
      </c>
      <c r="N48" s="22">
        <f t="shared" si="5"/>
        <v>34.355400000000003</v>
      </c>
      <c r="O48" s="11">
        <f t="shared" si="6"/>
        <v>34.334252305352223</v>
      </c>
      <c r="P48" s="3">
        <v>0.40970000000000001</v>
      </c>
      <c r="Q48" s="22">
        <f t="shared" si="7"/>
        <v>1.7091443261109074</v>
      </c>
      <c r="R48" s="3">
        <v>3.8239999999999998</v>
      </c>
      <c r="S48" s="22">
        <f t="shared" si="8"/>
        <v>8.8434218063776946</v>
      </c>
      <c r="T48" s="3">
        <v>2.2136</v>
      </c>
      <c r="U48" s="22">
        <f t="shared" si="9"/>
        <v>6.479510703363915</v>
      </c>
      <c r="V48" s="3">
        <v>4.1376999999999997</v>
      </c>
      <c r="W48" s="22">
        <f t="shared" si="10"/>
        <v>2.043235823968431</v>
      </c>
      <c r="X48" s="3">
        <v>1.4948999999999999</v>
      </c>
      <c r="Y48" s="22">
        <f t="shared" si="11"/>
        <v>0.82462686567164167</v>
      </c>
      <c r="Z48" s="3">
        <v>0.21690000000000001</v>
      </c>
      <c r="AA48" s="22">
        <f t="shared" si="12"/>
        <v>2.6272784412319297</v>
      </c>
    </row>
    <row r="49" spans="1:27">
      <c r="A49" s="15" t="s">
        <v>425</v>
      </c>
      <c r="B49" s="3">
        <v>2.3683999999999998</v>
      </c>
      <c r="C49" s="22">
        <f t="shared" si="0"/>
        <v>3.371363232117901</v>
      </c>
      <c r="D49" s="3">
        <v>0.14630000000000001</v>
      </c>
      <c r="E49" s="22"/>
      <c r="F49" s="22">
        <v>0.18410000000000001</v>
      </c>
      <c r="G49" s="22"/>
      <c r="H49" s="22">
        <v>3.0099999999999998E-2</v>
      </c>
      <c r="I49" s="22"/>
      <c r="J49" s="3">
        <v>0.97819999999999996</v>
      </c>
      <c r="K49" s="11">
        <f t="shared" si="3"/>
        <v>1.9563999999999999</v>
      </c>
      <c r="L49" s="11">
        <f t="shared" si="4"/>
        <v>1.1744251657497531</v>
      </c>
      <c r="M49" s="22">
        <v>12.3565</v>
      </c>
      <c r="N49" s="22">
        <f t="shared" si="5"/>
        <v>24.713000000000001</v>
      </c>
      <c r="O49" s="11">
        <f t="shared" si="6"/>
        <v>25.167601483030705</v>
      </c>
      <c r="P49" s="3">
        <v>0.73009999999999997</v>
      </c>
      <c r="Q49" s="22">
        <f t="shared" si="7"/>
        <v>2.2974660301138448</v>
      </c>
      <c r="R49" s="3">
        <v>3.181</v>
      </c>
      <c r="S49" s="22">
        <f t="shared" si="8"/>
        <v>7.6156196295589069</v>
      </c>
      <c r="T49" s="3">
        <v>2.3873000000000002</v>
      </c>
      <c r="U49" s="22">
        <f t="shared" si="9"/>
        <v>7.0107033639143745</v>
      </c>
      <c r="V49" s="3">
        <v>5.2899000000000003</v>
      </c>
      <c r="W49" s="22">
        <f t="shared" si="10"/>
        <v>3.0316547996911729</v>
      </c>
      <c r="X49" s="3">
        <v>1.3234999999999999</v>
      </c>
      <c r="Y49" s="22">
        <f t="shared" si="11"/>
        <v>0.65632364493322848</v>
      </c>
      <c r="Z49" s="3">
        <v>0.252</v>
      </c>
      <c r="AA49" s="22">
        <f t="shared" si="12"/>
        <v>2.7375864236329353</v>
      </c>
    </row>
    <row r="50" spans="1:27">
      <c r="A50" s="15" t="s">
        <v>426</v>
      </c>
      <c r="B50" s="3">
        <v>4.1410999999999998</v>
      </c>
      <c r="C50" s="22">
        <f t="shared" si="0"/>
        <v>5.623554821496632</v>
      </c>
      <c r="D50" s="3">
        <v>0.15590000000000001</v>
      </c>
      <c r="E50" s="22"/>
      <c r="F50" s="22">
        <v>9.5500000000000002E-2</v>
      </c>
      <c r="G50" s="22"/>
      <c r="H50" s="22">
        <v>2.9100000000000001E-2</v>
      </c>
      <c r="I50" s="22"/>
      <c r="J50" s="3">
        <v>5.5713999999999997</v>
      </c>
      <c r="K50" s="11">
        <f t="shared" si="3"/>
        <v>11.142799999999999</v>
      </c>
      <c r="L50" s="11">
        <f t="shared" si="4"/>
        <v>7.6537593454648043</v>
      </c>
      <c r="M50" s="22">
        <v>8.4091000000000005</v>
      </c>
      <c r="N50" s="22">
        <f t="shared" si="5"/>
        <v>16.818200000000001</v>
      </c>
      <c r="O50" s="11">
        <f t="shared" si="6"/>
        <v>17.662325316094684</v>
      </c>
      <c r="P50" s="3">
        <v>1.9636</v>
      </c>
      <c r="Q50" s="22">
        <f t="shared" si="7"/>
        <v>4.5624311421226595</v>
      </c>
      <c r="R50" s="3">
        <v>2.8193999999999999</v>
      </c>
      <c r="S50" s="22">
        <f t="shared" si="8"/>
        <v>6.9251479854878744</v>
      </c>
      <c r="T50" s="3">
        <v>1.0095000000000001</v>
      </c>
      <c r="U50" s="22">
        <f t="shared" si="9"/>
        <v>2.7972477064220183</v>
      </c>
      <c r="V50" s="3">
        <v>2.7953999999999999</v>
      </c>
      <c r="W50" s="22">
        <f t="shared" si="10"/>
        <v>0.89173886934888902</v>
      </c>
      <c r="X50" s="3">
        <v>0.95050000000000001</v>
      </c>
      <c r="Y50" s="22">
        <f t="shared" si="11"/>
        <v>0.2900628436763551</v>
      </c>
      <c r="Z50" s="3">
        <v>0.1313</v>
      </c>
      <c r="AA50" s="22">
        <f t="shared" si="12"/>
        <v>2.3582652419861723</v>
      </c>
    </row>
    <row r="51" spans="1:27">
      <c r="A51" s="15" t="s">
        <v>427</v>
      </c>
      <c r="B51" s="3">
        <v>1.5037</v>
      </c>
      <c r="C51" s="22">
        <f t="shared" si="0"/>
        <v>2.2727734722398676</v>
      </c>
      <c r="D51" s="3">
        <v>0.14779999999999999</v>
      </c>
      <c r="E51" s="22"/>
      <c r="F51" s="22">
        <v>0.25950000000000001</v>
      </c>
      <c r="G51" s="22">
        <f t="shared" si="2"/>
        <v>2.5159420289855069E-2</v>
      </c>
      <c r="H51" s="22">
        <v>2.9000000000000001E-2</v>
      </c>
      <c r="I51" s="22"/>
      <c r="J51" s="3">
        <v>1.4355</v>
      </c>
      <c r="K51" s="11">
        <f t="shared" si="3"/>
        <v>2.871</v>
      </c>
      <c r="L51" s="11">
        <f t="shared" si="4"/>
        <v>1.8195090986034701</v>
      </c>
      <c r="M51" s="22">
        <v>15.3688</v>
      </c>
      <c r="N51" s="22">
        <f t="shared" si="5"/>
        <v>30.7376</v>
      </c>
      <c r="O51" s="11">
        <f t="shared" si="6"/>
        <v>30.894951991634187</v>
      </c>
      <c r="P51" s="3">
        <v>0.4955</v>
      </c>
      <c r="Q51" s="22">
        <f t="shared" si="7"/>
        <v>1.8666911494674991</v>
      </c>
      <c r="R51" s="3">
        <v>2.0091999999999999</v>
      </c>
      <c r="S51" s="22">
        <f t="shared" si="8"/>
        <v>5.3780790528928772</v>
      </c>
      <c r="T51" s="3">
        <v>0.98089999999999999</v>
      </c>
      <c r="U51" s="22">
        <f t="shared" si="9"/>
        <v>2.7097859327217124</v>
      </c>
      <c r="V51" s="3">
        <v>2.2473999999999998</v>
      </c>
      <c r="W51" s="22">
        <f t="shared" si="10"/>
        <v>0.4216350690572187</v>
      </c>
      <c r="X51" s="3">
        <v>1.1444000000000001</v>
      </c>
      <c r="Y51" s="22">
        <f t="shared" si="11"/>
        <v>0.48045954438334648</v>
      </c>
      <c r="Z51" s="3">
        <v>0.1192</v>
      </c>
      <c r="AA51" s="22">
        <f t="shared" si="12"/>
        <v>2.3202388434946575</v>
      </c>
    </row>
    <row r="52" spans="1:27">
      <c r="A52" s="15" t="s">
        <v>428</v>
      </c>
      <c r="B52" s="3">
        <v>2.1947999999999999</v>
      </c>
      <c r="C52" s="22">
        <f t="shared" si="0"/>
        <v>3.1508067589886926</v>
      </c>
      <c r="D52" s="3">
        <v>0.23400000000000001</v>
      </c>
      <c r="E52" s="22"/>
      <c r="F52" s="22">
        <v>0.82199999999999995</v>
      </c>
      <c r="G52" s="22">
        <f t="shared" si="2"/>
        <v>0.67733333333333323</v>
      </c>
      <c r="H52" s="22">
        <v>5.7200000000000001E-2</v>
      </c>
      <c r="I52" s="22"/>
      <c r="J52" s="3">
        <v>1.0692999999999999</v>
      </c>
      <c r="K52" s="11">
        <f t="shared" si="3"/>
        <v>2.1385999999999998</v>
      </c>
      <c r="L52" s="11">
        <f t="shared" si="4"/>
        <v>1.3029341232896035</v>
      </c>
      <c r="M52" s="22">
        <v>3.9296000000000002</v>
      </c>
      <c r="N52" s="22">
        <f t="shared" si="5"/>
        <v>7.8592000000000004</v>
      </c>
      <c r="O52" s="11">
        <f t="shared" si="6"/>
        <v>9.1453560224355925</v>
      </c>
      <c r="P52" s="3">
        <v>0.55669999999999997</v>
      </c>
      <c r="Q52" s="22">
        <f t="shared" si="7"/>
        <v>1.9790672052882849</v>
      </c>
      <c r="R52" s="3">
        <v>3.3319000000000001</v>
      </c>
      <c r="S52" s="22">
        <f t="shared" si="8"/>
        <v>7.9037616956272663</v>
      </c>
      <c r="T52" s="3">
        <v>0.93300000000000005</v>
      </c>
      <c r="U52" s="22">
        <f t="shared" si="9"/>
        <v>2.5633027522935778</v>
      </c>
      <c r="V52" s="3">
        <v>3.2869000000000002</v>
      </c>
      <c r="W52" s="22">
        <f t="shared" si="10"/>
        <v>1.3133739384061081</v>
      </c>
      <c r="X52" s="3">
        <v>1.3475999999999999</v>
      </c>
      <c r="Y52" s="22">
        <f t="shared" si="11"/>
        <v>0.67998821681068333</v>
      </c>
      <c r="Z52" s="3">
        <v>0.1749</v>
      </c>
      <c r="AA52" s="22">
        <f t="shared" si="12"/>
        <v>2.4952859836580767</v>
      </c>
    </row>
    <row r="53" spans="1:27">
      <c r="A53" s="3" t="s">
        <v>429</v>
      </c>
      <c r="B53" s="3">
        <v>18.677399999999999</v>
      </c>
      <c r="C53" s="22">
        <f t="shared" si="0"/>
        <v>24.091729132257651</v>
      </c>
      <c r="D53" s="3">
        <v>1.5307999999999999</v>
      </c>
      <c r="E53" s="22">
        <f t="shared" si="1"/>
        <v>1.0437732963777118</v>
      </c>
      <c r="F53" s="22">
        <v>0.4355</v>
      </c>
      <c r="G53" s="22">
        <f t="shared" si="2"/>
        <v>0.22921739130434779</v>
      </c>
      <c r="H53" s="22">
        <v>0.84389999999999998</v>
      </c>
      <c r="I53" s="22">
        <f t="shared" ref="I53:I55" si="13">(H53-0.6966)/1.1021</f>
        <v>0.13365393339987294</v>
      </c>
      <c r="J53" s="3">
        <v>65.251800000000003</v>
      </c>
      <c r="K53" s="11">
        <f t="shared" si="3"/>
        <v>130.50360000000001</v>
      </c>
      <c r="L53" s="11">
        <f t="shared" si="4"/>
        <v>91.841091832416424</v>
      </c>
      <c r="M53" s="3">
        <v>85.764600000000002</v>
      </c>
      <c r="N53" s="22">
        <f t="shared" ref="N53:N61" si="14">M53*2</f>
        <v>171.5292</v>
      </c>
      <c r="O53" s="11">
        <f t="shared" si="6"/>
        <v>164.73999429603572</v>
      </c>
      <c r="P53" s="3">
        <v>26.8126</v>
      </c>
      <c r="Q53" s="22">
        <f t="shared" si="7"/>
        <v>50.190414983474113</v>
      </c>
      <c r="R53" s="3">
        <v>10.4503</v>
      </c>
      <c r="S53" s="22">
        <f t="shared" si="8"/>
        <v>21.496276494176051</v>
      </c>
      <c r="T53" s="3">
        <v>0.80700000000000005</v>
      </c>
      <c r="U53" s="22">
        <f t="shared" si="9"/>
        <v>2.1779816513761467</v>
      </c>
      <c r="V53" s="3">
        <v>11.129200000000001</v>
      </c>
      <c r="W53" s="22">
        <f t="shared" si="10"/>
        <v>8.0409196191129801</v>
      </c>
      <c r="X53" s="3">
        <v>1.6395999999999999</v>
      </c>
      <c r="Y53" s="22">
        <f t="shared" si="11"/>
        <v>0.96671249018067551</v>
      </c>
      <c r="Z53" s="3">
        <v>0.5232</v>
      </c>
      <c r="AA53" s="22">
        <f t="shared" si="12"/>
        <v>3.5898805782526719</v>
      </c>
    </row>
    <row r="54" spans="1:27">
      <c r="A54" s="3" t="s">
        <v>430</v>
      </c>
      <c r="B54" s="3">
        <v>33.689500000000002</v>
      </c>
      <c r="C54" s="22">
        <f t="shared" si="0"/>
        <v>43.164400965569818</v>
      </c>
      <c r="D54" s="3">
        <v>0.40560000000000002</v>
      </c>
      <c r="E54" s="22"/>
      <c r="F54" s="22">
        <v>9.7699999999999995E-2</v>
      </c>
      <c r="G54" s="22"/>
      <c r="H54" s="22">
        <v>6.8000000000000005E-2</v>
      </c>
      <c r="I54" s="22"/>
      <c r="J54" s="22">
        <v>21.687200000000001</v>
      </c>
      <c r="K54" s="11">
        <f t="shared" si="3"/>
        <v>43.374400000000001</v>
      </c>
      <c r="L54" s="11">
        <f t="shared" si="4"/>
        <v>30.387290167865711</v>
      </c>
      <c r="M54" s="3">
        <v>35.962600000000002</v>
      </c>
      <c r="N54" s="22">
        <f t="shared" si="14"/>
        <v>71.925200000000004</v>
      </c>
      <c r="O54" s="11">
        <f t="shared" si="6"/>
        <v>70.050385017587232</v>
      </c>
      <c r="P54" s="3">
        <v>55.945599999999999</v>
      </c>
      <c r="Q54" s="22">
        <f t="shared" si="7"/>
        <v>103.68472273228058</v>
      </c>
      <c r="R54" s="3">
        <v>10.508699999999999</v>
      </c>
      <c r="S54" s="22">
        <f t="shared" si="8"/>
        <v>21.607790719877787</v>
      </c>
      <c r="T54" s="3">
        <v>0.18390000000000001</v>
      </c>
      <c r="U54" s="22">
        <f t="shared" si="9"/>
        <v>0.27247706422018353</v>
      </c>
      <c r="V54" s="3">
        <v>13.9246</v>
      </c>
      <c r="W54" s="22">
        <f t="shared" si="10"/>
        <v>10.438963712790597</v>
      </c>
      <c r="X54" s="3">
        <v>1.0059</v>
      </c>
      <c r="Y54" s="22">
        <f t="shared" si="11"/>
        <v>0.34446190102120977</v>
      </c>
      <c r="Z54" s="3">
        <v>1.8324</v>
      </c>
      <c r="AA54" s="22">
        <f t="shared" si="12"/>
        <v>7.7042740414833446</v>
      </c>
    </row>
    <row r="55" spans="1:27">
      <c r="A55" s="3" t="s">
        <v>431</v>
      </c>
      <c r="B55" s="3">
        <v>1.6566000000000001</v>
      </c>
      <c r="C55" s="22">
        <f t="shared" si="0"/>
        <v>2.4670308728242918</v>
      </c>
      <c r="D55" s="3">
        <v>2.9344000000000001</v>
      </c>
      <c r="E55" s="22">
        <f t="shared" si="1"/>
        <v>2.3852623530536179</v>
      </c>
      <c r="F55" s="22">
        <v>0.73399999999999999</v>
      </c>
      <c r="G55" s="22">
        <f t="shared" si="2"/>
        <v>0.57530434782608686</v>
      </c>
      <c r="H55" s="22">
        <v>1.2318</v>
      </c>
      <c r="I55" s="22">
        <f t="shared" si="13"/>
        <v>0.4856183649396606</v>
      </c>
      <c r="J55" s="22">
        <v>96.748900000000006</v>
      </c>
      <c r="K55" s="11">
        <f t="shared" si="3"/>
        <v>193.49780000000001</v>
      </c>
      <c r="L55" s="11">
        <f t="shared" si="4"/>
        <v>136.27204119057697</v>
      </c>
      <c r="M55" s="3">
        <v>187.1515</v>
      </c>
      <c r="N55" s="22">
        <f t="shared" si="14"/>
        <v>374.303</v>
      </c>
      <c r="O55" s="11">
        <f t="shared" si="6"/>
        <v>357.5090788097728</v>
      </c>
      <c r="P55" s="3">
        <v>58.699800000000003</v>
      </c>
      <c r="Q55" s="22">
        <f t="shared" si="7"/>
        <v>108.74201248622843</v>
      </c>
      <c r="R55" s="3">
        <v>26.121700000000001</v>
      </c>
      <c r="S55" s="22">
        <f t="shared" si="8"/>
        <v>51.420660683597475</v>
      </c>
      <c r="T55" s="3">
        <v>3.3896999999999999</v>
      </c>
      <c r="U55" s="22">
        <f t="shared" si="9"/>
        <v>10.076146788990826</v>
      </c>
      <c r="V55" s="3">
        <v>19.141500000000001</v>
      </c>
      <c r="W55" s="22">
        <f t="shared" si="10"/>
        <v>14.914300420348289</v>
      </c>
      <c r="X55" s="3">
        <v>6.1128</v>
      </c>
      <c r="Y55" s="22">
        <f t="shared" si="11"/>
        <v>5.3590926944226238</v>
      </c>
      <c r="Z55" s="3">
        <v>1.1828000000000001</v>
      </c>
      <c r="AA55" s="22">
        <f t="shared" si="12"/>
        <v>5.6627906976744189</v>
      </c>
    </row>
    <row r="56" spans="1:27">
      <c r="A56" s="3" t="s">
        <v>432</v>
      </c>
      <c r="B56" s="3">
        <v>12.0748</v>
      </c>
      <c r="C56" s="22">
        <f t="shared" si="0"/>
        <v>15.703214331088805</v>
      </c>
      <c r="D56" s="3">
        <v>0.43619999999999998</v>
      </c>
      <c r="E56" s="22"/>
      <c r="F56" s="3">
        <v>0.11650000000000001</v>
      </c>
      <c r="G56" s="22"/>
      <c r="H56" s="3">
        <v>0.10390000000000001</v>
      </c>
      <c r="I56" s="22"/>
      <c r="J56" s="22">
        <v>27.059799999999999</v>
      </c>
      <c r="K56" s="11">
        <f t="shared" si="3"/>
        <v>54.119599999999998</v>
      </c>
      <c r="L56" s="11">
        <f t="shared" si="4"/>
        <v>37.966074199463961</v>
      </c>
      <c r="M56" s="3">
        <v>73.865300000000005</v>
      </c>
      <c r="N56" s="22">
        <f t="shared" si="14"/>
        <v>147.73060000000001</v>
      </c>
      <c r="O56" s="11">
        <f t="shared" si="6"/>
        <v>142.11560034223785</v>
      </c>
      <c r="P56" s="3">
        <v>106.5955</v>
      </c>
      <c r="Q56" s="22">
        <f t="shared" si="7"/>
        <v>196.68857877341171</v>
      </c>
      <c r="R56" s="3">
        <v>9.0765999999999991</v>
      </c>
      <c r="S56" s="22">
        <f t="shared" si="8"/>
        <v>18.873209852969254</v>
      </c>
      <c r="T56" s="3">
        <v>0.1003</v>
      </c>
      <c r="U56" s="22"/>
      <c r="V56" s="3">
        <v>8.3768999999999991</v>
      </c>
      <c r="W56" s="22">
        <f t="shared" si="10"/>
        <v>5.6798490177575696</v>
      </c>
      <c r="X56" s="3">
        <v>1.0291999999999999</v>
      </c>
      <c r="Y56" s="22">
        <f t="shared" si="11"/>
        <v>0.36734092694422615</v>
      </c>
      <c r="Z56" s="3">
        <v>0.33110000000000001</v>
      </c>
      <c r="AA56" s="22">
        <f t="shared" si="12"/>
        <v>2.9861722187303581</v>
      </c>
    </row>
    <row r="57" spans="1:27">
      <c r="A57" s="3" t="s">
        <v>433</v>
      </c>
      <c r="B57" s="3">
        <v>10.5022</v>
      </c>
      <c r="C57" s="22">
        <f t="shared" si="0"/>
        <v>13.705247109642993</v>
      </c>
      <c r="D57" s="3">
        <v>0.20610000000000001</v>
      </c>
      <c r="E57" s="22"/>
      <c r="F57" s="3">
        <v>7.51E-2</v>
      </c>
      <c r="G57" s="22"/>
      <c r="H57" s="3">
        <v>0.1832</v>
      </c>
      <c r="I57" s="22"/>
      <c r="J57" s="22">
        <v>20.296500000000002</v>
      </c>
      <c r="K57" s="11">
        <f t="shared" si="3"/>
        <v>40.593000000000004</v>
      </c>
      <c r="L57" s="11">
        <f t="shared" si="4"/>
        <v>28.425518408802375</v>
      </c>
      <c r="M57" s="3">
        <v>24.989100000000001</v>
      </c>
      <c r="N57" s="22">
        <f t="shared" si="14"/>
        <v>49.978200000000001</v>
      </c>
      <c r="O57" s="11">
        <f t="shared" si="6"/>
        <v>49.186234432930888</v>
      </c>
      <c r="P57" s="3">
        <v>6.7929000000000004</v>
      </c>
      <c r="Q57" s="22">
        <f t="shared" si="7"/>
        <v>13.430040396621374</v>
      </c>
      <c r="R57" s="3">
        <v>3.2919</v>
      </c>
      <c r="S57" s="22">
        <f t="shared" si="8"/>
        <v>7.8273820889822403</v>
      </c>
      <c r="T57" s="3">
        <v>1.2887999999999999</v>
      </c>
      <c r="U57" s="22">
        <f t="shared" si="9"/>
        <v>3.6513761467889907</v>
      </c>
      <c r="V57" s="3">
        <v>2.5857999999999999</v>
      </c>
      <c r="W57" s="22">
        <f t="shared" si="10"/>
        <v>0.7119327442738268</v>
      </c>
      <c r="X57" s="3">
        <v>0.7087</v>
      </c>
      <c r="Y57" s="22">
        <f t="shared" si="11"/>
        <v>5.2631578947368404E-2</v>
      </c>
      <c r="Z57" s="3">
        <v>0.18540000000000001</v>
      </c>
      <c r="AA57" s="22">
        <f t="shared" si="12"/>
        <v>2.52828409805154</v>
      </c>
    </row>
    <row r="58" spans="1:27">
      <c r="A58" s="3" t="s">
        <v>434</v>
      </c>
      <c r="B58" s="3">
        <v>2.1539000000000001</v>
      </c>
      <c r="C58" s="22">
        <f t="shared" si="0"/>
        <v>3.0988438571973069</v>
      </c>
      <c r="D58" s="3">
        <v>0.3004</v>
      </c>
      <c r="E58" s="22"/>
      <c r="F58" s="3">
        <v>0.17380000000000001</v>
      </c>
      <c r="G58" s="22"/>
      <c r="H58" s="3">
        <v>0.30399999999999999</v>
      </c>
      <c r="I58" s="22"/>
      <c r="J58" s="22">
        <v>21.418299999999999</v>
      </c>
      <c r="K58" s="11">
        <f t="shared" si="3"/>
        <v>42.836599999999997</v>
      </c>
      <c r="L58" s="11">
        <f t="shared" si="4"/>
        <v>30.007970094512626</v>
      </c>
      <c r="M58" s="3">
        <v>38.9955</v>
      </c>
      <c r="N58" s="22">
        <f t="shared" si="14"/>
        <v>77.991</v>
      </c>
      <c r="O58" s="11">
        <f t="shared" si="6"/>
        <v>75.816902747409443</v>
      </c>
      <c r="P58" s="3">
        <v>7.8620000000000001</v>
      </c>
      <c r="Q58" s="22">
        <f t="shared" si="7"/>
        <v>15.39313257436651</v>
      </c>
      <c r="R58" s="3">
        <v>3.4914999999999998</v>
      </c>
      <c r="S58" s="22">
        <f t="shared" si="8"/>
        <v>8.20851632614092</v>
      </c>
      <c r="T58" s="3">
        <v>1.2887999999999999</v>
      </c>
      <c r="U58" s="22">
        <f t="shared" si="9"/>
        <v>3.6513761467889907</v>
      </c>
      <c r="V58" s="3">
        <v>2.4375</v>
      </c>
      <c r="W58" s="22">
        <f t="shared" si="10"/>
        <v>0.58471304795401902</v>
      </c>
      <c r="X58" s="3">
        <v>1.216</v>
      </c>
      <c r="Y58" s="22">
        <f t="shared" si="11"/>
        <v>0.5507659073055774</v>
      </c>
      <c r="Z58" s="3">
        <v>0.1696</v>
      </c>
      <c r="AA58" s="22">
        <f t="shared" si="12"/>
        <v>2.478629792583281</v>
      </c>
    </row>
    <row r="59" spans="1:27">
      <c r="A59" s="3" t="s">
        <v>435</v>
      </c>
      <c r="B59" s="3">
        <v>1.2115</v>
      </c>
      <c r="C59" s="22">
        <f t="shared" si="0"/>
        <v>1.9015372887816036</v>
      </c>
      <c r="D59" s="3">
        <v>0.32440000000000002</v>
      </c>
      <c r="E59" s="22"/>
      <c r="F59" s="3">
        <v>0.1</v>
      </c>
      <c r="G59" s="22"/>
      <c r="H59" s="3">
        <v>0.27789999999999998</v>
      </c>
      <c r="I59" s="22"/>
      <c r="J59" s="3">
        <v>23.446000000000002</v>
      </c>
      <c r="K59" s="11">
        <f t="shared" si="3"/>
        <v>46.892000000000003</v>
      </c>
      <c r="L59" s="11">
        <f t="shared" si="4"/>
        <v>32.86831711101707</v>
      </c>
      <c r="M59" s="3">
        <v>50.903500000000001</v>
      </c>
      <c r="N59" s="22">
        <f t="shared" si="14"/>
        <v>101.807</v>
      </c>
      <c r="O59" s="11">
        <f t="shared" si="6"/>
        <v>98.457838197547289</v>
      </c>
      <c r="P59" s="3">
        <v>8.8298000000000005</v>
      </c>
      <c r="Q59" s="22">
        <f t="shared" si="7"/>
        <v>17.170216672787369</v>
      </c>
      <c r="R59" s="3">
        <v>4.4480000000000004</v>
      </c>
      <c r="S59" s="22">
        <f t="shared" si="8"/>
        <v>10.034943670040098</v>
      </c>
      <c r="T59" s="3">
        <v>1.1862999999999999</v>
      </c>
      <c r="U59" s="22">
        <f t="shared" si="9"/>
        <v>3.3379204892966357</v>
      </c>
      <c r="V59" s="3">
        <v>2.9312999999999998</v>
      </c>
      <c r="W59" s="22">
        <f t="shared" si="10"/>
        <v>1.0083211804066226</v>
      </c>
      <c r="X59" s="3">
        <v>1.1554</v>
      </c>
      <c r="Y59" s="22">
        <f t="shared" si="11"/>
        <v>0.49126080125687349</v>
      </c>
      <c r="Z59" s="3">
        <v>0.1704</v>
      </c>
      <c r="AA59" s="22">
        <f t="shared" si="12"/>
        <v>2.481143934632307</v>
      </c>
    </row>
    <row r="60" spans="1:27">
      <c r="A60" s="3" t="s">
        <v>436</v>
      </c>
      <c r="B60" s="3">
        <v>2.427</v>
      </c>
      <c r="C60" s="22">
        <f t="shared" si="0"/>
        <v>3.4458137466649728</v>
      </c>
      <c r="D60" s="3">
        <v>6.7400000000000002E-2</v>
      </c>
      <c r="E60" s="22"/>
      <c r="F60" s="3">
        <v>3.9300000000000002E-2</v>
      </c>
      <c r="G60" s="22"/>
      <c r="H60" s="3">
        <v>9.0399999999999994E-2</v>
      </c>
      <c r="I60" s="22"/>
      <c r="J60" s="22">
        <v>4.5830000000000002</v>
      </c>
      <c r="K60" s="11">
        <f t="shared" si="3"/>
        <v>9.1660000000000004</v>
      </c>
      <c r="L60" s="11">
        <f t="shared" si="4"/>
        <v>6.2594865284243202</v>
      </c>
      <c r="M60" s="3">
        <v>20.298300000000001</v>
      </c>
      <c r="N60" s="22">
        <f t="shared" si="14"/>
        <v>40.596600000000002</v>
      </c>
      <c r="O60" s="11">
        <f t="shared" si="6"/>
        <v>40.267515923566883</v>
      </c>
      <c r="P60" s="3">
        <v>2.2858999999999998</v>
      </c>
      <c r="Q60" s="22">
        <f t="shared" si="7"/>
        <v>5.1542416452442161</v>
      </c>
      <c r="R60" s="3">
        <v>1.571</v>
      </c>
      <c r="S60" s="22">
        <f t="shared" si="8"/>
        <v>4.5413404620966196</v>
      </c>
      <c r="T60" s="3">
        <v>0.27650000000000002</v>
      </c>
      <c r="U60" s="22"/>
      <c r="V60" s="3">
        <v>0.79479999999999995</v>
      </c>
      <c r="W60" s="22"/>
      <c r="X60" s="3">
        <v>0.1452</v>
      </c>
      <c r="Y60" s="22"/>
      <c r="Z60" s="3">
        <v>4.87E-2</v>
      </c>
      <c r="AA60" s="22">
        <f t="shared" si="12"/>
        <v>2.0986800754242614</v>
      </c>
    </row>
    <row r="61" spans="1:27">
      <c r="A61" s="3" t="s">
        <v>437</v>
      </c>
      <c r="B61" s="3">
        <v>0.46600000000000003</v>
      </c>
      <c r="C61" s="22">
        <f t="shared" si="0"/>
        <v>0.95438953119044601</v>
      </c>
      <c r="D61" s="3">
        <v>0.57389999999999997</v>
      </c>
      <c r="E61" s="22">
        <f t="shared" si="1"/>
        <v>0.12921724170887888</v>
      </c>
      <c r="F61" s="3">
        <v>1.8110999999999999</v>
      </c>
      <c r="G61" s="22">
        <f t="shared" si="2"/>
        <v>1.8241159420289854</v>
      </c>
      <c r="H61" s="3">
        <v>0.22689999999999999</v>
      </c>
      <c r="I61" s="22"/>
      <c r="J61" s="22">
        <v>26.445799999999998</v>
      </c>
      <c r="K61" s="11">
        <f t="shared" si="3"/>
        <v>52.891599999999997</v>
      </c>
      <c r="L61" s="11">
        <f t="shared" si="4"/>
        <v>37.099943574552121</v>
      </c>
      <c r="M61" s="3">
        <v>42.438800000000001</v>
      </c>
      <c r="N61" s="22">
        <f t="shared" si="14"/>
        <v>84.877600000000001</v>
      </c>
      <c r="O61" s="11">
        <f t="shared" si="6"/>
        <v>82.363722787337196</v>
      </c>
      <c r="P61" s="3">
        <v>4.2687999999999997</v>
      </c>
      <c r="Q61" s="22">
        <f t="shared" si="7"/>
        <v>8.7952625780389262</v>
      </c>
      <c r="R61" s="3">
        <v>3.4287000000000001</v>
      </c>
      <c r="S61" s="22">
        <f t="shared" si="8"/>
        <v>8.0886003437082294</v>
      </c>
      <c r="T61" s="3">
        <v>1.6841999999999999</v>
      </c>
      <c r="U61" s="22">
        <f t="shared" si="9"/>
        <v>4.8605504587155961</v>
      </c>
      <c r="V61" s="3">
        <v>3.5897999999999999</v>
      </c>
      <c r="W61" s="22">
        <f t="shared" si="10"/>
        <v>1.5732178090417774</v>
      </c>
      <c r="X61" s="3">
        <v>1.0804</v>
      </c>
      <c r="Y61" s="22">
        <f t="shared" si="11"/>
        <v>0.41761586802827966</v>
      </c>
      <c r="Z61" s="3">
        <v>0.28639999999999999</v>
      </c>
      <c r="AA61" s="22">
        <f t="shared" si="12"/>
        <v>2.8456945317410436</v>
      </c>
    </row>
    <row r="62" spans="1:27">
      <c r="A62" s="3" t="s">
        <v>438</v>
      </c>
      <c r="B62" s="3">
        <v>0.4204</v>
      </c>
      <c r="C62" s="22">
        <f t="shared" ref="C62:C69" si="15">(B62+0.2852)/0.7871</f>
        <v>0.89645534239613767</v>
      </c>
      <c r="D62" s="3">
        <v>0.47510000000000002</v>
      </c>
      <c r="E62" s="22">
        <f t="shared" si="1"/>
        <v>3.4789257383159744E-2</v>
      </c>
      <c r="F62" s="3">
        <v>0.3785</v>
      </c>
      <c r="G62" s="22">
        <f t="shared" si="2"/>
        <v>0.16313043478260869</v>
      </c>
      <c r="H62" s="3">
        <v>0.30580000000000002</v>
      </c>
      <c r="I62" s="22"/>
      <c r="J62" s="22">
        <v>0.8901</v>
      </c>
      <c r="K62" s="11">
        <f t="shared" ref="K62:K69" si="16">J62*2</f>
        <v>1.7802</v>
      </c>
      <c r="L62" s="11">
        <f t="shared" ref="L62:L69" si="17">(K62-0.2913)/1.4178</f>
        <v>1.0501481168006772</v>
      </c>
      <c r="M62" s="3"/>
      <c r="N62" s="3">
        <v>1.8731</v>
      </c>
      <c r="O62" s="11">
        <f t="shared" ref="O62:O69" si="18">(N62+1.7608)/1.0519</f>
        <v>3.4546059511360392</v>
      </c>
      <c r="P62" s="3">
        <v>1.0153000000000001</v>
      </c>
      <c r="Q62" s="22">
        <f t="shared" ref="Q62:Q69" si="19">(P62+0.5211)/0.5446</f>
        <v>2.8211531399192067</v>
      </c>
      <c r="R62" s="3">
        <v>4.0392999999999999</v>
      </c>
      <c r="S62" s="22">
        <f t="shared" ref="S62:S69" si="20">(R62+0.8073)/0.5237</f>
        <v>9.254535039144546</v>
      </c>
      <c r="T62" s="3">
        <v>0.89710000000000001</v>
      </c>
      <c r="U62" s="22">
        <f t="shared" ref="U62:U68" si="21">(T62-0.0948)/0.327</f>
        <v>2.4535168195718655</v>
      </c>
      <c r="V62" s="3">
        <v>3.6962999999999999</v>
      </c>
      <c r="W62" s="22">
        <f t="shared" ref="W62:W69" si="22">(V62-1.7559)/1.1657</f>
        <v>1.664579222784593</v>
      </c>
      <c r="X62" s="3">
        <v>0.79459999999999997</v>
      </c>
      <c r="Y62" s="22">
        <f t="shared" ref="Y62:Y69" si="23">(X62-0.6551)/1.0184</f>
        <v>0.13697957580518458</v>
      </c>
      <c r="Z62" s="3">
        <v>0.15970000000000001</v>
      </c>
      <c r="AA62" s="22">
        <f t="shared" ref="AA62:AA69" si="24">(Z62+0.6191)/0.3182</f>
        <v>2.4475172847265871</v>
      </c>
    </row>
    <row r="63" spans="1:27">
      <c r="A63" s="3" t="s">
        <v>439</v>
      </c>
      <c r="B63" s="3">
        <v>4.3042999999999996</v>
      </c>
      <c r="C63" s="22">
        <f t="shared" si="15"/>
        <v>5.8308982340236302</v>
      </c>
      <c r="D63" s="3">
        <v>0.30559999999999998</v>
      </c>
      <c r="E63" s="22"/>
      <c r="F63" s="3">
        <v>9.0499999999999997E-2</v>
      </c>
      <c r="G63" s="22"/>
      <c r="H63" s="3">
        <v>0.2737</v>
      </c>
      <c r="I63" s="22"/>
      <c r="J63" s="22">
        <v>24.129000000000001</v>
      </c>
      <c r="K63" s="11">
        <f t="shared" si="16"/>
        <v>48.258000000000003</v>
      </c>
      <c r="L63" s="11">
        <f t="shared" si="17"/>
        <v>33.831781633516719</v>
      </c>
      <c r="M63" s="3">
        <v>38.491599999999998</v>
      </c>
      <c r="N63" s="3">
        <f>M63*2</f>
        <v>76.983199999999997</v>
      </c>
      <c r="O63" s="11">
        <f t="shared" si="18"/>
        <v>74.858826884684845</v>
      </c>
      <c r="P63" s="3">
        <v>10.208299999999999</v>
      </c>
      <c r="Q63" s="22">
        <f t="shared" si="19"/>
        <v>19.701432243848696</v>
      </c>
      <c r="R63" s="3">
        <v>3.5657000000000001</v>
      </c>
      <c r="S63" s="22">
        <f t="shared" si="20"/>
        <v>8.3502004964674423</v>
      </c>
      <c r="T63" s="3">
        <v>0.89659999999999995</v>
      </c>
      <c r="U63" s="22">
        <f t="shared" si="21"/>
        <v>2.4519877675840975</v>
      </c>
      <c r="V63" s="3">
        <v>2.8616999999999999</v>
      </c>
      <c r="W63" s="22">
        <f t="shared" si="22"/>
        <v>0.94861456635497976</v>
      </c>
      <c r="X63" s="3">
        <v>1.1716</v>
      </c>
      <c r="Y63" s="22">
        <f t="shared" si="23"/>
        <v>0.50716810683424973</v>
      </c>
      <c r="Z63" s="3">
        <v>0.18179999999999999</v>
      </c>
      <c r="AA63" s="22">
        <f t="shared" si="24"/>
        <v>2.5169704588309241</v>
      </c>
    </row>
    <row r="64" spans="1:27">
      <c r="A64" s="3" t="s">
        <v>440</v>
      </c>
      <c r="B64" s="3">
        <v>3.9142999999999999</v>
      </c>
      <c r="C64" s="22">
        <f t="shared" si="15"/>
        <v>5.3354084614407311</v>
      </c>
      <c r="D64" s="3">
        <v>0.18820000000000001</v>
      </c>
      <c r="E64" s="22"/>
      <c r="F64" s="3">
        <v>0.115</v>
      </c>
      <c r="G64" s="22"/>
      <c r="H64" s="3">
        <v>0.1114</v>
      </c>
      <c r="I64" s="22"/>
      <c r="J64" s="3">
        <v>25.348400000000002</v>
      </c>
      <c r="K64" s="11">
        <f t="shared" si="16"/>
        <v>50.696800000000003</v>
      </c>
      <c r="L64" s="11">
        <f t="shared" si="17"/>
        <v>35.551911412046834</v>
      </c>
      <c r="M64" s="3">
        <v>30.6372</v>
      </c>
      <c r="N64" s="3">
        <f t="shared" ref="N64:N69" si="25">M64*2</f>
        <v>61.2744</v>
      </c>
      <c r="O64" s="11">
        <f t="shared" si="18"/>
        <v>59.925087936115602</v>
      </c>
      <c r="P64" s="3">
        <v>7.7550999999999997</v>
      </c>
      <c r="Q64" s="22">
        <f t="shared" si="19"/>
        <v>15.196841718692617</v>
      </c>
      <c r="R64" s="3">
        <v>2.0522999999999998</v>
      </c>
      <c r="S64" s="22">
        <f t="shared" si="20"/>
        <v>5.4603780790528917</v>
      </c>
      <c r="T64" s="3">
        <v>0.93640000000000001</v>
      </c>
      <c r="U64" s="22">
        <f t="shared" si="21"/>
        <v>2.5737003058103975</v>
      </c>
      <c r="V64" s="3">
        <v>1.8737999999999999</v>
      </c>
      <c r="W64" s="22">
        <f t="shared" si="22"/>
        <v>0.1011409453547224</v>
      </c>
      <c r="X64" s="3">
        <v>0.93640000000000001</v>
      </c>
      <c r="Y64" s="22">
        <f t="shared" si="23"/>
        <v>0.27621759622937941</v>
      </c>
      <c r="Z64" s="3">
        <v>0.15529999999999999</v>
      </c>
      <c r="AA64" s="22">
        <f t="shared" si="24"/>
        <v>2.4336895034569452</v>
      </c>
    </row>
    <row r="65" spans="1:27">
      <c r="A65" s="3" t="s">
        <v>441</v>
      </c>
      <c r="B65" s="3">
        <v>3.9773000000000001</v>
      </c>
      <c r="C65" s="22">
        <f t="shared" si="15"/>
        <v>5.415449117011816</v>
      </c>
      <c r="D65" s="3">
        <v>0.32250000000000001</v>
      </c>
      <c r="E65" s="22"/>
      <c r="F65" s="3">
        <v>7.2400000000000006E-2</v>
      </c>
      <c r="G65" s="22"/>
      <c r="H65" s="3">
        <v>0.12520000000000001</v>
      </c>
      <c r="I65" s="22"/>
      <c r="J65" s="22">
        <v>19.921500000000002</v>
      </c>
      <c r="K65" s="11">
        <f t="shared" si="16"/>
        <v>39.843000000000004</v>
      </c>
      <c r="L65" s="11">
        <f t="shared" si="17"/>
        <v>27.896529834955569</v>
      </c>
      <c r="M65" s="3">
        <v>36.005899999999997</v>
      </c>
      <c r="N65" s="3">
        <f t="shared" si="25"/>
        <v>72.011799999999994</v>
      </c>
      <c r="O65" s="11">
        <f t="shared" si="18"/>
        <v>70.132712235003325</v>
      </c>
      <c r="P65" s="3">
        <v>26.798999999999999</v>
      </c>
      <c r="Q65" s="22">
        <f t="shared" si="19"/>
        <v>50.16544252662505</v>
      </c>
      <c r="R65" s="3">
        <v>3.6774</v>
      </c>
      <c r="S65" s="22">
        <f t="shared" si="20"/>
        <v>8.5634905480236778</v>
      </c>
      <c r="T65" s="3">
        <v>0.36840000000000001</v>
      </c>
      <c r="U65" s="22">
        <f t="shared" si="21"/>
        <v>0.83669724770642206</v>
      </c>
      <c r="V65" s="3">
        <v>3.2951000000000001</v>
      </c>
      <c r="W65" s="22">
        <f t="shared" si="22"/>
        <v>1.3204083383374798</v>
      </c>
      <c r="X65" s="3">
        <v>0.83150000000000002</v>
      </c>
      <c r="Y65" s="22">
        <f t="shared" si="23"/>
        <v>0.17321288295365281</v>
      </c>
      <c r="Z65" s="3">
        <v>8.6599999999999996E-2</v>
      </c>
      <c r="AA65" s="22">
        <f t="shared" si="24"/>
        <v>2.2177875549968573</v>
      </c>
    </row>
    <row r="66" spans="1:27">
      <c r="A66" s="3" t="s">
        <v>442</v>
      </c>
      <c r="B66" s="3">
        <v>16.673400000000001</v>
      </c>
      <c r="C66" s="22">
        <f t="shared" si="15"/>
        <v>21.545673993139374</v>
      </c>
      <c r="D66" s="3">
        <v>0.42720000000000002</v>
      </c>
      <c r="E66" s="22"/>
      <c r="F66" s="3">
        <v>3.7199999999999997E-2</v>
      </c>
      <c r="G66" s="22"/>
      <c r="H66" s="3">
        <v>0.13220000000000001</v>
      </c>
      <c r="I66" s="22"/>
      <c r="J66" s="22">
        <v>16.005099999999999</v>
      </c>
      <c r="K66" s="11">
        <f t="shared" si="16"/>
        <v>32.010199999999998</v>
      </c>
      <c r="L66" s="11">
        <f t="shared" si="17"/>
        <v>22.371914233319227</v>
      </c>
      <c r="M66" s="3">
        <v>56.905500000000004</v>
      </c>
      <c r="N66" s="3">
        <f t="shared" si="25"/>
        <v>113.81100000000001</v>
      </c>
      <c r="O66" s="11">
        <f t="shared" si="18"/>
        <v>109.86956935069874</v>
      </c>
      <c r="P66" s="3">
        <v>18.079899999999999</v>
      </c>
      <c r="Q66" s="22">
        <f t="shared" si="19"/>
        <v>34.155343371281674</v>
      </c>
      <c r="R66" s="3">
        <v>6.2606999999999999</v>
      </c>
      <c r="S66" s="22">
        <f t="shared" si="20"/>
        <v>13.496276494176053</v>
      </c>
      <c r="T66" s="3">
        <v>0.43180000000000002</v>
      </c>
      <c r="U66" s="22"/>
      <c r="V66" s="3">
        <v>5.2866</v>
      </c>
      <c r="W66" s="22">
        <f t="shared" si="22"/>
        <v>3.0288238826456206</v>
      </c>
      <c r="X66" s="3">
        <v>1.1356999999999999</v>
      </c>
      <c r="Y66" s="22">
        <f t="shared" si="23"/>
        <v>0.47191673212882945</v>
      </c>
      <c r="Z66" s="3">
        <v>0.18540000000000001</v>
      </c>
      <c r="AA66" s="22">
        <f t="shared" si="24"/>
        <v>2.52828409805154</v>
      </c>
    </row>
    <row r="67" spans="1:27">
      <c r="A67" s="3" t="s">
        <v>443</v>
      </c>
      <c r="B67" s="3">
        <v>1.3844000000000001</v>
      </c>
      <c r="C67" s="22">
        <f t="shared" si="15"/>
        <v>2.1212044212933554</v>
      </c>
      <c r="D67" s="3">
        <v>0.31990000000000002</v>
      </c>
      <c r="E67" s="22"/>
      <c r="F67" s="3">
        <v>3.1E-2</v>
      </c>
      <c r="G67" s="22"/>
      <c r="H67" s="3">
        <v>0.15379999999999999</v>
      </c>
      <c r="I67" s="22"/>
      <c r="J67" s="22">
        <v>26.472899999999999</v>
      </c>
      <c r="K67" s="11">
        <f t="shared" si="16"/>
        <v>52.945799999999998</v>
      </c>
      <c r="L67" s="11">
        <f t="shared" si="17"/>
        <v>37.138171815488789</v>
      </c>
      <c r="M67" s="3">
        <v>43.967100000000002</v>
      </c>
      <c r="N67" s="3">
        <f t="shared" si="25"/>
        <v>87.934200000000004</v>
      </c>
      <c r="O67" s="11">
        <f t="shared" si="18"/>
        <v>85.269512311056189</v>
      </c>
      <c r="P67" s="3">
        <v>5.3789999999999996</v>
      </c>
      <c r="Q67" s="22">
        <f t="shared" si="19"/>
        <v>10.833822989349981</v>
      </c>
      <c r="R67" s="3">
        <v>3.9565999999999999</v>
      </c>
      <c r="S67" s="22">
        <f t="shared" si="20"/>
        <v>9.0966202024059566</v>
      </c>
      <c r="T67" s="3">
        <v>0.43580000000000002</v>
      </c>
      <c r="U67" s="22"/>
      <c r="V67" s="3">
        <v>3.8065000000000002</v>
      </c>
      <c r="W67" s="22">
        <f t="shared" si="22"/>
        <v>1.7591146950330276</v>
      </c>
      <c r="X67" s="3">
        <v>1.3864000000000001</v>
      </c>
      <c r="Y67" s="22">
        <f t="shared" si="23"/>
        <v>0.7180871956009427</v>
      </c>
      <c r="Z67" s="3">
        <v>0.15890000000000001</v>
      </c>
      <c r="AA67" s="22">
        <f t="shared" si="24"/>
        <v>2.4450031426775616</v>
      </c>
    </row>
    <row r="68" spans="1:27">
      <c r="A68" s="3" t="s">
        <v>444</v>
      </c>
      <c r="B68" s="3">
        <v>11.808</v>
      </c>
      <c r="C68" s="22">
        <f t="shared" si="15"/>
        <v>15.364248507178248</v>
      </c>
      <c r="D68" s="3">
        <v>0.28239999999999998</v>
      </c>
      <c r="E68" s="22"/>
      <c r="F68" s="3">
        <v>3.1E-2</v>
      </c>
      <c r="G68" s="22"/>
      <c r="H68" s="3">
        <v>5.6899999999999999E-2</v>
      </c>
      <c r="I68" s="22"/>
      <c r="J68" s="22">
        <v>21.126100000000001</v>
      </c>
      <c r="K68" s="11">
        <f t="shared" si="16"/>
        <v>42.252200000000002</v>
      </c>
      <c r="L68" s="11">
        <f t="shared" si="17"/>
        <v>29.595782197771197</v>
      </c>
      <c r="M68" s="3">
        <v>38.659399999999998</v>
      </c>
      <c r="N68" s="3">
        <f t="shared" si="25"/>
        <v>77.318799999999996</v>
      </c>
      <c r="O68" s="11">
        <f t="shared" si="18"/>
        <v>75.177868618689985</v>
      </c>
      <c r="P68" s="3">
        <v>4.6570999999999998</v>
      </c>
      <c r="Q68" s="22">
        <f t="shared" si="19"/>
        <v>9.50826294528094</v>
      </c>
      <c r="R68" s="3">
        <v>3.806</v>
      </c>
      <c r="S68" s="22">
        <f t="shared" si="20"/>
        <v>8.8090509833874346</v>
      </c>
      <c r="T68" s="3">
        <v>0.7208</v>
      </c>
      <c r="U68" s="22">
        <f t="shared" si="21"/>
        <v>1.9143730886850152</v>
      </c>
      <c r="V68" s="3">
        <v>3.2294</v>
      </c>
      <c r="W68" s="22">
        <f t="shared" si="22"/>
        <v>1.2640473535214893</v>
      </c>
      <c r="X68" s="3">
        <v>0.96679999999999999</v>
      </c>
      <c r="Y68" s="22">
        <f t="shared" si="23"/>
        <v>0.30606834249803611</v>
      </c>
      <c r="Z68" s="3">
        <v>0.1348</v>
      </c>
      <c r="AA68" s="22">
        <f t="shared" si="24"/>
        <v>2.3692646134506603</v>
      </c>
    </row>
    <row r="69" spans="1:27">
      <c r="A69" s="3" t="s">
        <v>445</v>
      </c>
      <c r="B69" s="3">
        <v>2.5464000000000002</v>
      </c>
      <c r="C69" s="22">
        <f t="shared" si="15"/>
        <v>3.5975098462711221</v>
      </c>
      <c r="D69" s="3">
        <v>0.191</v>
      </c>
      <c r="E69" s="22"/>
      <c r="F69" s="3">
        <v>5.8000000000000003E-2</v>
      </c>
      <c r="G69" s="22"/>
      <c r="H69" s="3">
        <v>4.0500000000000001E-2</v>
      </c>
      <c r="I69" s="22"/>
      <c r="J69" s="22">
        <v>13.0219</v>
      </c>
      <c r="K69" s="11">
        <f t="shared" si="16"/>
        <v>26.043800000000001</v>
      </c>
      <c r="L69" s="11">
        <f t="shared" si="17"/>
        <v>18.163704330653125</v>
      </c>
      <c r="M69" s="3">
        <v>25.409500000000001</v>
      </c>
      <c r="N69" s="3">
        <f t="shared" si="25"/>
        <v>50.819000000000003</v>
      </c>
      <c r="O69" s="11">
        <f t="shared" si="18"/>
        <v>49.985549957220272</v>
      </c>
      <c r="P69" s="3">
        <v>32.033999999999999</v>
      </c>
      <c r="Q69" s="22">
        <f t="shared" si="19"/>
        <v>59.778002203452068</v>
      </c>
      <c r="R69" s="3">
        <v>4.4438000000000004</v>
      </c>
      <c r="S69" s="22">
        <f t="shared" si="20"/>
        <v>10.026923811342371</v>
      </c>
      <c r="T69" s="3">
        <v>0.17699999999999999</v>
      </c>
      <c r="U69" s="22"/>
      <c r="V69" s="3">
        <v>4.5133999999999999</v>
      </c>
      <c r="W69" s="22">
        <f t="shared" si="22"/>
        <v>2.3655314403362784</v>
      </c>
      <c r="X69" s="3">
        <v>0.76390000000000002</v>
      </c>
      <c r="Y69" s="22">
        <f t="shared" si="23"/>
        <v>0.10683424980361352</v>
      </c>
      <c r="Z69" s="3">
        <v>7.9000000000000001E-2</v>
      </c>
      <c r="AA69" s="22">
        <f t="shared" si="24"/>
        <v>2.1939032055311123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gut</vt:lpstr>
      <vt:lpstr>gut&amp;honey</vt:lpstr>
      <vt:lpstr>beebread</vt:lpstr>
      <vt:lpstr>JNbeebread</vt:lpstr>
      <vt:lpstr>inoculation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杨子嘉</dc:creator>
  <cp:lastModifiedBy>Min Tang</cp:lastModifiedBy>
  <dcterms:created xsi:type="dcterms:W3CDTF">2015-06-05T18:19:34Z</dcterms:created>
  <dcterms:modified xsi:type="dcterms:W3CDTF">2025-02-11T08:07:13Z</dcterms:modified>
</cp:coreProperties>
</file>