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o827\Desktop\paper\"/>
    </mc:Choice>
  </mc:AlternateContent>
  <xr:revisionPtr revIDLastSave="0" documentId="8_{B4A094DB-A275-452A-B5B1-6E7CBF2F141A}" xr6:coauthVersionLast="47" xr6:coauthVersionMax="47" xr10:uidLastSave="{00000000-0000-0000-0000-000000000000}"/>
  <bookViews>
    <workbookView xWindow="-108" yWindow="-108" windowWidth="23256" windowHeight="12456" xr2:uid="{0A849456-60E9-4625-98CA-655B9CDD93C9}"/>
  </bookViews>
  <sheets>
    <sheet name="NipWT mixture" sheetId="2" r:id="rId1"/>
    <sheet name="NipGE Mixture (PromethION)" sheetId="4" r:id="rId2"/>
  </sheets>
  <definedNames>
    <definedName name="_Hlk214884996" localSheetId="0">'NipWT mixture'!$A$38</definedName>
    <definedName name="_Hlk214885478" localSheetId="0">'NipWT mixture'!$A$39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1" i="2" l="1"/>
  <c r="J40" i="2"/>
  <c r="J39" i="2"/>
  <c r="E2" i="4"/>
  <c r="G39" i="2"/>
  <c r="E41" i="2"/>
  <c r="E39" i="2"/>
  <c r="E40" i="2"/>
  <c r="G41" i="2" l="1"/>
  <c r="I41" i="2"/>
  <c r="I40" i="2"/>
  <c r="I39" i="2"/>
  <c r="D41" i="2" l="1"/>
  <c r="E14" i="4" l="1"/>
  <c r="C14" i="4"/>
  <c r="E13" i="4"/>
  <c r="C13" i="4"/>
  <c r="E12" i="4"/>
  <c r="C12" i="4"/>
  <c r="O8" i="4"/>
  <c r="N8" i="4"/>
  <c r="E3" i="4"/>
  <c r="E4" i="4"/>
  <c r="E5" i="4"/>
  <c r="O5" i="4" s="1"/>
  <c r="E6" i="4"/>
  <c r="E7" i="4"/>
  <c r="E8" i="4"/>
  <c r="N2" i="4"/>
  <c r="M2" i="4"/>
  <c r="M3" i="4"/>
  <c r="M4" i="4"/>
  <c r="M5" i="4"/>
  <c r="M6" i="4"/>
  <c r="M7" i="4"/>
  <c r="M8" i="4"/>
  <c r="C30" i="2"/>
  <c r="C31" i="2"/>
  <c r="E30" i="2"/>
  <c r="E31" i="2"/>
  <c r="E29" i="2"/>
  <c r="C29" i="2"/>
  <c r="O2" i="4" l="1"/>
  <c r="N5" i="4"/>
  <c r="Q25" i="2" l="1"/>
  <c r="E25" i="2"/>
  <c r="Q24" i="2"/>
  <c r="E24" i="2"/>
  <c r="Q23" i="2"/>
  <c r="S23" i="2" s="1"/>
  <c r="E23" i="2"/>
  <c r="P22" i="2"/>
  <c r="O22" i="2"/>
  <c r="N22" i="2"/>
  <c r="M22" i="2"/>
  <c r="L22" i="2"/>
  <c r="K22" i="2"/>
  <c r="J22" i="2"/>
  <c r="I22" i="2"/>
  <c r="H22" i="2"/>
  <c r="G22" i="2"/>
  <c r="F22" i="2"/>
  <c r="D22" i="2"/>
  <c r="C22" i="2"/>
  <c r="B22" i="2"/>
  <c r="Q21" i="2"/>
  <c r="E21" i="2"/>
  <c r="Q20" i="2"/>
  <c r="E20" i="2"/>
  <c r="Q19" i="2"/>
  <c r="E19" i="2"/>
  <c r="Q18" i="2"/>
  <c r="E18" i="2"/>
  <c r="Q17" i="2"/>
  <c r="E17" i="2"/>
  <c r="Q16" i="2"/>
  <c r="E16" i="2"/>
  <c r="U16" i="2" s="1"/>
  <c r="Q15" i="2"/>
  <c r="E15" i="2"/>
  <c r="Q14" i="2"/>
  <c r="E14" i="2"/>
  <c r="Q13" i="2"/>
  <c r="E13" i="2"/>
  <c r="P12" i="2"/>
  <c r="O12" i="2"/>
  <c r="N12" i="2"/>
  <c r="M12" i="2"/>
  <c r="L12" i="2"/>
  <c r="K12" i="2"/>
  <c r="J12" i="2"/>
  <c r="I12" i="2"/>
  <c r="H12" i="2"/>
  <c r="G12" i="2"/>
  <c r="F12" i="2"/>
  <c r="D12" i="2"/>
  <c r="C12" i="2"/>
  <c r="B12" i="2"/>
  <c r="Q11" i="2"/>
  <c r="E11" i="2"/>
  <c r="Q10" i="2"/>
  <c r="E10" i="2"/>
  <c r="Q9" i="2"/>
  <c r="E9" i="2"/>
  <c r="Q8" i="2"/>
  <c r="E8" i="2"/>
  <c r="Q7" i="2"/>
  <c r="E7" i="2"/>
  <c r="Q6" i="2"/>
  <c r="E6" i="2"/>
  <c r="Q5" i="2"/>
  <c r="E5" i="2"/>
  <c r="Q4" i="2"/>
  <c r="E4" i="2"/>
  <c r="Q3" i="2"/>
  <c r="E3" i="2"/>
  <c r="P2" i="2"/>
  <c r="O2" i="2"/>
  <c r="N2" i="2"/>
  <c r="M2" i="2"/>
  <c r="L2" i="2"/>
  <c r="K2" i="2"/>
  <c r="J2" i="2"/>
  <c r="I2" i="2"/>
  <c r="H2" i="2"/>
  <c r="G2" i="2"/>
  <c r="F2" i="2"/>
  <c r="D2" i="2"/>
  <c r="C2" i="2"/>
  <c r="B2" i="2"/>
  <c r="E12" i="2" l="1"/>
  <c r="G40" i="2"/>
  <c r="E22" i="2"/>
  <c r="R22" i="2"/>
  <c r="U19" i="2"/>
  <c r="S24" i="2"/>
  <c r="T22" i="2" s="1"/>
  <c r="S9" i="2"/>
  <c r="R12" i="2"/>
  <c r="U9" i="2"/>
  <c r="U24" i="2"/>
  <c r="S25" i="2"/>
  <c r="U13" i="2"/>
  <c r="U6" i="2"/>
  <c r="Q22" i="2"/>
  <c r="S6" i="2"/>
  <c r="U25" i="2"/>
  <c r="U3" i="2"/>
  <c r="Q12" i="2"/>
  <c r="S19" i="2"/>
  <c r="U23" i="2"/>
  <c r="U22" i="2" s="1"/>
  <c r="R2" i="2"/>
  <c r="S16" i="2"/>
  <c r="E2" i="2"/>
  <c r="S22" i="2"/>
  <c r="S13" i="2"/>
  <c r="Q2" i="2"/>
  <c r="S3" i="2"/>
  <c r="D40" i="2" l="1"/>
  <c r="V2" i="2"/>
  <c r="D39" i="2"/>
  <c r="U12" i="2"/>
  <c r="V12" i="2"/>
  <c r="V22" i="2"/>
  <c r="U2" i="2"/>
  <c r="T12" i="2"/>
  <c r="S12" i="2"/>
  <c r="T2" i="2"/>
  <c r="S2" i="2"/>
</calcChain>
</file>

<file path=xl/sharedStrings.xml><?xml version="1.0" encoding="utf-8"?>
<sst xmlns="http://schemas.openxmlformats.org/spreadsheetml/2006/main" count="105" uniqueCount="68">
  <si>
    <t>Depletion</t>
  </si>
  <si>
    <t>Depletion 1</t>
  </si>
  <si>
    <t>Dep1_Accepted</t>
  </si>
  <si>
    <t>Dep1_Rejected</t>
  </si>
  <si>
    <t>Depletion 2</t>
  </si>
  <si>
    <t>Dep2_Accepted</t>
  </si>
  <si>
    <t>Dep2_Rejected</t>
  </si>
  <si>
    <t>Depletion 3</t>
  </si>
  <si>
    <t>Dep3_Accepted</t>
  </si>
  <si>
    <t>Dep3_Rejected</t>
  </si>
  <si>
    <t>Enrichment</t>
  </si>
  <si>
    <t>Enrichment 1</t>
  </si>
  <si>
    <t>Enrich1_Accepted</t>
  </si>
  <si>
    <t>Enirch1_Rejected</t>
  </si>
  <si>
    <t>Enrichment 2</t>
  </si>
  <si>
    <t>Enrich2_Accepted</t>
  </si>
  <si>
    <t>Enrich2_Rejected</t>
  </si>
  <si>
    <t>Enrichment 3</t>
  </si>
  <si>
    <t>Enrich3_Accepted</t>
  </si>
  <si>
    <t>Enrich3_Rejected</t>
  </si>
  <si>
    <t>Sample</t>
  </si>
  <si>
    <t>Sequencing yield after filtering (bp)</t>
  </si>
  <si>
    <t># Reads after filtering</t>
  </si>
  <si>
    <t>Pores</t>
  </si>
  <si>
    <t>Yield per pore</t>
  </si>
  <si>
    <t># Reads aligning to non-target</t>
  </si>
  <si>
    <t>Mean DOC non-target</t>
  </si>
  <si>
    <t>Mean DOC Std.Dev Non-target</t>
  </si>
  <si>
    <t>BOC non-target (%)</t>
  </si>
  <si>
    <t>BOC non-target (%) Std.Dev</t>
  </si>
  <si>
    <t># Reads aligning to target</t>
  </si>
  <si>
    <t>Mean DOC target</t>
  </si>
  <si>
    <t>Mean DOC Std. Dev Target</t>
  </si>
  <si>
    <t>BOC target (%)</t>
  </si>
  <si>
    <t>BOC target (%) Std.Dev</t>
  </si>
  <si>
    <t>% yield on-target</t>
  </si>
  <si>
    <t>% yield on-target std.dev</t>
  </si>
  <si>
    <t>Fold enrichment (Norm. Yield &amp; pores)</t>
  </si>
  <si>
    <t>Depth enrichment (norm pores)</t>
  </si>
  <si>
    <t>stdevp yield fold change</t>
  </si>
  <si>
    <t>stdev Depth</t>
  </si>
  <si>
    <t>Dep_Accepted</t>
  </si>
  <si>
    <t>Dep_Rejected</t>
  </si>
  <si>
    <t>Enr_Accepted</t>
  </si>
  <si>
    <t>enr_Rejected</t>
  </si>
  <si>
    <t>Name</t>
  </si>
  <si>
    <t>Detected SNPS</t>
  </si>
  <si>
    <t>% detected SNPS</t>
  </si>
  <si>
    <t>Detected Barcodes</t>
  </si>
  <si>
    <t>% barcodes</t>
  </si>
  <si>
    <t>On target?</t>
  </si>
  <si>
    <t>yes</t>
  </si>
  <si>
    <t>On-target output</t>
  </si>
  <si>
    <t>no</t>
  </si>
  <si>
    <t>Merged sample</t>
  </si>
  <si>
    <t>Mean DOC target merged</t>
  </si>
  <si>
    <t>BOC target (%) merged</t>
  </si>
  <si>
    <t>Merged depth enrichment</t>
  </si>
  <si>
    <t>Merged pores</t>
  </si>
  <si>
    <t>Merged yield after filterng</t>
  </si>
  <si>
    <t>Merged yield per pore</t>
  </si>
  <si>
    <t>Merged on target output</t>
  </si>
  <si>
    <t>Merged % yield on target</t>
  </si>
  <si>
    <t>Fold enrichment (norm. yield &amp; pores)</t>
  </si>
  <si>
    <t>Standard</t>
  </si>
  <si>
    <t>Standard 1</t>
  </si>
  <si>
    <t>Standard 2</t>
  </si>
  <si>
    <t>Standard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</si>
</sst>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* #,##0.00_ ;_ * \-#,##0.00_ ;_ * &quot;-&quot;??_ ;_ @_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3AAA35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wrapText="1" readingOrder="1"/>
    </xf>
    <xf numFmtId="0" fontId="2" fillId="0" borderId="0" xfId="0" applyFont="1"/>
    <xf numFmtId="2" fontId="0" fillId="0" borderId="0" xfId="0" applyNumberFormat="1"/>
    <xf numFmtId="2" fontId="0" fillId="0" borderId="0" xfId="0" applyNumberFormat="1" applyAlignment="1">
      <alignment wrapText="1"/>
    </xf>
    <xf numFmtId="2" fontId="0" fillId="2" borderId="0" xfId="2" applyNumberFormat="1" applyFont="1" applyFill="1"/>
    <xf numFmtId="2" fontId="0" fillId="0" borderId="0" xfId="1" applyNumberFormat="1" applyFont="1" applyFill="1"/>
    <xf numFmtId="2" fontId="0" fillId="0" borderId="0" xfId="2" applyNumberFormat="1" applyFont="1" applyFill="1"/>
    <xf numFmtId="2" fontId="0" fillId="0" borderId="0" xfId="2" applyNumberFormat="1" applyFont="1"/>
    <xf numFmtId="2" fontId="0" fillId="0" borderId="0" xfId="0" applyNumberFormat="1" applyFill="1" applyAlignment="1">
      <alignment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wrapText="1" readingOrder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2" applyNumberFormat="1" applyFont="1" applyFill="1" applyAlignment="1">
      <alignment vertic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Fill="1" applyAlignment="1">
      <alignment vertical="center" wrapText="1"/>
    </xf>
    <xf numFmtId="2" fontId="2" fillId="0" borderId="0" xfId="0" applyNumberFormat="1" applyFont="1" applyAlignment="1">
      <alignment wrapText="1"/>
    </xf>
    <xf numFmtId="4" fontId="0" fillId="0" borderId="0" xfId="0" applyNumberFormat="1"/>
    <xf numFmtId="0" fontId="3" fillId="3" borderId="2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2" fillId="4" borderId="3" xfId="0" applyFont="1" applyFill="1" applyBorder="1" applyAlignment="1">
      <alignment vertical="center"/>
    </xf>
    <xf numFmtId="166" fontId="0" fillId="0" borderId="0" xfId="3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10" fontId="0" fillId="0" borderId="0" xfId="3" applyNumberFormat="1" applyFont="1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" fontId="0" fillId="0" borderId="0" xfId="0" applyNumberFormat="1"/>
  </cellXfs>
  <cellStyles count="5">
    <cellStyle name="Comma" xfId="1" builtinId="3"/>
    <cellStyle name="Comma [0]" xfId="2" builtinId="6"/>
    <cellStyle name="Comma [0] 2" xfId="4" xr:uid="{E4CE79EA-9E5F-43B0-B0BB-DB18A3976A9C}"/>
    <cellStyle name="Normal" xfId="0" builtinId="0"/>
    <cellStyle name="Percent" xfId="3" builtinId="5"/>
  </cellStyles>
  <dxfs count="55">
    <dxf>
      <numFmt numFmtId="0" formatCode="General"/>
      <alignment vertical="center" textRotation="0" indent="0" justifyLastLine="0" shrinkToFit="0"/>
    </dxf>
    <dxf>
      <numFmt numFmtId="14" formatCode="0.00%"/>
    </dxf>
    <dxf>
      <alignment vertical="center" textRotation="0" indent="0" justifyLastLine="0" shrinkToFit="0"/>
    </dxf>
    <dxf>
      <numFmt numFmtId="166" formatCode="0.0%"/>
      <alignment horizontal="general" vertical="center" textRotation="0" wrapText="0" indent="0" justifyLastLine="0" shrinkToFit="0" readingOrder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border outline="0">
        <top style="medium">
          <color rgb="FFFFFFFF"/>
        </top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solid">
          <fgColor indexed="64"/>
          <bgColor rgb="FF3AAA35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numFmt numFmtId="0" formatCode="General"/>
      <alignment vertical="center" textRotation="0" indent="0" justifyLastLine="0" shrinkToFit="0"/>
    </dxf>
    <dxf>
      <numFmt numFmtId="4" formatCode="#,##0.00"/>
    </dxf>
    <dxf>
      <numFmt numFmtId="3" formatCode="#,##0"/>
      <alignment vertical="center" textRotation="0" indent="0" justifyLastLine="0" shrinkToFit="0"/>
    </dxf>
    <dxf>
      <numFmt numFmtId="0" formatCode="General"/>
      <alignment vertical="center" textRotation="0" indent="0" justifyLastLine="0" shrinkToFit="0"/>
    </dxf>
    <dxf>
      <alignment vertical="center" textRotation="0" indent="0" justifyLastLine="0" shrinkToFit="0"/>
    </dxf>
    <dxf>
      <numFmt numFmtId="2" formatCode="0.00"/>
      <alignment vertical="center" textRotation="0" indent="0" justifyLastLine="0" shrinkToFit="0"/>
    </dxf>
    <dxf>
      <numFmt numFmtId="0" formatCode="General"/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numFmt numFmtId="0" formatCode="General"/>
      <alignment vertical="center" textRotation="0" indent="0" justifyLastLine="0" shrinkToFit="0"/>
    </dxf>
    <dxf>
      <numFmt numFmtId="14" formatCode="0.00%"/>
    </dxf>
    <dxf>
      <alignment vertical="center" textRotation="0" indent="0" justifyLastLine="0" shrinkToFit="0"/>
    </dxf>
    <dxf>
      <numFmt numFmtId="14" formatCode="0.00%"/>
      <alignment horizontal="general" vertical="center" textRotation="0" wrapText="0" indent="0" justifyLastLine="0" shrinkToFit="0" readingOrder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border outline="0">
        <top style="medium">
          <color rgb="FFFFFFFF"/>
        </top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solid">
          <fgColor indexed="64"/>
          <bgColor rgb="FF3AAA35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2A70A06-B963-4528-A383-0A4330906254}" name="Table28" displayName="Table28" ref="A1:V25" totalsRowShown="0" headerRowDxfId="54" headerRowBorderDxfId="53" tableBorderDxfId="52">
  <autoFilter ref="A1:V25" xr:uid="{82A70A06-B963-4528-A383-0A4330906254}"/>
  <tableColumns count="22">
    <tableColumn id="1" xr3:uid="{F690312D-2010-439D-B074-BDAFA2119660}" name="Sample"/>
    <tableColumn id="2" xr3:uid="{18AB75C7-923B-4798-9BFA-CE03D25210E7}" name="Sequencing yield after filtering (bp)"/>
    <tableColumn id="3" xr3:uid="{46E9FE45-E4A3-4B03-B408-FEA7607D15F8}" name="# Reads after filtering"/>
    <tableColumn id="4" xr3:uid="{20D40003-9430-4E4D-BF54-3699CF4CD33F}" name="Pores"/>
    <tableColumn id="16" xr3:uid="{E8C607C0-DD5E-4096-AEDF-E8430E4101A0}" name="Yield per pore" dataDxfId="51" dataCellStyle="Comma [0]">
      <calculatedColumnFormula>Table28[[#This Row],[Sequencing yield after filtering (bp)]]/Table28[[#This Row],[Pores]]</calculatedColumnFormula>
    </tableColumn>
    <tableColumn id="5" xr3:uid="{BCF7EBBD-82DD-445A-BECF-DEA7271DF4FE}" name="# Reads aligning to non-target"/>
    <tableColumn id="6" xr3:uid="{9EB669E8-7FB9-426B-A2E4-0D7759EF7B3B}" name="Mean DOC non-target"/>
    <tableColumn id="20" xr3:uid="{61CB00AC-470A-4BA7-967D-1C643CADCFCA}" name="Mean DOC Std.Dev Non-target" dataDxfId="50" dataCellStyle="Comma [0]">
      <calculatedColumnFormula>_xlfn.STDEV.P(G3,G6,G9)</calculatedColumnFormula>
    </tableColumn>
    <tableColumn id="7" xr3:uid="{BC7C3614-118B-4017-B86B-69E6AD4E4C6A}" name="BOC non-target (%)"/>
    <tableColumn id="22" xr3:uid="{ABD6B375-F30D-45EF-A012-4C6283B89321}" name="BOC non-target (%) Std.Dev" dataDxfId="49" dataCellStyle="Comma [0]">
      <calculatedColumnFormula>_xlfn.STDEV.P(I3,I6,I9)</calculatedColumnFormula>
    </tableColumn>
    <tableColumn id="8" xr3:uid="{5268387B-790B-4AD4-A973-AEC455B6048B}" name="# Reads aligning to target"/>
    <tableColumn id="9" xr3:uid="{46FA1992-352D-48BD-93DF-DEAE64D70769}" name="Mean DOC target"/>
    <tableColumn id="18" xr3:uid="{DC4AD10F-B5A8-4D6E-AE33-A266A86F8466}" name="Mean DOC Std. Dev Target" dataDxfId="48">
      <calculatedColumnFormula>_xlfn.STDEV.P(L3,L6,L9)</calculatedColumnFormula>
    </tableColumn>
    <tableColumn id="10" xr3:uid="{F4B80F6B-1107-4E40-ACE5-3EAC255E5D72}" name="BOC target (%)"/>
    <tableColumn id="19" xr3:uid="{0A6EE39F-0E2E-4E1D-BA5F-F175403CE22C}" name="BOC target (%) Std.Dev" dataDxfId="47" dataCellStyle="Comma [0]"/>
    <tableColumn id="11" xr3:uid="{59B958A7-6A94-41C7-B3C7-ED3E20501D8C}" name="On-target output" dataDxfId="46"/>
    <tableColumn id="12" xr3:uid="{F29A4592-34CD-42D9-9A96-4E1C368F9BFF}" name="% yield on-target" dataDxfId="45">
      <calculatedColumnFormula>Table28[[#This Row],[On-target output]]/Table28[[#This Row],[Sequencing yield after filtering (bp)]]*100</calculatedColumnFormula>
    </tableColumn>
    <tableColumn id="21" xr3:uid="{F9F1A44B-24F6-49A7-BD56-395D74B23C6D}" name="% yield on-target std.dev" dataDxfId="44" dataCellStyle="Comma [0]"/>
    <tableColumn id="15" xr3:uid="{81511379-5FA6-4191-8B87-2214B73C787B}" name="Fold enrichment (Norm. Yield &amp; pores)" dataDxfId="43">
      <calculatedColumnFormula>(Table28[[#This Row],[% yield on-target]]/Table28[[#This Row],[Pores]])/(Q22/D22)</calculatedColumnFormula>
    </tableColumn>
    <tableColumn id="23" xr3:uid="{86FC3381-CDFF-4B1C-B475-E22784172AC8}" name="stdevp yield fold change" dataDxfId="42">
      <calculatedColumnFormula>_xlfn.STDEV.P(S3,S9,S6)</calculatedColumnFormula>
    </tableColumn>
    <tableColumn id="17" xr3:uid="{8B014E72-38B8-40E7-ABF5-E1A061C0511E}" name="Depth enrichment (norm pores)" dataDxfId="41">
      <calculatedColumnFormula>(Table28[[#This Row],[Mean DOC target]]/Table28[[#This Row],[Pores]])/(L22/D22)</calculatedColumnFormula>
    </tableColumn>
    <tableColumn id="24" xr3:uid="{A4711A8A-E8D7-45D2-BBE3-A4280C9C33DB}" name="stdev Depth" dataDxfId="40">
      <calculatedColumnFormula>_xlfn.STDEV.P(U3,U6,U9)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0A5543-BA05-49D9-94C1-7FB4C0999FE3}" name="Table1422" displayName="Table1422" ref="A28:F31" totalsRowShown="0" headerRowDxfId="39" dataDxfId="38">
  <autoFilter ref="A28:F31" xr:uid="{7E0A5543-BA05-49D9-94C1-7FB4C0999FE3}"/>
  <tableColumns count="6">
    <tableColumn id="1" xr3:uid="{E2AC9D7F-4890-410E-B02C-AB9F8B9EA399}" name="Name" dataDxfId="37"/>
    <tableColumn id="4" xr3:uid="{5776BC5D-5932-4A6C-9580-9CC030F10820}" name="Detected SNPS" dataDxfId="36"/>
    <tableColumn id="5" xr3:uid="{AE8DDBAA-4AE2-498F-B505-90348F5F7D97}" name="% detected SNPS" dataDxfId="35" dataCellStyle="Percent">
      <calculatedColumnFormula>Table1422[[#This Row],[Detected SNPS]]/98</calculatedColumnFormula>
    </tableColumn>
    <tableColumn id="6" xr3:uid="{BFB0335B-86CA-47F9-9372-F737DE2CAE65}" name="Detected Barcodes" dataDxfId="34"/>
    <tableColumn id="3" xr3:uid="{60B1948F-BEA7-4312-AA12-02B6322D6C77}" name="% barcodes" dataDxfId="33" dataCellStyle="Percent">
      <calculatedColumnFormula>Table1422[[#This Row],[Detected Barcodes]]/144</calculatedColumnFormula>
    </tableColumn>
    <tableColumn id="2" xr3:uid="{E824CD91-17C2-4EDA-B1B2-2196FF210E77}" name="On target?" dataDxfId="3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B136E8-E13E-4B12-990F-C100B68C1826}" name="Table1" displayName="Table1" ref="A38:J41" totalsRowShown="0" headerRowDxfId="31" dataDxfId="30">
  <autoFilter ref="A38:J41" xr:uid="{5DB136E8-E13E-4B12-990F-C100B68C1826}"/>
  <tableColumns count="10">
    <tableColumn id="1" xr3:uid="{3F49FDB7-B7F6-4703-9CE4-BA1BE80B7C6B}" name="Merged sample" dataDxfId="29"/>
    <tableColumn id="4" xr3:uid="{7ECAFEF2-7B74-4055-B5C2-9B6339356022}" name="Mean DOC target merged" dataDxfId="28"/>
    <tableColumn id="6" xr3:uid="{D37D4A09-A0F6-4AEC-8FFF-8FEF10022275}" name="BOC target (%) merged" dataDxfId="27"/>
    <tableColumn id="2" xr3:uid="{5C235955-ACCF-449C-8A59-AB14B3E52578}" name="Merged depth enrichment" dataDxfId="26">
      <calculatedColumnFormula>Table1[[#This Row],[Mean DOC target merged]]/$T$4</calculatedColumnFormula>
    </tableColumn>
    <tableColumn id="3" xr3:uid="{FE9D6208-DDE9-4426-8F8E-968EC9B69B7D}" name="Merged pores" dataDxfId="25">
      <calculatedColumnFormula>SUM(D12+D16+D19)</calculatedColumnFormula>
    </tableColumn>
    <tableColumn id="5" xr3:uid="{1B9F2A50-B33D-4B1F-9F05-D5DECDF6BBF3}" name="Merged yield after filterng" dataDxfId="24"/>
    <tableColumn id="7" xr3:uid="{826B7851-46B9-4B67-AA15-95EC92D97FE5}" name="Merged yield per pore" dataDxfId="23">
      <calculatedColumnFormula>Table1[[#This Row],[Merged yield after filterng]]/Table1[[#This Row],[Merged pores]]</calculatedColumnFormula>
    </tableColumn>
    <tableColumn id="8" xr3:uid="{9AED29DB-2D58-43E8-ABA4-FBE5A3BFC1CA}" name="Merged on target output" dataDxfId="22">
      <calculatedColumnFormula>SUM(#REF!)</calculatedColumnFormula>
    </tableColumn>
    <tableColumn id="11" xr3:uid="{36C2EAEB-D884-4F1B-9D3F-CC6CFBF8C86B}" name="Merged % yield on target" dataDxfId="21">
      <calculatedColumnFormula>Table1[[#This Row],[Merged on target output]]/Table1[[#This Row],[Merged yield after filterng]]*100</calculatedColumnFormula>
    </tableColumn>
    <tableColumn id="9" xr3:uid="{838A95C3-CF7D-4921-93C0-31521CBF7235}" name="Fold enrichment (norm. yield &amp; pores)" dataDxfId="20">
      <calculatedColumnFormula>(Table1[[#This Row],[Merged % yield on target]]/Table1[[#This Row],[Merged yield per pore]])/($I$41/$G$41)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73D083-F3AE-4183-A06E-11CF134F64DD}" name="Table29" displayName="Table29" ref="A1:O8" totalsRowShown="0" headerRowDxfId="19" headerRowBorderDxfId="18" tableBorderDxfId="17">
  <autoFilter ref="A1:O8" xr:uid="{0073D083-F3AE-4183-A06E-11CF134F64DD}"/>
  <tableColumns count="15">
    <tableColumn id="1" xr3:uid="{45A5CD07-E787-4866-BD01-78CD686571AE}" name="Sample"/>
    <tableColumn id="2" xr3:uid="{B91676C7-3B34-44DA-A052-DF5D74FECF14}" name="Sequencing yield after filtering (bp)"/>
    <tableColumn id="3" xr3:uid="{99E1E1D7-9B83-4AF1-8FCE-313F9D4940B3}" name="# Reads after filtering"/>
    <tableColumn id="4" xr3:uid="{2A6CDACB-ED2B-440C-A14A-1CF6B3D786D2}" name="Pores"/>
    <tableColumn id="16" xr3:uid="{38425BCB-A195-409E-9131-E8FE082A6401}" name="Yield per pore" dataDxfId="16" dataCellStyle="Comma [0]">
      <calculatedColumnFormula>Table29[[#This Row],[Sequencing yield after filtering (bp)]]/Table29[[#This Row],[Pores]]</calculatedColumnFormula>
    </tableColumn>
    <tableColumn id="5" xr3:uid="{E1AFE7EC-052C-4C00-ABDF-408C10B47953}" name="# Reads aligning to non-target"/>
    <tableColumn id="6" xr3:uid="{93E345BE-E321-43F3-AF6E-7704CD2ED0BE}" name="Mean DOC non-target" dataDxfId="15"/>
    <tableColumn id="7" xr3:uid="{4F8F5C97-E4F4-4A0A-9FD0-C54B108BD48C}" name="BOC non-target (%)" dataDxfId="14"/>
    <tableColumn id="8" xr3:uid="{5A87C298-29B6-4FCC-9816-163967FDE5EE}" name="# Reads aligning to target" dataDxfId="13"/>
    <tableColumn id="9" xr3:uid="{E14C5702-A6C8-40CB-9184-9AA6E4EDD583}" name="Mean DOC target" dataDxfId="12"/>
    <tableColumn id="10" xr3:uid="{81B95D0D-04CA-4394-AFF5-2363A2FC2586}" name="BOC target (%)"/>
    <tableColumn id="11" xr3:uid="{06885C20-128F-4238-AB59-7AADE32007D6}" name="On-target output" dataDxfId="11">
      <calculatedColumnFormula>Table29[[#This Row],[Mean DOC target]]*385710679</calculatedColumnFormula>
    </tableColumn>
    <tableColumn id="12" xr3:uid="{FADB8F13-166A-46A1-A30E-FC7222A0870C}" name="% yield on-target" dataDxfId="10">
      <calculatedColumnFormula>Table29[[#This Row],[On-target output]]/Table29[[#This Row],[Sequencing yield after filtering (bp)]]*100</calculatedColumnFormula>
    </tableColumn>
    <tableColumn id="15" xr3:uid="{3B33E553-2282-4D79-B790-4355A4A10923}" name="Fold enrichment (Norm. Yield &amp; pores)" dataDxfId="9">
      <calculatedColumnFormula>(Table29[[#This Row],[% yield on-target]]/Table29[[#This Row],[Pores]])/(M8/D8)</calculatedColumnFormula>
    </tableColumn>
    <tableColumn id="17" xr3:uid="{4630F386-9FF4-4AE3-AF0C-0FAAFD682531}" name="Depth enrichment (norm pores)" dataDxfId="8">
      <calculatedColumnFormula>(Table29[[#This Row],[Mean DOC target]]/Table29[[#This Row],[Pores]])/(J8/D8)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7BDE31B-504D-4F8A-AF73-806CADC4205C}" name="Table14210" displayName="Table14210" ref="A11:F14" totalsRowShown="0" headerRowDxfId="7" dataDxfId="6">
  <autoFilter ref="A11:F14" xr:uid="{C7BDE31B-504D-4F8A-AF73-806CADC4205C}"/>
  <tableColumns count="6">
    <tableColumn id="1" xr3:uid="{6E73F52B-59E2-4F7C-83AA-169DC0521A46}" name="Name" dataDxfId="5"/>
    <tableColumn id="4" xr3:uid="{98AF1365-E4BA-4207-A571-AA1CB5396CD0}" name="Detected SNPS" dataDxfId="4"/>
    <tableColumn id="5" xr3:uid="{C2EEF0FA-EF94-40A8-B11E-E500C142D051}" name="% detected SNPS" dataDxfId="3" dataCellStyle="Percent">
      <calculatedColumnFormula>Table14210[[#This Row],[Detected SNPS]]/98</calculatedColumnFormula>
    </tableColumn>
    <tableColumn id="6" xr3:uid="{1B15ABA5-ED44-46D4-9743-D0B593997028}" name="Detected Barcodes" dataDxfId="2"/>
    <tableColumn id="3" xr3:uid="{98897F81-E79A-4E4A-9BB0-5F9303DDDF59}" name="% barcodes" dataDxfId="1" dataCellStyle="Percent">
      <calculatedColumnFormula>Table14210[[#This Row],[Detected Barcodes]]/144</calculatedColumnFormula>
    </tableColumn>
    <tableColumn id="2" xr3:uid="{AEA7D60A-2751-48D3-B6E5-C0E98D12839B}" name="On target?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7FFF-235D-4C6F-8320-6D2AEF225533}">
  <dimension ref="A1:NB48"/>
  <sheetViews>
    <sheetView tabSelected="1" topLeftCell="A13" zoomScale="70" zoomScaleNormal="70" workbookViewId="0">
      <selection activeCell="D35" sqref="D35"/>
    </sheetView>
  </sheetViews>
  <sheetFormatPr defaultRowHeight="14.4" x14ac:dyDescent="0.3"/>
  <cols>
    <col min="1" max="1" width="13.88671875" customWidth="1"/>
    <col min="2" max="2" width="27.33203125" bestFit="1" customWidth="1"/>
    <col min="3" max="3" width="26.109375" bestFit="1" customWidth="1"/>
    <col min="4" max="4" width="28.77734375" bestFit="1" customWidth="1"/>
    <col min="5" max="11" width="21.33203125" customWidth="1"/>
    <col min="12" max="12" width="11.77734375" bestFit="1" customWidth="1"/>
    <col min="13" max="13" width="16.88671875" bestFit="1" customWidth="1"/>
    <col min="14" max="14" width="11.77734375" bestFit="1" customWidth="1"/>
    <col min="15" max="15" width="15.88671875" bestFit="1" customWidth="1"/>
    <col min="16" max="16" width="15.77734375" customWidth="1"/>
    <col min="17" max="17" width="10.21875" customWidth="1"/>
    <col min="18" max="18" width="14.109375" customWidth="1"/>
    <col min="19" max="19" width="22.88671875" bestFit="1" customWidth="1"/>
    <col min="20" max="20" width="22.88671875" customWidth="1"/>
    <col min="21" max="21" width="19.44140625" bestFit="1" customWidth="1"/>
    <col min="22" max="22" width="13" bestFit="1" customWidth="1"/>
    <col min="23" max="23" width="12.77734375" bestFit="1" customWidth="1"/>
  </cols>
  <sheetData>
    <row r="1" spans="1:366" s="12" customFormat="1" ht="47.4" thickBot="1" x14ac:dyDescent="0.35">
      <c r="A1" s="10" t="s">
        <v>20</v>
      </c>
      <c r="B1" s="1" t="s">
        <v>21</v>
      </c>
      <c r="C1" s="1" t="s">
        <v>22</v>
      </c>
      <c r="D1" s="10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0" t="s">
        <v>31</v>
      </c>
      <c r="M1" s="10" t="s">
        <v>32</v>
      </c>
      <c r="N1" s="10" t="s">
        <v>33</v>
      </c>
      <c r="O1" s="10" t="s">
        <v>34</v>
      </c>
      <c r="P1" s="1" t="s">
        <v>52</v>
      </c>
      <c r="Q1" s="1" t="s">
        <v>35</v>
      </c>
      <c r="R1" s="1" t="s">
        <v>36</v>
      </c>
      <c r="S1" s="10" t="s">
        <v>37</v>
      </c>
      <c r="T1" s="10" t="s">
        <v>39</v>
      </c>
      <c r="U1" s="10" t="s">
        <v>38</v>
      </c>
      <c r="V1" s="11" t="s">
        <v>40</v>
      </c>
    </row>
    <row r="2" spans="1:366" ht="15" thickTop="1" x14ac:dyDescent="0.3">
      <c r="A2" s="13" t="s">
        <v>0</v>
      </c>
      <c r="B2" s="3">
        <f t="shared" ref="B2:N2" si="0">AVERAGE(B3,B6,B9)</f>
        <v>9286829918.333334</v>
      </c>
      <c r="C2" s="3">
        <f t="shared" si="0"/>
        <v>18779660.666666668</v>
      </c>
      <c r="D2" s="14">
        <f t="shared" si="0"/>
        <v>1283</v>
      </c>
      <c r="E2" s="3">
        <f t="shared" si="0"/>
        <v>7245098.6680261316</v>
      </c>
      <c r="F2" s="3">
        <f t="shared" si="0"/>
        <v>18148635.666666668</v>
      </c>
      <c r="G2" s="3">
        <f>AVERAGE(G3,G6,G9)</f>
        <v>8.399747386995644</v>
      </c>
      <c r="H2" s="3">
        <f>_xlfn.STDEV.P(G3,G6,G9)</f>
        <v>1.0839652084196729</v>
      </c>
      <c r="I2" s="3">
        <f t="shared" si="0"/>
        <v>96.364117394671879</v>
      </c>
      <c r="J2" s="3">
        <f>_xlfn.STDEV.P(I3,I6,I9)</f>
        <v>0.21724035602222222</v>
      </c>
      <c r="K2" s="3">
        <f t="shared" si="0"/>
        <v>395483</v>
      </c>
      <c r="L2" s="14">
        <f t="shared" si="0"/>
        <v>1.7559174707526666</v>
      </c>
      <c r="M2" s="14">
        <f>_xlfn.STDEV.P(L3,L6,L9)</f>
        <v>0.26686978501614461</v>
      </c>
      <c r="N2" s="14">
        <f t="shared" si="0"/>
        <v>77.378663140410467</v>
      </c>
      <c r="O2" s="14">
        <f>_xlfn.STDEV.P(N3,N6,N9)</f>
        <v>5.3558707873433109</v>
      </c>
      <c r="P2" s="3">
        <f>AVERAGE(P3,P6,P9)</f>
        <v>629485356.33333337</v>
      </c>
      <c r="Q2" s="3">
        <f>AVERAGE($Q$3,$Q$6,$Q$9)</f>
        <v>6.7665096954975255</v>
      </c>
      <c r="R2" s="3">
        <f>_xlfn.STDEV.P($Q$3,$Q$6,$Q$9)</f>
        <v>0.12356071923046792</v>
      </c>
      <c r="S2" s="17">
        <f>AVERAGE(S3,S9,S6)</f>
        <v>10.270707832100344</v>
      </c>
      <c r="T2" s="17">
        <f>_xlfn.STDEV.P(S3,S9,S6)</f>
        <v>1.2461525055995331</v>
      </c>
      <c r="U2" s="17">
        <f>AVERAGE(U3,U6,U9)</f>
        <v>4.4994486937141751</v>
      </c>
      <c r="V2" s="9">
        <f>_xlfn.STDEV.P(U3,U6,U9)</f>
        <v>0.1896323969265801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</row>
    <row r="3" spans="1:366" x14ac:dyDescent="0.3">
      <c r="A3" t="s">
        <v>1</v>
      </c>
      <c r="B3" s="3">
        <v>10001157398</v>
      </c>
      <c r="C3" s="3">
        <v>20117734</v>
      </c>
      <c r="D3" s="3">
        <v>1364</v>
      </c>
      <c r="E3" s="3">
        <f>Table28[[#This Row],[Sequencing yield after filtering (bp)]]/Table28[[#This Row],[Pores]]</f>
        <v>7332226.8313782988</v>
      </c>
      <c r="F3" s="3">
        <v>19444379</v>
      </c>
      <c r="G3" s="3">
        <v>9.0509938202535896</v>
      </c>
      <c r="H3" s="5"/>
      <c r="I3" s="3">
        <v>96.501643950253097</v>
      </c>
      <c r="J3" s="5"/>
      <c r="K3" s="3">
        <v>422295</v>
      </c>
      <c r="L3" s="3">
        <v>1.8699730705042901</v>
      </c>
      <c r="M3" s="5"/>
      <c r="N3" s="3">
        <v>79.959007305576804</v>
      </c>
      <c r="O3" s="5"/>
      <c r="P3" s="3">
        <v>671135808</v>
      </c>
      <c r="Q3" s="3">
        <f>Table28[[#This Row],[On-target output]]/Table28[[#This Row],[Sequencing yield after filtering (bp)]]*100</f>
        <v>6.7105813986510361</v>
      </c>
      <c r="R3" s="5"/>
      <c r="S3" s="4">
        <f>(Table28[[#This Row],[% yield on-target]]/Table28[[#This Row],[Yield per pore]])/(AVERAGE($Q$23:$Q$25)/AVERAGE($E$23:$E$25))</f>
        <v>9.9042061644143971</v>
      </c>
      <c r="T3" s="5"/>
      <c r="U3" s="4">
        <f>(Table28[[#This Row],[Mean DOC target]]/Table28[[#This Row],[Yield per pore]])/(AVERAGE($L$23:$L$25)/AVERAGE($E$23:$E$25))</f>
        <v>4.7466062892804608</v>
      </c>
      <c r="V3" s="5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</row>
    <row r="4" spans="1:366" x14ac:dyDescent="0.3">
      <c r="A4" t="s">
        <v>2</v>
      </c>
      <c r="B4" s="3">
        <v>2129349663</v>
      </c>
      <c r="C4" s="3">
        <v>847065</v>
      </c>
      <c r="D4" s="3">
        <v>1364</v>
      </c>
      <c r="E4" s="3">
        <f>Table28[[#This Row],[Sequencing yield after filtering (bp)]]/Table28[[#This Row],[Pores]]</f>
        <v>1561106.7910557184</v>
      </c>
      <c r="F4" s="3">
        <v>425485</v>
      </c>
      <c r="G4" s="3">
        <v>1.2979691590581</v>
      </c>
      <c r="H4" s="5"/>
      <c r="I4" s="3">
        <v>60.020408774217103</v>
      </c>
      <c r="J4" s="5"/>
      <c r="K4" s="3">
        <v>425485</v>
      </c>
      <c r="L4" s="3">
        <v>1.7929675807601799</v>
      </c>
      <c r="M4" s="5"/>
      <c r="N4" s="3">
        <v>78.818992271548495</v>
      </c>
      <c r="O4" s="5"/>
      <c r="P4" s="3">
        <v>643073390</v>
      </c>
      <c r="Q4" s="3">
        <f>Table28[[#This Row],[On-target output]]/Table28[[#This Row],[Sequencing yield after filtering (bp)]]*100</f>
        <v>30.20045984810152</v>
      </c>
      <c r="R4" s="5"/>
      <c r="S4" s="5"/>
      <c r="T4" s="5"/>
      <c r="U4" s="5"/>
      <c r="V4" s="5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</row>
    <row r="5" spans="1:366" x14ac:dyDescent="0.3">
      <c r="A5" t="s">
        <v>3</v>
      </c>
      <c r="B5" s="3">
        <v>7871807735</v>
      </c>
      <c r="C5" s="3">
        <v>19270669</v>
      </c>
      <c r="D5" s="3">
        <v>1364</v>
      </c>
      <c r="E5" s="3">
        <f>Table28[[#This Row],[Sequencing yield after filtering (bp)]]/Table28[[#This Row],[Pores]]</f>
        <v>5771120.0403225804</v>
      </c>
      <c r="F5" s="3">
        <v>19018894</v>
      </c>
      <c r="G5" s="3">
        <v>7.7531410195939197</v>
      </c>
      <c r="H5" s="5"/>
      <c r="I5" s="3">
        <v>96.152122024089394</v>
      </c>
      <c r="J5" s="5"/>
      <c r="K5" s="3">
        <v>67523</v>
      </c>
      <c r="L5" s="3">
        <v>7.7011489744104197E-2</v>
      </c>
      <c r="M5" s="5"/>
      <c r="N5" s="3">
        <v>5.8273818236699597</v>
      </c>
      <c r="O5" s="5"/>
      <c r="P5" s="3">
        <v>28062418</v>
      </c>
      <c r="Q5" s="3">
        <f>Table28[[#This Row],[On-target output]]/Table28[[#This Row],[Sequencing yield after filtering (bp)]]*100</f>
        <v>0.35649267544007157</v>
      </c>
      <c r="R5" s="5"/>
      <c r="S5" s="5"/>
      <c r="T5" s="5"/>
      <c r="U5" s="5"/>
      <c r="V5" s="5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</row>
    <row r="6" spans="1:366" x14ac:dyDescent="0.3">
      <c r="A6" t="s">
        <v>4</v>
      </c>
      <c r="B6" s="3">
        <v>10280228019</v>
      </c>
      <c r="C6" s="3">
        <v>20502432</v>
      </c>
      <c r="D6" s="3">
        <v>1227</v>
      </c>
      <c r="E6" s="3">
        <f>Table28[[#This Row],[Sequencing yield after filtering (bp)]]/Table28[[#This Row],[Pores]]</f>
        <v>8378343.9437652808</v>
      </c>
      <c r="F6" s="3">
        <v>19817078</v>
      </c>
      <c r="G6" s="3">
        <v>9.2759475442336701</v>
      </c>
      <c r="H6" s="5"/>
      <c r="I6" s="3">
        <v>96.533271945783298</v>
      </c>
      <c r="J6" s="5"/>
      <c r="K6" s="3">
        <v>432159</v>
      </c>
      <c r="L6" s="3">
        <v>2.0104546133139301</v>
      </c>
      <c r="M6" s="5"/>
      <c r="N6" s="3">
        <v>82.255694299819993</v>
      </c>
      <c r="O6" s="5"/>
      <c r="P6" s="3">
        <v>713226145</v>
      </c>
      <c r="Q6" s="3">
        <f>Table28[[#This Row],[On-target output]]/Table28[[#This Row],[Sequencing yield after filtering (bp)]]*100</f>
        <v>6.9378436322794554</v>
      </c>
      <c r="R6" s="5"/>
      <c r="S6" s="4">
        <f>(Table28[[#This Row],[% yield on-target]]/Table28[[#This Row],[Yield per pore]])/(AVERAGE($Q$23:$Q$25)/AVERAGE($E$23:$E$25))</f>
        <v>8.9611085406777011</v>
      </c>
      <c r="T6" s="5"/>
      <c r="U6" s="4">
        <f>(Table28[[#This Row],[Mean DOC target]]/Table28[[#This Row],[Yield per pore]])/(AVERAGE($L$23:$L$25)/AVERAGE($E$23:$E$25))</f>
        <v>4.4660115131874312</v>
      </c>
      <c r="V6" s="5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</row>
    <row r="7" spans="1:366" x14ac:dyDescent="0.3">
      <c r="A7" t="s">
        <v>5</v>
      </c>
      <c r="B7" s="3">
        <v>2331176197</v>
      </c>
      <c r="C7" s="3">
        <v>875620</v>
      </c>
      <c r="D7" s="3">
        <v>1227</v>
      </c>
      <c r="E7" s="3">
        <f>Table28[[#This Row],[Sequencing yield after filtering (bp)]]/Table28[[#This Row],[Pores]]</f>
        <v>1899899.1010594948</v>
      </c>
      <c r="F7" s="3">
        <v>445329</v>
      </c>
      <c r="G7" s="3">
        <v>1.44607889657913</v>
      </c>
      <c r="H7" s="5"/>
      <c r="I7" s="3">
        <v>63.441067581899198</v>
      </c>
      <c r="J7" s="5"/>
      <c r="K7" s="3">
        <v>364772</v>
      </c>
      <c r="L7" s="3">
        <v>1.9292236422627</v>
      </c>
      <c r="M7" s="5"/>
      <c r="N7" s="3">
        <v>81.202604193388098</v>
      </c>
      <c r="O7" s="5"/>
      <c r="P7" s="3">
        <v>683772935</v>
      </c>
      <c r="Q7" s="3">
        <f>Table28[[#This Row],[On-target output]]/Table28[[#This Row],[Sequencing yield after filtering (bp)]]*100</f>
        <v>29.331671105768415</v>
      </c>
      <c r="R7" s="5"/>
      <c r="S7" s="5"/>
      <c r="T7" s="5"/>
      <c r="U7" s="5"/>
      <c r="V7" s="5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</row>
    <row r="8" spans="1:366" x14ac:dyDescent="0.3">
      <c r="A8" t="s">
        <v>6</v>
      </c>
      <c r="B8" s="3">
        <v>7949051822</v>
      </c>
      <c r="C8" s="3">
        <v>19626812</v>
      </c>
      <c r="D8" s="3">
        <v>1227</v>
      </c>
      <c r="E8" s="3">
        <f>Table28[[#This Row],[Sequencing yield after filtering (bp)]]/Table28[[#This Row],[Pores]]</f>
        <v>6478444.8427057862</v>
      </c>
      <c r="F8" s="3">
        <v>19371749</v>
      </c>
      <c r="G8" s="3">
        <v>7.8299414359972097</v>
      </c>
      <c r="H8" s="5"/>
      <c r="I8" s="3">
        <v>96.152810796484303</v>
      </c>
      <c r="J8" s="5"/>
      <c r="K8" s="3">
        <v>67387</v>
      </c>
      <c r="L8" s="3">
        <v>8.1230971051231907E-2</v>
      </c>
      <c r="M8" s="5"/>
      <c r="N8" s="3">
        <v>6.1475591138610897</v>
      </c>
      <c r="O8" s="5"/>
      <c r="P8" s="3">
        <v>29453210</v>
      </c>
      <c r="Q8" s="3">
        <f>Table28[[#This Row],[On-target output]]/Table28[[#This Row],[Sequencing yield after filtering (bp)]]*100</f>
        <v>0.37052482056393871</v>
      </c>
      <c r="R8" s="5"/>
      <c r="S8" s="5"/>
      <c r="T8" s="5"/>
      <c r="U8" s="5"/>
      <c r="V8" s="5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</row>
    <row r="9" spans="1:366" x14ac:dyDescent="0.3">
      <c r="A9" t="s">
        <v>7</v>
      </c>
      <c r="B9" s="3">
        <v>7579104338</v>
      </c>
      <c r="C9" s="3">
        <v>15718816</v>
      </c>
      <c r="D9" s="3">
        <v>1258</v>
      </c>
      <c r="E9" s="3">
        <f>Table28[[#This Row],[Sequencing yield after filtering (bp)]]/Table28[[#This Row],[Pores]]</f>
        <v>6024725.228934817</v>
      </c>
      <c r="F9" s="3">
        <v>15184450</v>
      </c>
      <c r="G9" s="3">
        <v>6.8723007964996699</v>
      </c>
      <c r="H9" s="5"/>
      <c r="I9" s="3">
        <v>96.057436287979201</v>
      </c>
      <c r="J9" s="5"/>
      <c r="K9" s="3">
        <v>331995</v>
      </c>
      <c r="L9" s="3">
        <v>1.3873247284397801</v>
      </c>
      <c r="M9" s="5"/>
      <c r="N9" s="3">
        <v>69.921287815834603</v>
      </c>
      <c r="O9" s="5"/>
      <c r="P9" s="3">
        <v>504094116</v>
      </c>
      <c r="Q9" s="3">
        <f>Table28[[#This Row],[On-target output]]/Table28[[#This Row],[Sequencing yield after filtering (bp)]]*100</f>
        <v>6.6511040555620866</v>
      </c>
      <c r="R9" s="5"/>
      <c r="S9" s="4">
        <f>(Table28[[#This Row],[% yield on-target]]/Table28[[#This Row],[Yield per pore]])/(AVERAGE($Q$23:$Q$25)/AVERAGE($E$23:$E$25))</f>
        <v>11.946808791208936</v>
      </c>
      <c r="T9" s="5"/>
      <c r="U9" s="4">
        <f>(Table28[[#This Row],[Mean DOC target]]/Table28[[#This Row],[Yield per pore]])/(AVERAGE($L$23:$L$25)/AVERAGE($E$23:$E$25))</f>
        <v>4.2857282786746325</v>
      </c>
      <c r="V9" s="5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</row>
    <row r="10" spans="1:366" x14ac:dyDescent="0.3">
      <c r="A10" t="s">
        <v>8</v>
      </c>
      <c r="B10" s="3">
        <v>1494067488</v>
      </c>
      <c r="C10" s="3">
        <v>637695</v>
      </c>
      <c r="D10" s="3">
        <v>1258</v>
      </c>
      <c r="E10" s="3">
        <f>Table28[[#This Row],[Sequencing yield after filtering (bp)]]/Table28[[#This Row],[Pores]]</f>
        <v>1187653.0111287758</v>
      </c>
      <c r="F10" s="3">
        <v>307603</v>
      </c>
      <c r="G10" s="3">
        <v>0.87828620459798201</v>
      </c>
      <c r="H10" s="5"/>
      <c r="I10" s="3">
        <v>68.418130834277406</v>
      </c>
      <c r="J10" s="5"/>
      <c r="K10" s="3">
        <v>276617</v>
      </c>
      <c r="L10" s="3">
        <v>1.31970937470466</v>
      </c>
      <c r="M10" s="5"/>
      <c r="N10" s="3">
        <v>47.973779689559798</v>
      </c>
      <c r="O10" s="5"/>
      <c r="P10" s="3">
        <v>479158846</v>
      </c>
      <c r="Q10" s="3">
        <f>Table28[[#This Row],[On-target output]]/Table28[[#This Row],[Sequencing yield after filtering (bp)]]*100</f>
        <v>32.070763191655772</v>
      </c>
      <c r="R10" s="5"/>
      <c r="S10" s="5"/>
      <c r="T10" s="5"/>
      <c r="U10" s="5"/>
      <c r="V10" s="5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</row>
    <row r="11" spans="1:366" x14ac:dyDescent="0.3">
      <c r="A11" t="s">
        <v>9</v>
      </c>
      <c r="B11" s="3">
        <v>6085036850</v>
      </c>
      <c r="C11" s="3">
        <v>15081121</v>
      </c>
      <c r="D11" s="3">
        <v>1258</v>
      </c>
      <c r="E11" s="3">
        <f>Table28[[#This Row],[Sequencing yield after filtering (bp)]]/Table28[[#This Row],[Pores]]</f>
        <v>4837072.2178060412</v>
      </c>
      <c r="F11" s="3">
        <v>14876847</v>
      </c>
      <c r="G11" s="3">
        <v>5.9941009240851102</v>
      </c>
      <c r="H11" s="5"/>
      <c r="I11" s="3">
        <v>95.516809984392296</v>
      </c>
      <c r="J11" s="5"/>
      <c r="K11" s="3">
        <v>55378</v>
      </c>
      <c r="L11" s="3">
        <v>6.7615353735124298E-2</v>
      </c>
      <c r="M11" s="5"/>
      <c r="N11" s="3">
        <v>5.1082811736202904</v>
      </c>
      <c r="O11" s="5"/>
      <c r="P11" s="3">
        <v>24935270</v>
      </c>
      <c r="Q11" s="3">
        <f>Table28[[#This Row],[On-target output]]/Table28[[#This Row],[Sequencing yield after filtering (bp)]]*100</f>
        <v>0.40978009853794067</v>
      </c>
      <c r="R11" s="5"/>
      <c r="S11" s="5"/>
      <c r="T11" s="5"/>
      <c r="U11" s="5"/>
      <c r="V11" s="5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</row>
    <row r="12" spans="1:366" x14ac:dyDescent="0.3">
      <c r="A12" s="13" t="s">
        <v>10</v>
      </c>
      <c r="B12" s="3">
        <f t="shared" ref="B12:N12" si="1">AVERAGE(B13,B16,B19)</f>
        <v>11977748472</v>
      </c>
      <c r="C12" s="3">
        <f t="shared" si="1"/>
        <v>27421548.666666668</v>
      </c>
      <c r="D12" s="14">
        <f t="shared" si="1"/>
        <v>1304</v>
      </c>
      <c r="E12" s="3">
        <f t="shared" si="1"/>
        <v>9164967.6520282011</v>
      </c>
      <c r="F12" s="3">
        <f t="shared" si="1"/>
        <v>26424288</v>
      </c>
      <c r="G12" s="3">
        <f t="shared" si="1"/>
        <v>10.788921703937204</v>
      </c>
      <c r="H12" s="3">
        <f>_xlfn.STDEV.P(G13,G16,G19)</f>
        <v>1.7073487984999074</v>
      </c>
      <c r="I12" s="3">
        <f t="shared" si="1"/>
        <v>96.51887517012689</v>
      </c>
      <c r="J12" s="3">
        <f>_xlfn.STDEV.P(I13,I16,I19)</f>
        <v>0.11395639176189762</v>
      </c>
      <c r="K12" s="3">
        <f t="shared" si="1"/>
        <v>580150.66666666663</v>
      </c>
      <c r="L12" s="14">
        <f t="shared" si="1"/>
        <v>2.3959515097238566</v>
      </c>
      <c r="M12" s="14">
        <f>_xlfn.STDEV.P(L13,L16,L19)</f>
        <v>0.4370868979696742</v>
      </c>
      <c r="N12" s="14">
        <f t="shared" si="1"/>
        <v>86.344585669785531</v>
      </c>
      <c r="O12" s="14">
        <f>_xlfn.STDEV.P(N13,N16,N19)</f>
        <v>4.6055331152691741</v>
      </c>
      <c r="P12" s="3">
        <f>AVERAGE(P13,P16,P19)</f>
        <v>862464867</v>
      </c>
      <c r="Q12" s="3">
        <f>AVERAGE($Q$19,$Q$16,$Q$13)</f>
        <v>7.1874008544617212</v>
      </c>
      <c r="R12" s="3">
        <f>_xlfn.STDEV.P($Q$19,$Q$16,$Q$13)</f>
        <v>8.7112372249878084E-2</v>
      </c>
      <c r="S12" s="17">
        <f>AVERAGE(S13,S19,S16)</f>
        <v>8.6225717316125241</v>
      </c>
      <c r="T12" s="17">
        <f>_xlfn.STDEV.P(S13,S19,S16)</f>
        <v>0.98958686474347257</v>
      </c>
      <c r="U12" s="17">
        <f>AVERAGE(U13,U16,U19)</f>
        <v>4.8400754857697272</v>
      </c>
      <c r="V12" s="9">
        <f>_xlfn.STDEV.P(U13,U16,U19)</f>
        <v>0.29876243136249214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</row>
    <row r="13" spans="1:366" x14ac:dyDescent="0.3">
      <c r="A13" t="s">
        <v>11</v>
      </c>
      <c r="B13" s="3">
        <v>11523023991</v>
      </c>
      <c r="C13" s="3">
        <v>26299429</v>
      </c>
      <c r="D13" s="3">
        <v>1373</v>
      </c>
      <c r="E13" s="3">
        <f>Table28[[#This Row],[Sequencing yield after filtering (bp)]]/Table28[[#This Row],[Pores]]</f>
        <v>8392588.4857975245</v>
      </c>
      <c r="F13" s="3">
        <v>25348541</v>
      </c>
      <c r="G13" s="3">
        <v>10.3852813015483</v>
      </c>
      <c r="H13" s="5"/>
      <c r="I13" s="3">
        <v>96.5097875328062</v>
      </c>
      <c r="J13" s="5"/>
      <c r="K13" s="3">
        <v>553762</v>
      </c>
      <c r="L13" s="3">
        <v>2.2659768748585698</v>
      </c>
      <c r="M13" s="5"/>
      <c r="N13" s="3">
        <v>85.684936662072502</v>
      </c>
      <c r="O13" s="5"/>
      <c r="P13" s="3">
        <v>821346184</v>
      </c>
      <c r="Q13" s="3">
        <f>Table28[[#This Row],[On-target output]]/Table28[[#This Row],[Sequencing yield after filtering (bp)]]*100</f>
        <v>7.1278701202176471</v>
      </c>
      <c r="R13" s="5"/>
      <c r="S13" s="4">
        <f>(Table28[[#This Row],[% yield on-target]]/Table28[[#This Row],[Yield per pore]])/(AVERAGE($Q$23:$Q$25)/AVERAGE($E$23:$E$25))</f>
        <v>9.1909258855211036</v>
      </c>
      <c r="T13" s="5"/>
      <c r="U13" s="4">
        <f>(Table28[[#This Row],[Mean DOC target]]/Table28[[#This Row],[Yield per pore]])/(AVERAGE($L$23:$L$25)/AVERAGE($E$23:$E$25))</f>
        <v>5.0250836371847081</v>
      </c>
      <c r="V13" s="5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</row>
    <row r="14" spans="1:366" x14ac:dyDescent="0.3">
      <c r="A14" t="s">
        <v>12</v>
      </c>
      <c r="B14" s="3">
        <v>1024399169</v>
      </c>
      <c r="C14" s="3">
        <v>500284</v>
      </c>
      <c r="D14" s="3">
        <v>1373</v>
      </c>
      <c r="E14" s="3">
        <f>Table28[[#This Row],[Sequencing yield after filtering (bp)]]/Table28[[#This Row],[Pores]]</f>
        <v>746102.81791697012</v>
      </c>
      <c r="F14" s="3">
        <v>42117</v>
      </c>
      <c r="G14" s="6">
        <v>0.16710998116350101</v>
      </c>
      <c r="H14" s="5"/>
      <c r="I14" s="3">
        <v>11.1513921877111</v>
      </c>
      <c r="J14" s="5"/>
      <c r="K14" s="3">
        <v>455218</v>
      </c>
      <c r="L14" s="3">
        <v>2.1736152889871101</v>
      </c>
      <c r="M14" s="5"/>
      <c r="N14" s="3">
        <v>84.689685244623405</v>
      </c>
      <c r="O14" s="5"/>
      <c r="P14" s="3">
        <v>787334489</v>
      </c>
      <c r="Q14" s="3">
        <f>Table28[[#This Row],[On-target output]]/Table28[[#This Row],[Sequencing yield after filtering (bp)]]*100</f>
        <v>76.858173339654485</v>
      </c>
      <c r="R14" s="5"/>
      <c r="S14" s="5"/>
      <c r="T14" s="5"/>
      <c r="U14" s="5"/>
      <c r="V14" s="5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</row>
    <row r="15" spans="1:366" x14ac:dyDescent="0.3">
      <c r="A15" t="s">
        <v>13</v>
      </c>
      <c r="B15" s="3">
        <v>10498624822</v>
      </c>
      <c r="C15" s="3">
        <v>25799145</v>
      </c>
      <c r="D15" s="3">
        <v>1373</v>
      </c>
      <c r="E15" s="3">
        <f>Table28[[#This Row],[Sequencing yield after filtering (bp)]]/Table28[[#This Row],[Pores]]</f>
        <v>7646485.6678805538</v>
      </c>
      <c r="F15" s="3">
        <v>25306424</v>
      </c>
      <c r="G15" s="3">
        <v>10.2184952448907</v>
      </c>
      <c r="H15" s="5"/>
      <c r="I15" s="3">
        <v>96.477186762390701</v>
      </c>
      <c r="J15" s="5"/>
      <c r="K15" s="3">
        <v>98544</v>
      </c>
      <c r="L15" s="3">
        <v>9.2361585871466104E-2</v>
      </c>
      <c r="M15" s="5"/>
      <c r="N15" s="3">
        <v>6.9770596110459202</v>
      </c>
      <c r="O15" s="5"/>
      <c r="P15" s="3">
        <v>34011695</v>
      </c>
      <c r="Q15" s="3">
        <f>Table28[[#This Row],[On-target output]]/Table28[[#This Row],[Sequencing yield after filtering (bp)]]*100</f>
        <v>0.3239633340237863</v>
      </c>
      <c r="R15" s="5"/>
      <c r="S15" s="5"/>
      <c r="T15" s="5"/>
      <c r="U15" s="5"/>
      <c r="V15" s="5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</row>
    <row r="16" spans="1:366" x14ac:dyDescent="0.3">
      <c r="A16" t="s">
        <v>14</v>
      </c>
      <c r="B16" s="7">
        <v>14518721851</v>
      </c>
      <c r="C16" s="7">
        <v>33041266</v>
      </c>
      <c r="D16" s="7">
        <v>1327</v>
      </c>
      <c r="E16" s="7">
        <f>Table28[[#This Row],[Sequencing yield after filtering (bp)]]/Table28[[#This Row],[Pores]]</f>
        <v>10941011.191409193</v>
      </c>
      <c r="F16" s="7">
        <v>31849289</v>
      </c>
      <c r="G16" s="7">
        <v>13.052383411014301</v>
      </c>
      <c r="H16" s="5"/>
      <c r="I16" s="7">
        <v>96.662764422767097</v>
      </c>
      <c r="J16" s="5"/>
      <c r="K16" s="7">
        <v>702955</v>
      </c>
      <c r="L16" s="7">
        <v>2.9842908886637201</v>
      </c>
      <c r="M16" s="5"/>
      <c r="N16" s="7">
        <v>92.286009794403398</v>
      </c>
      <c r="O16" s="5"/>
      <c r="P16" s="3">
        <v>1061401830</v>
      </c>
      <c r="Q16" s="3">
        <f>Table28[[#This Row],[On-target output]]/Table28[[#This Row],[Sequencing yield after filtering (bp)]]*100</f>
        <v>7.310573484999261</v>
      </c>
      <c r="R16" s="5"/>
      <c r="S16" s="4">
        <f>(Table28[[#This Row],[% yield on-target]]/Table28[[#This Row],[Yield per pore]])/(AVERAGE($Q$23:$Q$25)/AVERAGE($E$23:$E$25))</f>
        <v>7.2308507904657651</v>
      </c>
      <c r="T16" s="5"/>
      <c r="U16" s="4">
        <f>(Table28[[#This Row],[Mean DOC target]]/Table28[[#This Row],[Yield per pore]])/(AVERAGE($L$23:$L$25)/AVERAGE($E$23:$E$25))</f>
        <v>5.0765356535947994</v>
      </c>
      <c r="V16" s="5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</row>
    <row r="17" spans="1:366" x14ac:dyDescent="0.3">
      <c r="A17" t="s">
        <v>15</v>
      </c>
      <c r="B17" s="7">
        <v>1373520206</v>
      </c>
      <c r="C17" s="7">
        <v>640853</v>
      </c>
      <c r="D17" s="7">
        <v>1327</v>
      </c>
      <c r="E17" s="7">
        <f>Table28[[#This Row],[Sequencing yield after filtering (bp)]]/Table28[[#This Row],[Pores]]</f>
        <v>1035056.6737000754</v>
      </c>
      <c r="F17" s="7">
        <v>60058</v>
      </c>
      <c r="G17" s="7">
        <v>0.25143895401392102</v>
      </c>
      <c r="H17" s="5"/>
      <c r="I17" s="7">
        <v>16.393171128472201</v>
      </c>
      <c r="J17" s="5"/>
      <c r="K17" s="7">
        <v>577088</v>
      </c>
      <c r="L17" s="7">
        <v>2.8488241156527501</v>
      </c>
      <c r="M17" s="5"/>
      <c r="N17" s="7">
        <v>91.485164972577806</v>
      </c>
      <c r="O17" s="5"/>
      <c r="P17" s="3">
        <v>1013292204</v>
      </c>
      <c r="Q17" s="3">
        <f>Table28[[#This Row],[On-target output]]/Table28[[#This Row],[Sequencing yield after filtering (bp)]]*100</f>
        <v>73.773374397667951</v>
      </c>
      <c r="R17" s="5"/>
      <c r="S17" s="5"/>
      <c r="T17" s="5"/>
      <c r="U17" s="5"/>
      <c r="V17" s="5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</row>
    <row r="18" spans="1:366" x14ac:dyDescent="0.3">
      <c r="A18" t="s">
        <v>16</v>
      </c>
      <c r="B18" s="7">
        <v>13145201645</v>
      </c>
      <c r="C18" s="7">
        <v>32400413</v>
      </c>
      <c r="D18" s="7">
        <v>1327</v>
      </c>
      <c r="E18" s="7">
        <f>Table28[[#This Row],[Sequencing yield after filtering (bp)]]/Table28[[#This Row],[Pores]]</f>
        <v>9905954.5177091174</v>
      </c>
      <c r="F18" s="7">
        <v>31789231</v>
      </c>
      <c r="G18" s="7">
        <v>12.801207375319001</v>
      </c>
      <c r="H18" s="5"/>
      <c r="I18" s="7">
        <v>96.631306808313994</v>
      </c>
      <c r="J18" s="5"/>
      <c r="K18" s="7">
        <v>125867</v>
      </c>
      <c r="L18" s="7">
        <v>0.13546677301096899</v>
      </c>
      <c r="M18" s="5"/>
      <c r="N18" s="7">
        <v>10.2140887315178</v>
      </c>
      <c r="O18" s="5"/>
      <c r="P18" s="3">
        <v>48109626</v>
      </c>
      <c r="Q18" s="3">
        <f>Table28[[#This Row],[On-target output]]/Table28[[#This Row],[Sequencing yield after filtering (bp)]]*100</f>
        <v>0.36598621534496817</v>
      </c>
      <c r="R18" s="5"/>
      <c r="S18" s="5"/>
      <c r="T18" s="5"/>
      <c r="U18" s="5"/>
      <c r="V18" s="5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</row>
    <row r="19" spans="1:366" x14ac:dyDescent="0.3">
      <c r="A19" t="s">
        <v>17</v>
      </c>
      <c r="B19" s="7">
        <v>9891499574</v>
      </c>
      <c r="C19" s="7">
        <v>22923951</v>
      </c>
      <c r="D19" s="7">
        <v>1212</v>
      </c>
      <c r="E19" s="7">
        <f>Table28[[#This Row],[Sequencing yield after filtering (bp)]]/Table28[[#This Row],[Pores]]</f>
        <v>8161303.2788778879</v>
      </c>
      <c r="F19" s="7">
        <v>22075034</v>
      </c>
      <c r="G19" s="7">
        <v>8.9291003992490108</v>
      </c>
      <c r="H19" s="5"/>
      <c r="I19" s="7">
        <v>96.384073554807401</v>
      </c>
      <c r="J19" s="5"/>
      <c r="K19" s="7">
        <v>483735</v>
      </c>
      <c r="L19" s="7">
        <v>1.93758676564928</v>
      </c>
      <c r="M19" s="5"/>
      <c r="N19" s="7">
        <v>81.062810552880705</v>
      </c>
      <c r="O19" s="5"/>
      <c r="P19" s="3">
        <v>704646587</v>
      </c>
      <c r="Q19" s="3">
        <f>Table28[[#This Row],[On-target output]]/Table28[[#This Row],[Sequencing yield after filtering (bp)]]*100</f>
        <v>7.1237589581682563</v>
      </c>
      <c r="R19" s="5"/>
      <c r="S19" s="4">
        <f>(Table28[[#This Row],[% yield on-target]]/Table28[[#This Row],[Yield per pore]])/(AVERAGE($Q$23:$Q$25)/AVERAGE($E$23:$E$25))</f>
        <v>9.445938518850701</v>
      </c>
      <c r="T19" s="5"/>
      <c r="U19" s="4">
        <f>(Table28[[#This Row],[Mean DOC target]]/Table28[[#This Row],[Yield per pore]])/(AVERAGE($L$23:$L$25)/AVERAGE($E$23:$E$25))</f>
        <v>4.418607166529676</v>
      </c>
      <c r="V19" s="5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</row>
    <row r="20" spans="1:366" x14ac:dyDescent="0.3">
      <c r="A20" t="s">
        <v>18</v>
      </c>
      <c r="B20" s="7">
        <v>873606331</v>
      </c>
      <c r="C20" s="7">
        <v>428712</v>
      </c>
      <c r="D20" s="7">
        <v>1212</v>
      </c>
      <c r="E20" s="7">
        <f>Table28[[#This Row],[Sequencing yield after filtering (bp)]]/Table28[[#This Row],[Pores]]</f>
        <v>720797.30280528055</v>
      </c>
      <c r="F20" s="7">
        <v>36339</v>
      </c>
      <c r="G20" s="7">
        <v>0.142004229537811</v>
      </c>
      <c r="H20" s="5"/>
      <c r="I20" s="7">
        <v>9.5322276343253503</v>
      </c>
      <c r="J20" s="5"/>
      <c r="K20" s="7">
        <v>389325</v>
      </c>
      <c r="L20" s="7">
        <v>1.8507148851847</v>
      </c>
      <c r="M20" s="5"/>
      <c r="N20" s="7">
        <v>79.815877226463797</v>
      </c>
      <c r="O20" s="5"/>
      <c r="P20" s="3">
        <v>672460661</v>
      </c>
      <c r="Q20" s="3">
        <f>Table28[[#This Row],[On-target output]]/Table28[[#This Row],[Sequencing yield after filtering (bp)]]*100</f>
        <v>76.97525042317946</v>
      </c>
      <c r="R20" s="5"/>
      <c r="S20" s="5"/>
      <c r="T20" s="5"/>
      <c r="U20" s="5"/>
      <c r="V20" s="5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</row>
    <row r="21" spans="1:366" x14ac:dyDescent="0.3">
      <c r="A21" t="s">
        <v>19</v>
      </c>
      <c r="B21" s="7">
        <v>9017893243</v>
      </c>
      <c r="C21" s="7">
        <v>22495239</v>
      </c>
      <c r="D21" s="7">
        <v>1212</v>
      </c>
      <c r="E21" s="7">
        <f>Table28[[#This Row],[Sequencing yield after filtering (bp)]]/Table28[[#This Row],[Pores]]</f>
        <v>7440505.9760726076</v>
      </c>
      <c r="F21" s="7">
        <v>22038695</v>
      </c>
      <c r="G21" s="7">
        <v>8.7873620099418304</v>
      </c>
      <c r="H21" s="5"/>
      <c r="I21" s="7">
        <v>96.351903688242402</v>
      </c>
      <c r="J21" s="5"/>
      <c r="K21" s="7">
        <v>94410</v>
      </c>
      <c r="L21" s="7">
        <v>8.6871880464579998E-2</v>
      </c>
      <c r="M21" s="5"/>
      <c r="N21" s="7">
        <v>6.7144614888923</v>
      </c>
      <c r="O21" s="5"/>
      <c r="P21" s="3">
        <v>32185926</v>
      </c>
      <c r="Q21" s="3">
        <f>Table28[[#This Row],[On-target output]]/Table28[[#This Row],[Sequencing yield after filtering (bp)]]*100</f>
        <v>0.35691181002817735</v>
      </c>
      <c r="R21" s="5"/>
      <c r="S21" s="5"/>
      <c r="T21" s="5"/>
      <c r="U21" s="5"/>
      <c r="V21" s="5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</row>
    <row r="22" spans="1:366" x14ac:dyDescent="0.3">
      <c r="A22" s="13" t="s">
        <v>64</v>
      </c>
      <c r="B22" s="3">
        <f t="shared" ref="B22:N22" si="2">AVERAGE(B23:B25)</f>
        <v>20163709443</v>
      </c>
      <c r="C22" s="3">
        <f t="shared" si="2"/>
        <v>8444025</v>
      </c>
      <c r="D22" s="14">
        <f>AVERAGE(D23:D25)</f>
        <v>1364</v>
      </c>
      <c r="E22" s="3">
        <f t="shared" si="2"/>
        <v>14889937.320460767</v>
      </c>
      <c r="F22" s="3">
        <f t="shared" si="2"/>
        <v>8183066.333333333</v>
      </c>
      <c r="G22" s="3">
        <f t="shared" si="2"/>
        <v>19.876777360730468</v>
      </c>
      <c r="H22" s="7">
        <f>_xlfn.STDEV.P(G23:G25)</f>
        <v>2.2937910521368754</v>
      </c>
      <c r="I22" s="3">
        <f t="shared" si="2"/>
        <v>96.817792555253774</v>
      </c>
      <c r="J22" s="7">
        <f>_xlfn.STDEV.P(I23:I25)</f>
        <v>4.9695377312702176E-2</v>
      </c>
      <c r="K22" s="3">
        <f t="shared" si="2"/>
        <v>182511</v>
      </c>
      <c r="L22" s="14">
        <f t="shared" si="2"/>
        <v>0.80003524437894324</v>
      </c>
      <c r="M22" s="15">
        <f>_xlfn.STDEV.P(L23:L25)</f>
        <v>9.8132576445536343E-2</v>
      </c>
      <c r="N22" s="14">
        <f t="shared" si="2"/>
        <v>48.967713267107435</v>
      </c>
      <c r="O22" s="15">
        <f>_xlfn.STDEV.P(N23:N25)</f>
        <v>4.0353518821642407</v>
      </c>
      <c r="P22" s="3">
        <f>AVERAGE(P23:P25)</f>
        <v>277853643.33333331</v>
      </c>
      <c r="Q22" s="3">
        <f>AVERAGE($Q$23:$Q$25)</f>
        <v>1.3759335309207053</v>
      </c>
      <c r="R22" s="3">
        <f>_xlfn.STDEV.P($Q$23:$Q$25)</f>
        <v>2.5068461731915601E-2</v>
      </c>
      <c r="S22" s="16">
        <f>AVERAGE(S23,S29,S26)</f>
        <v>1.1650294607881999</v>
      </c>
      <c r="T22" s="16">
        <f>_xlfn.STDEV.P(S23:S25)</f>
        <v>0.11009435618000402</v>
      </c>
      <c r="U22" s="16">
        <f>AVERAGE(U23,U26,U29)</f>
        <v>0.88318038459889692</v>
      </c>
      <c r="V22" s="16">
        <f>_xlfn.STDEV.P(U23:U25)</f>
        <v>8.7852957338474216E-2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</row>
    <row r="23" spans="1:366" x14ac:dyDescent="0.3">
      <c r="A23" t="s">
        <v>65</v>
      </c>
      <c r="B23" s="8">
        <v>19855781118</v>
      </c>
      <c r="C23" s="8">
        <v>8451059</v>
      </c>
      <c r="D23" s="8">
        <v>1190</v>
      </c>
      <c r="E23" s="8">
        <f>Table28[[#This Row],[Sequencing yield after filtering (bp)]]/Table28[[#This Row],[Pores]]</f>
        <v>16685530.351260504</v>
      </c>
      <c r="F23" s="8">
        <v>8195070</v>
      </c>
      <c r="G23" s="7">
        <v>19.567294591706698</v>
      </c>
      <c r="H23" s="5"/>
      <c r="I23" s="7">
        <v>96.815739883527797</v>
      </c>
      <c r="J23" s="5"/>
      <c r="K23" s="8">
        <v>184658</v>
      </c>
      <c r="L23" s="3">
        <v>0.79178210152693196</v>
      </c>
      <c r="M23" s="5"/>
      <c r="N23" s="7">
        <v>48.641258387352003</v>
      </c>
      <c r="O23" s="5"/>
      <c r="P23" s="3">
        <v>277685965</v>
      </c>
      <c r="Q23" s="3">
        <f>Table28[[#This Row],[On-target output]]/Table28[[#This Row],[Sequencing yield after filtering (bp)]]*100</f>
        <v>1.3985144344095706</v>
      </c>
      <c r="R23" s="5"/>
      <c r="S23" s="4">
        <f>(Table28[[#This Row],[% yield on-target]]/Table28[[#This Row],[Pores]])/(AVERAGE($Q$23:$Q$25)/AVERAGE($D$23:$D$25))</f>
        <v>1.1650294607881999</v>
      </c>
      <c r="T23" s="5"/>
      <c r="U23" s="4">
        <f>(Table28[[#This Row],[Mean DOC target]]/Table28[[#This Row],[Yield per pore]])/(AVERAGE($L$23:$L$25)/AVERAGE($E$23:$E$25))</f>
        <v>0.88318038459889692</v>
      </c>
      <c r="V23" s="5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</row>
    <row r="24" spans="1:366" x14ac:dyDescent="0.3">
      <c r="A24" t="s">
        <v>66</v>
      </c>
      <c r="B24" s="8">
        <v>23164255540</v>
      </c>
      <c r="C24" s="8">
        <v>9629116</v>
      </c>
      <c r="D24" s="8">
        <v>1459</v>
      </c>
      <c r="E24" s="8">
        <f>Table28[[#This Row],[Sequencing yield after filtering (bp)]]/Table28[[#This Row],[Pores]]</f>
        <v>15876802.974640165</v>
      </c>
      <c r="F24" s="8">
        <v>9342862</v>
      </c>
      <c r="G24" s="7">
        <v>22.828013229065402</v>
      </c>
      <c r="H24" s="5"/>
      <c r="I24" s="7">
        <v>96.879657083837003</v>
      </c>
      <c r="J24" s="5"/>
      <c r="K24" s="8">
        <v>209885</v>
      </c>
      <c r="L24" s="3">
        <v>0.92413647173092595</v>
      </c>
      <c r="M24" s="5"/>
      <c r="N24" s="7">
        <v>54.065124289700996</v>
      </c>
      <c r="O24" s="5"/>
      <c r="P24" s="3">
        <v>321592144</v>
      </c>
      <c r="Q24" s="3">
        <f>Table28[[#This Row],[On-target output]]/Table28[[#This Row],[Sequencing yield after filtering (bp)]]*100</f>
        <v>1.388312019976965</v>
      </c>
      <c r="R24" s="5"/>
      <c r="S24" s="4">
        <f>(Table28[[#This Row],[% yield on-target]]/Table28[[#This Row],[Pores]])/(AVERAGE($Q$23:$Q$25)/AVERAGE($D$23:$D$25))</f>
        <v>0.94329755304059193</v>
      </c>
      <c r="T24" s="5"/>
      <c r="U24" s="4">
        <f>(Table28[[#This Row],[Mean DOC target]]/Table28[[#This Row],[Yield per pore]])/(AVERAGE($L$23:$L$25)/AVERAGE($E$23:$E$25))</f>
        <v>1.083320109397264</v>
      </c>
      <c r="V24" s="5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</row>
    <row r="25" spans="1:366" x14ac:dyDescent="0.3">
      <c r="A25" t="s">
        <v>67</v>
      </c>
      <c r="B25" s="8">
        <v>17471091671</v>
      </c>
      <c r="C25" s="8">
        <v>7251900</v>
      </c>
      <c r="D25" s="8">
        <v>1443</v>
      </c>
      <c r="E25" s="8">
        <f>Table28[[#This Row],[Sequencing yield after filtering (bp)]]/Table28[[#This Row],[Pores]]</f>
        <v>12107478.635481635</v>
      </c>
      <c r="F25" s="8">
        <v>7011267</v>
      </c>
      <c r="G25" s="7">
        <v>17.235024261419301</v>
      </c>
      <c r="H25" s="5"/>
      <c r="I25" s="7">
        <v>96.757980698396494</v>
      </c>
      <c r="J25" s="5"/>
      <c r="K25" s="8">
        <v>152990</v>
      </c>
      <c r="L25" s="7">
        <v>0.68418715987897205</v>
      </c>
      <c r="M25" s="5"/>
      <c r="N25" s="7">
        <v>44.196757124269297</v>
      </c>
      <c r="O25" s="5"/>
      <c r="P25" s="3">
        <v>234282821</v>
      </c>
      <c r="Q25" s="3">
        <f>Table28[[#This Row],[On-target output]]/Table28[[#This Row],[Sequencing yield after filtering (bp)]]*100</f>
        <v>1.34097413837558</v>
      </c>
      <c r="R25" s="5"/>
      <c r="S25" s="4">
        <f>(Table28[[#This Row],[% yield on-target]]/Table28[[#This Row],[Pores]])/(AVERAGE($Q$23:$Q$25)/AVERAGE($D$23:$D$25))</f>
        <v>0.92123618279682484</v>
      </c>
      <c r="T25" s="5"/>
      <c r="U25" s="4">
        <f>(Table28[[#This Row],[Mean DOC target]]/Table28[[#This Row],[Yield per pore]])/(AVERAGE($L$23:$L$25)/AVERAGE($E$23:$E$25))</f>
        <v>1.0517316855580756</v>
      </c>
      <c r="V25" s="5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</row>
    <row r="26" spans="1:366" x14ac:dyDescent="0.3"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</row>
    <row r="27" spans="1:366" ht="15" thickBot="1" x14ac:dyDescent="0.35">
      <c r="O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</row>
    <row r="28" spans="1:366" ht="31.8" customHeight="1" thickBot="1" x14ac:dyDescent="0.35">
      <c r="A28" s="20" t="s">
        <v>45</v>
      </c>
      <c r="B28" s="20" t="s">
        <v>46</v>
      </c>
      <c r="C28" s="20" t="s">
        <v>47</v>
      </c>
      <c r="D28" s="20" t="s">
        <v>48</v>
      </c>
      <c r="E28" s="20" t="s">
        <v>49</v>
      </c>
      <c r="F28" s="20" t="s">
        <v>50</v>
      </c>
      <c r="O28" s="12"/>
    </row>
    <row r="29" spans="1:366" ht="15" thickTop="1" x14ac:dyDescent="0.3">
      <c r="A29" s="22" t="s">
        <v>0</v>
      </c>
      <c r="B29" s="14">
        <v>45</v>
      </c>
      <c r="C29" s="25">
        <f>Table1422[[#This Row],[Detected SNPS]]/98</f>
        <v>0.45918367346938777</v>
      </c>
      <c r="D29" s="14">
        <v>23</v>
      </c>
      <c r="E29" s="25">
        <f>Table1422[[#This Row],[Detected Barcodes]]/144</f>
        <v>0.15972222222222221</v>
      </c>
      <c r="F29" s="21" t="s">
        <v>53</v>
      </c>
    </row>
    <row r="30" spans="1:366" x14ac:dyDescent="0.3">
      <c r="A30" s="24" t="s">
        <v>10</v>
      </c>
      <c r="B30" s="14">
        <v>64</v>
      </c>
      <c r="C30" s="25">
        <f>Table1422[[#This Row],[Detected SNPS]]/98</f>
        <v>0.65306122448979587</v>
      </c>
      <c r="D30" s="14">
        <v>84</v>
      </c>
      <c r="E30" s="25">
        <f>Table1422[[#This Row],[Detected Barcodes]]/144</f>
        <v>0.58333333333333337</v>
      </c>
      <c r="F30" s="21" t="s">
        <v>51</v>
      </c>
    </row>
    <row r="31" spans="1:366" x14ac:dyDescent="0.3">
      <c r="A31" s="22" t="s">
        <v>64</v>
      </c>
      <c r="B31" s="14">
        <v>8</v>
      </c>
      <c r="C31" s="25">
        <f>Table1422[[#This Row],[Detected SNPS]]/98</f>
        <v>8.1632653061224483E-2</v>
      </c>
      <c r="D31" s="14">
        <v>0</v>
      </c>
      <c r="E31" s="25">
        <f>Table1422[[#This Row],[Detected Barcodes]]/144</f>
        <v>0</v>
      </c>
      <c r="F31" s="21" t="s">
        <v>53</v>
      </c>
    </row>
    <row r="37" spans="1:10" ht="15" thickBot="1" x14ac:dyDescent="0.35"/>
    <row r="38" spans="1:10" ht="47.4" thickBot="1" x14ac:dyDescent="0.35">
      <c r="A38" s="20" t="s">
        <v>54</v>
      </c>
      <c r="B38" s="20" t="s">
        <v>55</v>
      </c>
      <c r="C38" s="20" t="s">
        <v>56</v>
      </c>
      <c r="D38" s="20" t="s">
        <v>57</v>
      </c>
      <c r="E38" s="20" t="s">
        <v>58</v>
      </c>
      <c r="F38" s="20" t="s">
        <v>59</v>
      </c>
      <c r="G38" s="20" t="s">
        <v>60</v>
      </c>
      <c r="H38" s="20" t="s">
        <v>61</v>
      </c>
      <c r="I38" s="20" t="s">
        <v>62</v>
      </c>
      <c r="J38" s="20" t="s">
        <v>63</v>
      </c>
    </row>
    <row r="39" spans="1:10" ht="15" thickTop="1" x14ac:dyDescent="0.3">
      <c r="A39" s="22" t="s">
        <v>0</v>
      </c>
      <c r="B39" s="14">
        <v>5.0419005977275502</v>
      </c>
      <c r="C39" s="14">
        <v>98.604423913292706</v>
      </c>
      <c r="D39" s="14">
        <f>(Table1[[#This Row],[Mean DOC target merged]]/Table1[[#This Row],[Merged yield per pore]])/($B$41/$G$41)</f>
        <v>4.2902157190131032</v>
      </c>
      <c r="E39" s="14">
        <f>D3+D6+D9</f>
        <v>3849</v>
      </c>
      <c r="F39" s="14">
        <v>27860489755</v>
      </c>
      <c r="G39" s="21">
        <f>Table1[[#This Row],[Merged yield after filterng]]/Table1[[#This Row],[Merged pores]]</f>
        <v>7238370.9418030661</v>
      </c>
      <c r="H39" s="26">
        <v>1888456069</v>
      </c>
      <c r="I39" s="19">
        <f>Table1[[#This Row],[Merged on target output]]/Table1[[#This Row],[Merged yield after filterng]]*100</f>
        <v>6.7782586939667393</v>
      </c>
      <c r="J39" s="21">
        <f>(Table1[[#This Row],[Merged % yield on target]]/Table1[[#This Row],[Merged yield per pore]])/($I$41/$G$41)</f>
        <v>10.045873370892604</v>
      </c>
    </row>
    <row r="40" spans="1:10" x14ac:dyDescent="0.3">
      <c r="A40" s="24" t="s">
        <v>10</v>
      </c>
      <c r="B40" s="14">
        <v>6.8731542898245701</v>
      </c>
      <c r="C40" s="14">
        <v>99.589370197344195</v>
      </c>
      <c r="D40" s="14">
        <f>(Table1[[#This Row],[Mean DOC target merged]]/Table1[[#This Row],[Merged yield per pore]])/($B$41/$G$41)</f>
        <v>4.6087609421234337</v>
      </c>
      <c r="E40" s="14">
        <f t="shared" ref="E40" si="3">SUM(D13+D17+D20)</f>
        <v>3912</v>
      </c>
      <c r="F40" s="14">
        <v>35933245416</v>
      </c>
      <c r="G40" s="21">
        <f>Table1[[#This Row],[Merged yield after filterng]]/Table1[[#This Row],[Merged pores]]</f>
        <v>9185389.9325153381</v>
      </c>
      <c r="H40" s="27">
        <v>2587394601</v>
      </c>
      <c r="I40" s="28">
        <f>Table1[[#This Row],[Merged on target output]]/Table1[[#This Row],[Merged yield after filterng]]*100</f>
        <v>7.2005591786816741</v>
      </c>
      <c r="J40" s="21">
        <f>(Table1[[#This Row],[Merged % yield on target]]/Table1[[#This Row],[Merged yield per pore]])/($I$41/$G$41)</f>
        <v>8.4096713097244855</v>
      </c>
    </row>
    <row r="41" spans="1:10" x14ac:dyDescent="0.3">
      <c r="A41" s="22" t="s">
        <v>64</v>
      </c>
      <c r="B41" s="14">
        <v>2.4001057331368298</v>
      </c>
      <c r="C41" s="14">
        <v>86.634328576627198</v>
      </c>
      <c r="D41" s="14">
        <f>(Table1[[#This Row],[Mean DOC target merged]]/Table1[[#This Row],[Merged yield per pore]])/($B$41/$G$41)</f>
        <v>1</v>
      </c>
      <c r="E41" s="14">
        <f>D25+D24+D23</f>
        <v>4092</v>
      </c>
      <c r="F41" s="14">
        <v>60491128329</v>
      </c>
      <c r="G41" s="21">
        <f>Table1[[#This Row],[Merged yield after filterng]]/Table1[[#This Row],[Merged pores]]</f>
        <v>14782778.184017595</v>
      </c>
      <c r="H41" s="26">
        <v>833560930</v>
      </c>
      <c r="I41" s="19">
        <f>Table1[[#This Row],[Merged on target output]]/Table1[[#This Row],[Merged yield after filterng]]*100</f>
        <v>1.3779887283080869</v>
      </c>
      <c r="J41" s="21">
        <f>(Table1[[#This Row],[Merged % yield on target]]/Table1[[#This Row],[Merged yield per pore]])/($I$41/$G$41)</f>
        <v>1</v>
      </c>
    </row>
    <row r="45" spans="1:10" x14ac:dyDescent="0.3">
      <c r="F45" s="3"/>
    </row>
    <row r="48" spans="1:10" x14ac:dyDescent="0.3">
      <c r="F48" s="29"/>
    </row>
  </sheetData>
  <phoneticPr fontId="5" type="noConversion"/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64FA-BC4F-4413-9BC3-C57CB7A2844D}">
  <dimension ref="A1:O14"/>
  <sheetViews>
    <sheetView workbookViewId="0">
      <selection activeCell="A11" sqref="A11:F14"/>
    </sheetView>
  </sheetViews>
  <sheetFormatPr defaultRowHeight="14.4" x14ac:dyDescent="0.3"/>
  <cols>
    <col min="2" max="2" width="14.6640625" bestFit="1" customWidth="1"/>
    <col min="3" max="3" width="13.5546875" bestFit="1" customWidth="1"/>
    <col min="5" max="5" width="14.6640625" bestFit="1" customWidth="1"/>
    <col min="6" max="6" width="12.5546875" bestFit="1" customWidth="1"/>
    <col min="9" max="9" width="13.88671875" bestFit="1" customWidth="1"/>
    <col min="12" max="12" width="13.6640625" bestFit="1" customWidth="1"/>
    <col min="13" max="13" width="12.88671875" bestFit="1" customWidth="1"/>
    <col min="14" max="14" width="12.77734375" bestFit="1" customWidth="1"/>
    <col min="15" max="15" width="12.21875" bestFit="1" customWidth="1"/>
  </cols>
  <sheetData>
    <row r="1" spans="1:15" ht="78.599999999999994" thickBot="1" x14ac:dyDescent="0.35">
      <c r="A1" s="10" t="s">
        <v>20</v>
      </c>
      <c r="B1" s="10" t="s">
        <v>21</v>
      </c>
      <c r="C1" s="10" t="s">
        <v>22</v>
      </c>
      <c r="D1" s="10" t="s">
        <v>23</v>
      </c>
      <c r="E1" s="10" t="s">
        <v>24</v>
      </c>
      <c r="F1" s="10" t="s">
        <v>25</v>
      </c>
      <c r="G1" s="10" t="s">
        <v>26</v>
      </c>
      <c r="H1" s="10" t="s">
        <v>28</v>
      </c>
      <c r="I1" s="10" t="s">
        <v>30</v>
      </c>
      <c r="J1" s="10" t="s">
        <v>31</v>
      </c>
      <c r="K1" s="10" t="s">
        <v>33</v>
      </c>
      <c r="L1" s="10" t="s">
        <v>52</v>
      </c>
      <c r="M1" s="10" t="s">
        <v>35</v>
      </c>
      <c r="N1" s="10" t="s">
        <v>37</v>
      </c>
      <c r="O1" s="10" t="s">
        <v>38</v>
      </c>
    </row>
    <row r="2" spans="1:15" ht="15" thickTop="1" x14ac:dyDescent="0.3">
      <c r="A2" s="2" t="s">
        <v>0</v>
      </c>
      <c r="B2" s="3">
        <v>56197565777</v>
      </c>
      <c r="C2" s="3">
        <v>87648188</v>
      </c>
      <c r="D2" s="3">
        <v>8789</v>
      </c>
      <c r="E2" s="3">
        <f>Table29[[#This Row],[Sequencing yield after filtering (bp)]]/Table29[[#This Row],[Pores]]</f>
        <v>6394079.6196381841</v>
      </c>
      <c r="F2" s="3">
        <v>84442651</v>
      </c>
      <c r="G2" s="3">
        <v>50.875175928011203</v>
      </c>
      <c r="H2" s="3">
        <v>96.864881502079101</v>
      </c>
      <c r="I2" s="3">
        <v>2165428</v>
      </c>
      <c r="J2" s="3">
        <v>10.077565296033701</v>
      </c>
      <c r="K2" s="3">
        <v>99.702817406307801</v>
      </c>
      <c r="L2" s="3">
        <v>3639201184</v>
      </c>
      <c r="M2" s="3">
        <f>Table29[[#This Row],[On-target output]]/Table29[[#This Row],[Sequencing yield after filtering (bp)]]*100</f>
        <v>6.4757274335348836</v>
      </c>
      <c r="N2" s="18">
        <f>(Table29[[#This Row],[% yield on-target]]/Table29[[#This Row],[Yield per pore]])/($M$8/$E$8)</f>
        <v>6.5597034894290278</v>
      </c>
      <c r="O2" s="18">
        <f>Table29[[#This Row],[Mean DOC target]]/Table29[[#This Row],[Yield per pore]]/($J$8/$E$8)</f>
        <v>4.0145919084035642</v>
      </c>
    </row>
    <row r="3" spans="1:15" x14ac:dyDescent="0.3">
      <c r="A3" t="s">
        <v>41</v>
      </c>
      <c r="B3" s="3">
        <v>10948453396</v>
      </c>
      <c r="C3" s="3">
        <v>4512883</v>
      </c>
      <c r="D3" s="3">
        <v>8789</v>
      </c>
      <c r="E3" s="3">
        <f>Table29[[#This Row],[Sequencing yield after filtering (bp)]]/Table29[[#This Row],[Pores]]</f>
        <v>1245699.5558083968</v>
      </c>
      <c r="F3" s="3">
        <v>2482917</v>
      </c>
      <c r="G3" s="3">
        <v>6.4701830278194601</v>
      </c>
      <c r="H3" s="3">
        <v>93.350236143425803</v>
      </c>
      <c r="I3" s="3">
        <v>1703241</v>
      </c>
      <c r="J3" s="3">
        <v>9.7451677530556502</v>
      </c>
      <c r="K3" s="3">
        <v>99.679715634733498</v>
      </c>
      <c r="L3" s="3">
        <v>3519521789</v>
      </c>
      <c r="M3" s="3">
        <f>Table29[[#This Row],[On-target output]]/Table29[[#This Row],[Sequencing yield after filtering (bp)]]*100</f>
        <v>32.146291916316251</v>
      </c>
      <c r="N3" s="5"/>
      <c r="O3" s="5"/>
    </row>
    <row r="4" spans="1:15" x14ac:dyDescent="0.3">
      <c r="A4" t="s">
        <v>42</v>
      </c>
      <c r="B4" s="3">
        <v>45249112381</v>
      </c>
      <c r="C4" s="3">
        <v>83135305</v>
      </c>
      <c r="D4" s="3">
        <v>8789</v>
      </c>
      <c r="E4" s="3">
        <f>Table29[[#This Row],[Sequencing yield after filtering (bp)]]/Table29[[#This Row],[Pores]]</f>
        <v>5148380.0638297871</v>
      </c>
      <c r="F4" s="3">
        <v>81959734</v>
      </c>
      <c r="G4" s="3">
        <v>44.4049929001918</v>
      </c>
      <c r="H4" s="3">
        <v>96.679788850988103</v>
      </c>
      <c r="I4" s="3">
        <v>462187</v>
      </c>
      <c r="J4" s="3">
        <v>0.33239754297806201</v>
      </c>
      <c r="K4" s="3">
        <v>21.442418502496199</v>
      </c>
      <c r="L4" s="3">
        <v>119679395</v>
      </c>
      <c r="M4" s="3">
        <f>Table29[[#This Row],[On-target output]]/Table29[[#This Row],[Sequencing yield after filtering (bp)]]*100</f>
        <v>0.26449003903610957</v>
      </c>
      <c r="N4" s="5"/>
      <c r="O4" s="5"/>
    </row>
    <row r="5" spans="1:15" x14ac:dyDescent="0.3">
      <c r="A5" s="2" t="s">
        <v>10</v>
      </c>
      <c r="B5" s="3">
        <v>68627621024</v>
      </c>
      <c r="C5" s="3">
        <v>121461521</v>
      </c>
      <c r="D5" s="3">
        <v>7862</v>
      </c>
      <c r="E5" s="3">
        <f>Table29[[#This Row],[Sequencing yield after filtering (bp)]]/Table29[[#This Row],[Pores]]</f>
        <v>8729028.3673365563</v>
      </c>
      <c r="F5" s="3">
        <v>116374410</v>
      </c>
      <c r="G5" s="3">
        <v>61.4300674048297</v>
      </c>
      <c r="H5" s="3">
        <v>96.802628503278996</v>
      </c>
      <c r="I5" s="3">
        <v>3266246</v>
      </c>
      <c r="J5" s="3">
        <v>15.1297375098084</v>
      </c>
      <c r="K5" s="3">
        <v>99.843472832651301</v>
      </c>
      <c r="L5" s="3">
        <v>5536506891</v>
      </c>
      <c r="M5" s="3">
        <f>Table29[[#This Row],[On-target output]]/Table29[[#This Row],[Sequencing yield after filtering (bp)]]*100</f>
        <v>8.0674614803619793</v>
      </c>
      <c r="N5" s="18">
        <f>Table29[[#This Row],[% yield on-target]]/Table29[[#This Row],[Yield per pore]]/($M$8/$E$8)</f>
        <v>5.986109868272953</v>
      </c>
      <c r="O5" s="18">
        <f>Table29[[#This Row],[Mean DOC target]]/Table29[[#This Row],[Yield per pore]]/($J$8/$E$8)</f>
        <v>4.4149858145988654</v>
      </c>
    </row>
    <row r="6" spans="1:15" x14ac:dyDescent="0.3">
      <c r="A6" t="s">
        <v>43</v>
      </c>
      <c r="B6" s="3">
        <v>5968518366</v>
      </c>
      <c r="C6" s="19">
        <v>2579157</v>
      </c>
      <c r="D6" s="3">
        <v>7862</v>
      </c>
      <c r="E6" s="3">
        <f>Table29[[#This Row],[Sequencing yield after filtering (bp)]]/Table29[[#This Row],[Pores]]</f>
        <v>759160.31111676421</v>
      </c>
      <c r="F6" s="3">
        <v>108519</v>
      </c>
      <c r="G6" s="3">
        <v>0.25783189425846897</v>
      </c>
      <c r="H6" s="3">
        <v>7.6528786196886802</v>
      </c>
      <c r="I6" s="3">
        <v>2463159</v>
      </c>
      <c r="J6" s="3">
        <v>14.5392819212039</v>
      </c>
      <c r="K6" s="3">
        <v>99.832605879185394</v>
      </c>
      <c r="L6" s="3">
        <v>5320857324</v>
      </c>
      <c r="M6" s="3">
        <f>Table29[[#This Row],[On-target output]]/Table29[[#This Row],[Sequencing yield after filtering (bp)]]*100</f>
        <v>89.148713260405842</v>
      </c>
      <c r="N6" s="5"/>
      <c r="O6" s="5"/>
    </row>
    <row r="7" spans="1:15" x14ac:dyDescent="0.3">
      <c r="A7" t="s">
        <v>44</v>
      </c>
      <c r="B7" s="3">
        <v>62659102658</v>
      </c>
      <c r="C7" s="19">
        <v>118882364</v>
      </c>
      <c r="D7" s="3">
        <v>7862</v>
      </c>
      <c r="E7" s="3">
        <f>Table29[[#This Row],[Sequencing yield after filtering (bp)]]/Table29[[#This Row],[Pores]]</f>
        <v>7969868.0562197911</v>
      </c>
      <c r="F7" s="3">
        <v>116265891</v>
      </c>
      <c r="G7" s="3">
        <v>61.172632380956799</v>
      </c>
      <c r="H7" s="3">
        <v>96.796748263362204</v>
      </c>
      <c r="I7" s="3">
        <v>803087</v>
      </c>
      <c r="J7" s="3">
        <v>0.59045558860453495</v>
      </c>
      <c r="K7" s="3">
        <v>34.795173768056301</v>
      </c>
      <c r="L7" s="3">
        <v>215649567</v>
      </c>
      <c r="M7" s="3">
        <f>Table29[[#This Row],[On-target output]]/Table29[[#This Row],[Sequencing yield after filtering (bp)]]*100</f>
        <v>0.34416319074506718</v>
      </c>
      <c r="N7" s="5"/>
      <c r="O7" s="5"/>
    </row>
    <row r="8" spans="1:15" x14ac:dyDescent="0.3">
      <c r="A8" s="2" t="s">
        <v>64</v>
      </c>
      <c r="B8" s="3">
        <v>91644969823</v>
      </c>
      <c r="C8" s="3">
        <v>34171415</v>
      </c>
      <c r="D8" s="3">
        <v>8160</v>
      </c>
      <c r="E8" s="3">
        <f>Table29[[#This Row],[Sequencing yield after filtering (bp)]]/Table29[[#This Row],[Pores]]</f>
        <v>11231001.20379902</v>
      </c>
      <c r="F8" s="3">
        <v>33007314</v>
      </c>
      <c r="G8" s="3">
        <v>90.107867051165201</v>
      </c>
      <c r="H8" s="3">
        <v>96.979024981780896</v>
      </c>
      <c r="I8" s="3">
        <v>894363</v>
      </c>
      <c r="J8" s="3">
        <v>4.4091477254639297</v>
      </c>
      <c r="K8" s="3">
        <v>96.044011527095904</v>
      </c>
      <c r="L8" s="7">
        <v>1589108016</v>
      </c>
      <c r="M8" s="3">
        <f>Table29[[#This Row],[On-target output]]/Table29[[#This Row],[Sequencing yield after filtering (bp)]]*100</f>
        <v>1.7339828024049215</v>
      </c>
      <c r="N8" s="18">
        <f>Table29[[#This Row],[% yield on-target]]/Table29[[#This Row],[Yield per pore]]/($M$8/$E$8)</f>
        <v>1</v>
      </c>
      <c r="O8" s="18">
        <f>Table29[[#This Row],[% yield on-target]]/Table29[[#This Row],[Yield per pore]]/($M$8/$E$8)</f>
        <v>1</v>
      </c>
    </row>
    <row r="10" spans="1:15" ht="15" thickBot="1" x14ac:dyDescent="0.35"/>
    <row r="11" spans="1:15" ht="63" thickBot="1" x14ac:dyDescent="0.35">
      <c r="A11" s="20" t="s">
        <v>45</v>
      </c>
      <c r="B11" s="20" t="s">
        <v>46</v>
      </c>
      <c r="C11" s="20" t="s">
        <v>47</v>
      </c>
      <c r="D11" s="20" t="s">
        <v>48</v>
      </c>
      <c r="E11" s="20" t="s">
        <v>49</v>
      </c>
      <c r="F11" s="20" t="s">
        <v>50</v>
      </c>
    </row>
    <row r="12" spans="1:15" ht="15" thickTop="1" x14ac:dyDescent="0.3">
      <c r="A12" s="22" t="s">
        <v>0</v>
      </c>
      <c r="B12" s="14">
        <v>84</v>
      </c>
      <c r="C12" s="23">
        <f>Table14210[[#This Row],[Detected SNPS]]/98</f>
        <v>0.8571428571428571</v>
      </c>
      <c r="D12" s="14">
        <v>117</v>
      </c>
      <c r="E12" s="25">
        <f>Table14210[[#This Row],[Detected Barcodes]]/144</f>
        <v>0.8125</v>
      </c>
      <c r="F12" s="21" t="s">
        <v>51</v>
      </c>
    </row>
    <row r="13" spans="1:15" x14ac:dyDescent="0.3">
      <c r="A13" s="24" t="s">
        <v>10</v>
      </c>
      <c r="B13" s="14">
        <v>94</v>
      </c>
      <c r="C13" s="23">
        <f>Table14210[[#This Row],[Detected SNPS]]/98</f>
        <v>0.95918367346938771</v>
      </c>
      <c r="D13" s="14">
        <v>139</v>
      </c>
      <c r="E13" s="25">
        <f>Table14210[[#This Row],[Detected Barcodes]]/144</f>
        <v>0.96527777777777779</v>
      </c>
      <c r="F13" s="21" t="s">
        <v>51</v>
      </c>
    </row>
    <row r="14" spans="1:15" x14ac:dyDescent="0.3">
      <c r="A14" s="22" t="s">
        <v>64</v>
      </c>
      <c r="B14" s="14">
        <v>26</v>
      </c>
      <c r="C14" s="23">
        <f>Table14210[[#This Row],[Detected SNPS]]/98</f>
        <v>0.26530612244897961</v>
      </c>
      <c r="D14" s="14">
        <v>14</v>
      </c>
      <c r="E14" s="25">
        <f>Table14210[[#This Row],[Detected Barcodes]]/144</f>
        <v>9.7222222222222224E-2</v>
      </c>
      <c r="F14" s="21" t="s">
        <v>53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FT7ZSSYKJ64H-414968548-78066</_dlc_DocId>
    <_dlc_DocIdUrl xmlns="bd2a10cf-e067-4f9c-87ec-f8ebada5459f">
      <Url>https://springernature.sharepoint.com/sites/NatureJournalsProduction/_layouts/15/DocIdRedir.aspx?ID=FT7ZSSYKJ64H-414968548-78066</Url>
      <Description>FT7ZSSYKJ64H-414968548-78066</Description>
    </_dlc_DocIdUrl>
  </documentManagement>
</p:properties>
</file>

<file path=customXml/itemProps1.xml><?xml version="1.0" encoding="utf-8"?>
<ds:datastoreItem xmlns:ds="http://schemas.openxmlformats.org/officeDocument/2006/customXml" ds:itemID="{AD805C0E-26C3-4C18-AF61-6E97FB638952}"/>
</file>

<file path=customXml/itemProps2.xml><?xml version="1.0" encoding="utf-8"?>
<ds:datastoreItem xmlns:ds="http://schemas.openxmlformats.org/officeDocument/2006/customXml" ds:itemID="{0B31B272-A439-43E3-903C-EB908C3C1D3F}"/>
</file>

<file path=customXml/itemProps3.xml><?xml version="1.0" encoding="utf-8"?>
<ds:datastoreItem xmlns:ds="http://schemas.openxmlformats.org/officeDocument/2006/customXml" ds:itemID="{DC1DADEF-31B9-467C-A9E0-509EC8459024}"/>
</file>

<file path=customXml/itemProps4.xml><?xml version="1.0" encoding="utf-8"?>
<ds:datastoreItem xmlns:ds="http://schemas.openxmlformats.org/officeDocument/2006/customXml" ds:itemID="{E1F8AEB0-5EA1-4A33-894A-23C49AE6F1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NipWT mixture</vt:lpstr>
      <vt:lpstr>NipGE Mixture (PromethION)</vt:lpstr>
      <vt:lpstr>'NipWT mixture'!_Hlk214884996</vt:lpstr>
      <vt:lpstr>'NipWT mixture'!_Hlk214885478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Stuyts</dc:creator>
  <cp:lastModifiedBy>Nancy Roosens</cp:lastModifiedBy>
  <dcterms:created xsi:type="dcterms:W3CDTF">2025-07-18T14:20:20Z</dcterms:created>
  <dcterms:modified xsi:type="dcterms:W3CDTF">2026-04-23T10:15:28Z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efca3db9-c745-4092-82af-3065bc2a16fe</vt:lpwstr>
  </property>
</Properties>
</file>